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4.xml" ContentType="application/vnd.openxmlformats-officedocument.spreadsheetml.worksheet+xml"/>
  <Override PartName="/xl/worksheets/sheet10.xml" ContentType="application/vnd.openxmlformats-officedocument.spreadsheetml.worksheet+xml"/>
  <Override PartName="/xl/worksheets/sheet16.xml" ContentType="application/vnd.openxmlformats-officedocument.spreadsheetml.worksheet+xml"/>
  <Override PartName="/xl/worksheets/sheet23.xml" ContentType="application/vnd.openxmlformats-officedocument.spreadsheetml.worksheet+xml"/>
  <Override PartName="/xl/worksheets/sheet9.xml" ContentType="application/vnd.openxmlformats-officedocument.spreadsheetml.worksheet+xml"/>
  <Override PartName="/xl/worksheets/sheet17.xml" ContentType="application/vnd.openxmlformats-officedocument.spreadsheetml.worksheet+xml"/>
  <Override PartName="/xl/worksheets/sheet12.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8.xml" ContentType="application/vnd.openxmlformats-officedocument.spreadsheetml.worksheet+xml"/>
  <Override PartName="/xl/worksheets/sheet24.xml" ContentType="application/vnd.openxmlformats-officedocument.spreadsheetml.worksheet+xml"/>
  <Override PartName="/xl/worksheets/sheet15.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18.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4.xml" ContentType="application/vnd.openxmlformats-officedocument.drawing+xml"/>
  <Override PartName="/xl/drawings/drawing12.xml" ContentType="application/vnd.openxmlformats-officedocument.drawing+xml"/>
  <Override PartName="/xl/drawings/drawing3.xml" ContentType="application/vnd.openxmlformats-officedocument.drawing+xml"/>
  <Override PartName="/xl/drawings/drawing19.xml" ContentType="application/vnd.openxmlformats-officedocument.drawing+xml"/>
  <Override PartName="/xl/drawings/drawing14.xml" ContentType="application/vnd.openxmlformats-officedocument.drawing+xml"/>
  <Override PartName="/xl/drawings/drawing9.xml" ContentType="application/vnd.openxmlformats-officedocument.drawing+xml"/>
  <Override PartName="/xl/drawings/drawing5.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10.xml" ContentType="application/vnd.openxmlformats-officedocument.drawing+xml"/>
  <Override PartName="/xl/drawings/drawing15.xml" ContentType="application/vnd.openxmlformats-officedocument.drawing+xml"/>
  <Override PartName="/xl/drawings/drawing13.xml" ContentType="application/vnd.openxmlformats-officedocument.drawing+xml"/>
  <Override PartName="/xl/drawings/drawing17.xml" ContentType="application/vnd.openxmlformats-officedocument.drawing+xml"/>
  <Override PartName="/xl/drawings/drawing6.xml" ContentType="application/vnd.openxmlformats-officedocument.drawing+xml"/>
  <Override PartName="/xl/drawings/drawing16.xml" ContentType="application/vnd.openxmlformats-officedocument.drawing+xml"/>
  <Override PartName="/xl/drawings/drawing1.xml" ContentType="application/vnd.openxmlformats-officedocument.drawing+xml"/>
  <Override PartName="/xl/drawings/drawing18.xml" ContentType="application/vnd.openxmlformats-officedocument.drawing+xml"/>
  <Override PartName="/xl/drawings/drawing7.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1"/>
  </bookViews>
  <sheets>
    <sheet name="Содержание" sheetId="1" state="visible" r:id="rId3"/>
    <sheet name="Кабели" sheetId="2" state="visible" r:id="rId4"/>
    <sheet name="Переходники и хабы" sheetId="3" state="visible" r:id="rId5"/>
    <sheet name="Внешние аккумуляторы" sheetId="4" state="visible" r:id="rId6"/>
    <sheet name="Аккумуляторы — перевозка" sheetId="5" state="visible" r:id="rId7"/>
    <sheet name="Зарядные устройства EU" sheetId="6" state="visible" r:id="rId8"/>
    <sheet name="Розетки и сетевые адаптеры" sheetId="7" state="hidden" r:id="rId9"/>
    <sheet name="Беспроводные ЗУ и подставки" sheetId="8" state="visible" r:id="rId10"/>
    <sheet name="Автомобильные держатели" sheetId="9" state="visible" r:id="rId11"/>
    <sheet name="Автозарядки и аксессуары" sheetId="10" state="visible" r:id="rId12"/>
    <sheet name="Наушники и гарнитуры" sheetId="11" state="visible" r:id="rId13"/>
    <sheet name="Наушники TWS" sheetId="12" state="visible" r:id="rId14"/>
    <sheet name="Портативные колонки" sheetId="13" state="visible" r:id="rId15"/>
    <sheet name="Аудиоаксессуары" sheetId="14" state="visible" r:id="rId16"/>
    <sheet name="Офис и игры" sheetId="15" state="visible" r:id="rId17"/>
    <sheet name="Умные часы" sheetId="16" state="visible" r:id="rId18"/>
    <sheet name="Аксессуары iPhone 18 Pro" sheetId="17" state="visible" r:id="rId19"/>
    <sheet name="Защитные стёкла" sheetId="18" state="visible" r:id="rId20"/>
    <sheet name="Чехлы" sheetId="19" state="hidden" r:id="rId21"/>
    <sheet name="Стёкла для iPhone" sheetId="20" state="hidden" r:id="rId22"/>
    <sheet name="Стёкла серии Elephant" sheetId="21" state="visible" r:id="rId23"/>
    <sheet name="Стёкла BF5, BF4, BF3" sheetId="22" state="visible" r:id="rId24"/>
    <sheet name="Материалы и стеллажи" sheetId="23" state="visible" r:id="rId25"/>
    <sheet name="Заказ" sheetId="24" state="visible" r:id="rId26"/>
  </sheets>
  <definedNames>
    <definedName function="false" hidden="false" name="a" vbProcedure="false">Кабели!A4:S4</definedName>
    <definedName function="false" hidden="false" name="b" vbProcedure="false">Кабели!A9:S9</definedName>
    <definedName function="false" hidden="false" name="BD" vbProcedure="false">'Умные часы'!A2:T2</definedName>
    <definedName function="false" hidden="false" name="bf3保护膜" vbProcedure="false">'Стёкла BF5, BF4, BF3'!A25:G25</definedName>
    <definedName function="false" hidden="false" name="bf4保护膜" vbProcedure="false">'Стёкла BF5, BF4, BF3'!A16:G16</definedName>
    <definedName function="false" hidden="false" name="bf5保护膜" vbProcedure="false">'Стёкла BF5, BF4, BF3'!A3:G3</definedName>
    <definedName function="false" hidden="false" name="BG" vbProcedure="false">'Офис и игры'!A4:S4</definedName>
    <definedName function="false" hidden="false" name="bg系列" vbProcedure="false">'Офис и игры'!A4:S4</definedName>
    <definedName function="false" hidden="false" name="bh" vbProcedure="false">'Беспроводные ЗУ и подставки'!A8:S8</definedName>
    <definedName function="false" hidden="false" name="bh无线充车载" vbProcedure="false">'Автомобильные держатели'!A4:S4</definedName>
    <definedName function="false" hidden="false" name="bh桌面支架" vbProcedure="false">'Беспроводные ЗУ и подставки'!A10:S10</definedName>
    <definedName function="false" hidden="false" name="BJ" vbProcedure="false">'Внешние аккумуляторы'!A4:S4</definedName>
    <definedName function="false" hidden="false" name="BJseries" vbProcedure="false">'Внешние аккумуляторы'!A4:S4</definedName>
    <definedName function="false" hidden="false" name="BL" vbProcedure="false">Аудиоаксессуары!A11:S11</definedName>
    <definedName function="false" hidden="false" name="bq无线充" vbProcedure="false">'Беспроводные ЗУ и подставки'!A4:S4</definedName>
    <definedName function="false" hidden="false" name="BR" vbProcedure="false">'Портативные колонки'!A4:T4</definedName>
    <definedName function="false" hidden="false" name="BUS" vbProcedure="false">'Переходники и хабы'!A21:S21</definedName>
    <definedName function="false" hidden="false" name="BUSSeries" vbProcedure="false">'Переходники и хабы'!A21:R21</definedName>
    <definedName function="false" hidden="false" name="BV" vbProcedure="false">'Переходники и хабы'!A11:S11</definedName>
    <definedName function="false" hidden="false" name="BVseries" vbProcedure="false">'Переходники и хабы'!A11:R11</definedName>
    <definedName function="false" hidden="false" name="BW" vbProcedure="false">'Наушники TWS'!A18:T18</definedName>
    <definedName function="false" hidden="false" name="BWseries" vbProcedure="false">'Наушники TWS'!A11:S11</definedName>
    <definedName function="false" hidden="false" name="BXSeries" vbProcedure="false">Кабели!A85:S85</definedName>
    <definedName function="false" hidden="false" name="bx系列" vbProcedure="false">Кабели!A77:S77</definedName>
    <definedName function="false" hidden="false" name="by系列" vbProcedure="false">'Беспроводные ЗУ и подставки'!A14:R14</definedName>
    <definedName function="false" hidden="false" name="DH" vbProcedure="false">'Переходники и хабы'!A8:S8</definedName>
    <definedName function="false" hidden="false" name="DHseries" vbProcedure="false">'Переходники и хабы'!A8:R8</definedName>
    <definedName function="false" hidden="false" name="EU" vbProcedure="false">'Зарядные устройства EU'!A107:S107</definedName>
    <definedName function="false" hidden="false" name="EUштекер" vbProcedure="false">'Зарядные устройства EU'!A4:S4</definedName>
    <definedName function="false" hidden="false" name="EU大系列" vbProcedure="false">'Зарядные устройства EU'!A23:S23</definedName>
    <definedName function="false" hidden="false" name="eu认证" vbProcedure="false">'Зарядные устройства EU'!A4:S4</definedName>
    <definedName function="false" hidden="false" name="EU非认证" vbProcedure="false">'Зарядные устройства EU'!A81:S81</definedName>
    <definedName function="false" hidden="false" name="FHseries" vbProcedure="false">'Переходники и хабы'!A4:R4</definedName>
    <definedName function="false" hidden="false" name="FHseries1" vbProcedure="false">'Переходники и хабы'!A4:R4</definedName>
    <definedName function="false" hidden="false" name="FQ" vbProcedure="false">'Наушники TWS'!A4:T4</definedName>
    <definedName function="false" hidden="false" name="FQseries" vbProcedure="false">'Наушники TWS'!A4:S4</definedName>
    <definedName function="false" hidden="false" name="iP" vbProcedure="false">'Наушники и гарнитуры'!A34:S34</definedName>
    <definedName function="false" hidden="false" name="iP12Series" vbProcedure="false">'Защитные стёкла'!A45:S45</definedName>
    <definedName function="false" hidden="false" name="iP12Series膜" vbProcedure="false">'Защитные стёкла'!A91:S91</definedName>
    <definedName function="false" hidden="false" name="iP12系列" vbProcedure="false">'Защитные стёкла'!A90:S90</definedName>
    <definedName function="false" hidden="false" name="iP14Series" vbProcedure="false">'Защитные стёкла'!A31:S31</definedName>
    <definedName function="false" hidden="false" name="iP14Series膜" vbProcedure="false">'Защитные стёкла'!A77:S77</definedName>
    <definedName function="false" hidden="false" name="iP14系列" vbProcedure="false">'Защитные стёкла'!A76:S76</definedName>
    <definedName function="false" hidden="false" name="iP15Series" vbProcedure="false">'Защитные стёкла'!A17:S17</definedName>
    <definedName function="false" hidden="false" name="iP15Series膜" vbProcedure="false">'Защитные стёкла'!A55:S55</definedName>
    <definedName function="false" hidden="false" name="iP15系列" vbProcedure="false">'Защитные стёкла'!A54:S54</definedName>
    <definedName function="false" hidden="false" name="iP16Series" vbProcedure="false">'Защитные стёкла'!A4:S4</definedName>
    <definedName function="false" hidden="false" name="iP16Series膜" vbProcedure="false">'Защитные стёкла'!A29:S29</definedName>
    <definedName function="false" hidden="false" name="iP16系列" vbProcedure="false">'Защитные стёкла'!A29:S29</definedName>
    <definedName function="false" hidden="false" name="iPX11Series" vbProcedure="false">'Защитные стёкла'!A53:S53</definedName>
    <definedName function="false" hidden="false" name="iPX11Series膜" vbProcedure="false">'Защитные стёкла'!A99:S99</definedName>
    <definedName function="false" hidden="false" name="iPx11系列" vbProcedure="false">'Защитные стёкла'!A98:S98</definedName>
    <definedName function="false" hidden="false" name="Microphone" vbProcedure="false">Аудиоаксессуары!A4:S4</definedName>
    <definedName function="false" hidden="false" name="Multi" vbProcedure="false">Кабели!A4:R4</definedName>
    <definedName function="false" hidden="false" name="Smartwatch" vbProcedure="false">'Умные часы'!A2:S2</definedName>
    <definedName function="false" hidden="false" name="Type" vbProcedure="false">'Наушники и гарнитуры'!A31:R31</definedName>
    <definedName function="false" hidden="false" name="TypeC" vbProcedure="false">'Наушники и гарнитуры'!A37:S37</definedName>
    <definedName function="false" hidden="false" name="TypeC耳机" vbProcedure="false">'Наушники и гарнитуры'!A32:S32</definedName>
    <definedName function="false" hidden="false" name="ДинамикисериBR" vbProcedure="false">'Портативные колонки'!A4:S4</definedName>
    <definedName function="false" hidden="false" name="Материалы" vbProcedure="false">'Материалы и стеллажи'!A2:H2</definedName>
    <definedName function="false" hidden="false" name="Микропон" vbProcedure="false">Аудиоаксессуары!A4:S4</definedName>
    <definedName function="false" hidden="false" name="Полки" vbProcedure="false">'Материалы и стеллажи'!A23:H23</definedName>
    <definedName function="false" hidden="false" name="СерияBG" vbProcedure="false">'Офис и игры'!A4:S4</definedName>
    <definedName function="false" hidden="false" name="СерияBJ" vbProcedure="false">'Внешние аккумуляторы'!A10:S10</definedName>
    <definedName function="false" hidden="false" name="СерияBL" vbProcedure="false">Аудиоаксессуары!A13:S13</definedName>
    <definedName function="false" hidden="false" name="СерияBUS" vbProcedure="false">'Переходники и хабы'!A21:S21</definedName>
    <definedName function="false" hidden="false" name="СерияBV" vbProcedure="false">Аудиоаксессуары!A36:S36</definedName>
    <definedName function="false" hidden="false" name="СерияBV1" vbProcedure="false">'Переходники и хабы'!A11:S11</definedName>
    <definedName function="false" hidden="false" name="СерияBW" vbProcedure="false">'Наушники TWS'!A13:S13</definedName>
    <definedName function="false" hidden="false" name="СерияDH" vbProcedure="false">'Переходники и хабы'!A8:S8</definedName>
    <definedName function="false" hidden="false" name="СерияFQ" vbProcedure="false">'Наушники TWS'!A4:S4</definedName>
    <definedName function="false" hidden="false" name="一拖n" vbProcedure="false">Кабели!A4:S4</definedName>
    <definedName function="false" hidden="false" name="单耳" vbProcedure="false">'Наушники и гарнитуры'!A4:S4</definedName>
    <definedName function="false" hidden="false" name="单耳耳机" vbProcedure="false">'Наушники и гарнитуры'!A4:S4</definedName>
    <definedName function="false" hidden="false" name="危包" vbProcedure="false">'Аккумуляторы — перевозка'!A4:S4</definedName>
    <definedName function="false" hidden="false" name="危包证" vbProcedure="false">'Аккумуляторы — перевозка'!A4:S4</definedName>
    <definedName function="false" hidden="false" name="双耳" vbProcedure="false">'Наушники и гарнитуры'!A10:S10</definedName>
    <definedName function="false" hidden="false" name="发射器" vbProcedure="false">Аудиоаксессуары!A47:S47</definedName>
    <definedName function="false" hidden="false" name="圆孔" vbProcedure="false">'Наушники и гарнитуры'!A49:S49</definedName>
    <definedName function="false" hidden="false" name="圆孔耳机" vbProcedure="false">'Наушники и гарнитуры'!A53:S53</definedName>
    <definedName function="false" hidden="false" name="圆孔耳机1" vbProcedure="false">'Наушники и гарнитуры'!A51:S51</definedName>
    <definedName function="false" hidden="false" name="大系列" vbProcedure="false">'Зарядные устройства EU'!A28:S28</definedName>
    <definedName function="false" hidden="false" name="大象" vbProcedure="false">'Стёкла серии Elephant'!A2:K2</definedName>
    <definedName function="false" hidden="false" name="大象宝华膜" vbProcedure="false">'Стёкла серии Elephant'!A2:K2</definedName>
    <definedName function="false" hidden="false" name="头戴耳机" vbProcedure="false">'Наушники и гарнитуры'!A22:S22</definedName>
    <definedName function="false" hidden="false" name="头戴耳机1" vbProcedure="false">'Наушники и гарнитуры'!A21:S21</definedName>
    <definedName function="false" hidden="false" name="排插" vbProcedure="false">'Розетки и сетевые адаптеры'!A2:S2</definedName>
    <definedName function="false" hidden="false" name="接收器" vbProcedure="false">Аудиоаксессуары!A43:S43</definedName>
    <definedName function="false" hidden="false" name="无线充" vbProcedure="false">'Беспроводные ЗУ и подставки'!A4:S4</definedName>
    <definedName function="false" hidden="false" name="无线车载" vbProcedure="false">'Автомобильные держатели'!A4:S4</definedName>
    <definedName function="false" hidden="false" name="无线车载支架" vbProcedure="false">'Автомобильные держатели'!A4:S4</definedName>
    <definedName function="false" hidden="false" name="智能手表" vbProcedure="false">'Умные часы'!A2:S2</definedName>
    <definedName function="false" hidden="false" name="桌面支架" vbProcedure="false">'Беспроводные ЗУ и подставки'!A10:S10</definedName>
    <definedName function="false" hidden="false" name="欧规" vbProcedure="false">'Зарядные устройства EU'!A100:S100</definedName>
    <definedName function="false" hidden="false" name="欧规认证" vbProcedure="false">'Зарядные устройства EU'!A4:S4</definedName>
    <definedName function="false" hidden="false" name="游戏" vbProcedure="false">'Наушники и гарнитуры'!A17:S17</definedName>
    <definedName function="false" hidden="false" name="游戏耳机" vbProcedure="false">'Наушники и гарнитуры'!A18:S18</definedName>
    <definedName function="false" hidden="false" name="物料" vbProcedure="false">'Материалы и стеллажи'!A2:H2</definedName>
    <definedName function="false" hidden="false" name="硅胶线" vbProcedure="false">Кабели!A9:S9</definedName>
    <definedName function="false" hidden="false" name="自拍杆" vbProcedure="false">'Беспроводные ЗУ и подставки'!A17:S17</definedName>
    <definedName function="false" hidden="false" name="苹果17保护膜" vbProcedure="false">'Защитные стёкла'!A4:S4</definedName>
    <definedName function="false" hidden="false" name="苹果耳机" vbProcedure="false">'Наушники и гарнитуры'!A29:S29</definedName>
    <definedName function="false" hidden="false" name="货架" vbProcedure="false">'Материалы и стеллажи'!A23:H23</definedName>
    <definedName function="false" hidden="false" name="车充" vbProcedure="false">'Автозарядки и аксессуары'!A7:S7</definedName>
    <definedName function="false" hidden="false" name="车充1" vbProcedure="false">'Автозарядки и аксессуары'!A8:S8</definedName>
    <definedName function="false" hidden="false" name="车支架" vbProcedure="false">'Автомобильные держатели'!A10:S10</definedName>
    <definedName function="false" hidden="false" name="车载支架" vbProcedure="false">'Автомобильные держатели'!A10:R10</definedName>
    <definedName function="false" hidden="false" name="车载支架bh" vbProcedure="false">'Автомобильные держатели'!A10:S10</definedName>
    <definedName function="false" hidden="false" name="车载用品" vbProcedure="false">'Автозарядки и аксессуары'!A4:S4</definedName>
    <definedName function="false" hidden="false" name="车载用品fc" vbProcedure="false">'Автозарядки и аксессуары'!A4:S4</definedName>
    <definedName function="false" hidden="false" name="运动耳机" vbProcedure="false">'Наушники и гарнитуры'!A11:S11</definedName>
    <definedName function="false" hidden="false" name="防丢器" vbProcedure="false">Аудиоаксессуары!A40:S40</definedName>
    <definedName function="false" hidden="false" name="防丢器1" vbProcedure="false">Аудиоаксессуары!A38:S38</definedName>
    <definedName function="false" hidden="false" name="非限制" vbProcedure="false">'Аккумуляторы — перевозка'!A40:S40</definedName>
    <definedName function="false" hidden="false" name="非限制性" vbProcedure="false">'Аккумуляторы — перевозка'!A38:S38</definedName>
    <definedName function="false" hidden="false" name="音频线" vbProcedure="false">Аудиоаксессуары!A11:S11</definedName>
    <definedName function="false" hidden="false" name="音频转接BV" vbProcedure="false">Аудиоаксессуары!A34:S34</definedName>
    <definedName function="false" hidden="false" name="麦克风" vbProcedure="false">Аудиоаксессуары!A4:S4</definedName>
    <definedName function="false" hidden="false" localSheetId="0" name="_xlnm.Print_Area" vbProcedure="false">Содержание!A1:E67</definedName>
    <definedName function="false" hidden="false" localSheetId="1" name="_xlnm.Print_Area" vbProcedure="false">Кабели!A1:S199</definedName>
    <definedName function="false" hidden="false" localSheetId="2" name="_xlnm.Print_Area" vbProcedure="false">'Переходники и хабы'!A1:S26</definedName>
    <definedName function="false" hidden="false" localSheetId="3" name="_xlnm.Print_Area" vbProcedure="false">'Внешние аккумуляторы'!A1:S54</definedName>
    <definedName function="false" hidden="false" localSheetId="4" name="_xlnm.Print_Area" vbProcedure="false">'Аккумуляторы — перевозка'!A1:S54</definedName>
    <definedName function="false" hidden="false" localSheetId="5" name="_xlnm.Print_Area" vbProcedure="false">'Зарядные устройства EU'!A1:S150</definedName>
    <definedName function="false" hidden="false" localSheetId="6" name="_xlnm.Print_Area" vbProcedure="false">'Розетки и сетевые адаптеры'!A1:S3</definedName>
    <definedName function="false" hidden="false" localSheetId="7" name="_xlnm.Print_Area" vbProcedure="false">'Беспроводные ЗУ и подставки'!A1:S21</definedName>
    <definedName function="false" hidden="false" localSheetId="8" name="_xlnm.Print_Area" vbProcedure="false">'Автомобильные держатели'!A1:S53</definedName>
    <definedName function="false" hidden="false" localSheetId="9" name="_xlnm.Print_Area" vbProcedure="false">'Автозарядки и аксессуары'!A1:S44</definedName>
    <definedName function="false" hidden="false" localSheetId="10" name="_xlnm.Print_Area" vbProcedure="false">'Наушники и гарнитуры'!A1:S86</definedName>
    <definedName function="false" hidden="false" localSheetId="11" name="_xlnm.Print_Area" vbProcedure="false">'Наушники TWS'!A1:S42</definedName>
    <definedName function="false" hidden="false" localSheetId="12" name="_xlnm.Print_Area" vbProcedure="false">'Портативные колонки'!A1:S19</definedName>
    <definedName function="false" hidden="false" localSheetId="13" name="_xlnm.Print_Area" vbProcedure="false">Аудиоаксессуары!A1:S58</definedName>
    <definedName function="false" hidden="false" localSheetId="14" name="_xlnm.Print_Area" vbProcedure="false">'Офис и игры'!A1:S31</definedName>
    <definedName function="false" hidden="false" localSheetId="15" name="_xlnm.Print_Area" vbProcedure="false">'Умные часы'!A1:S18</definedName>
    <definedName function="false" hidden="false" localSheetId="16" name="br" vbProcedure="false">'Портативные колонки'!A4:S4</definedName>
    <definedName function="false" hidden="false" localSheetId="16" name="BV" vbProcedure="false">Аудиоаксессуары!A30:R30</definedName>
    <definedName function="false" hidden="false" localSheetId="16" name="BXSeries" vbProcedure="false">Кабели!A80:R80</definedName>
    <definedName function="false" hidden="false" localSheetId="16" name="EU大系列" vbProcedure="false">'Зарядные устройства EU'!A23:R23</definedName>
    <definedName function="false" hidden="false" localSheetId="16" name="FHseries" vbProcedure="false">'Переходники и хабы'!A4:R4</definedName>
    <definedName function="false" hidden="false" localSheetId="16" name="iP" vbProcedure="false">'Наушники и гарнитуры'!A28:S28</definedName>
    <definedName function="false" hidden="false" localSheetId="16" name="_xlnm.Print_Area" vbProcedure="false">'Аксессуары iPhone 18 Pro'!A1:S30</definedName>
    <definedName function="false" hidden="false" localSheetId="16" name="单耳" vbProcedure="false">'Наушники и гарнитуры'!A4:S4</definedName>
    <definedName function="false" hidden="false" localSheetId="16" name="危包" vbProcedure="false">'Аккумуляторы — перевозка'!A4:S4</definedName>
    <definedName function="false" hidden="false" localSheetId="16" name="大象" vbProcedure="false">'Стёкла серии Elephant'!A2:K2</definedName>
    <definedName function="false" hidden="false" localSheetId="16" name="头戴耳机" vbProcedure="false">'Наушники и гарнитуры'!A20:R20</definedName>
    <definedName function="false" hidden="false" localSheetId="16" name="无线充" vbProcedure="false">'Беспроводные ЗУ и подставки'!A4:S4</definedName>
    <definedName function="false" hidden="false" localSheetId="16" name="游戏耳机" vbProcedure="false">'Наушники и гарнитуры'!A16:S16</definedName>
    <definedName function="false" hidden="false" localSheetId="16" name="物料" vbProcedure="false">'Материалы и стеллажи'!A2:H2</definedName>
    <definedName function="false" hidden="false" localSheetId="16" name="硅胶线" vbProcedure="false">Кабели!A9:R9</definedName>
    <definedName function="false" hidden="false" localSheetId="16" name="自拍杆" vbProcedure="false">'Беспроводные ЗУ и подставки'!A16:S16</definedName>
    <definedName function="false" hidden="false" localSheetId="16" name="货架" vbProcedure="false">'Материалы и стеллажи'!A23:H23</definedName>
    <definedName function="false" hidden="false" localSheetId="16" name="车载用品" vbProcedure="false">'Зарядные устройства EU'!A23:R23</definedName>
    <definedName function="false" hidden="false" localSheetId="16" name="运动耳机" vbProcedure="false">'Наушники и гарнитуры'!A10:S10</definedName>
    <definedName function="false" hidden="false" localSheetId="16" name="非限制" vbProcedure="false">'Аккумуляторы — перевозка'!A37:S37</definedName>
    <definedName function="false" hidden="false" localSheetId="17" name="_xlnm.Print_Area" vbProcedure="false">'Защитные стёкла'!A1:S107</definedName>
    <definedName function="false" hidden="false" localSheetId="18" name="_xlnm.Print_Area" vbProcedure="false">Чехлы!A1:M4</definedName>
    <definedName function="false" hidden="false" localSheetId="19" name="_xlnm.Print_Area" vbProcedure="false">'Стёкла для iPhone'!A1:M4</definedName>
    <definedName function="false" hidden="false" localSheetId="20" name="_xlnm.Print_Area" vbProcedure="false">'Стёкла серии Elephant'!A1:K54</definedName>
    <definedName function="false" hidden="false" localSheetId="21" name="_xlnm.Print_Area" vbProcedure="false">'Стёкла BF5, BF4, BF3'!A1:G32</definedName>
    <definedName function="false" hidden="false" localSheetId="22" name="_xlnm.Print_Area" vbProcedure="false">'Материалы и стеллажи'!A1:H33</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<sst xmlns="http://schemas.openxmlformats.org/spreadsheetml/2006/main" count="9737" uniqueCount="3697">
  <si>
    <t xml:space="preserve">Содержание</t>
  </si>
  <si>
    <t xml:space="preserve">Кабели</t>
  </si>
  <si>
    <t xml:space="preserve">Адаптер</t>
  </si>
  <si>
    <t xml:space="preserve">Портативные аккумуляторы</t>
  </si>
  <si>
    <t xml:space="preserve">Многозарядные кабели</t>
  </si>
  <si>
    <t xml:space="preserve">Серия FH (док-станция расширения USB-HUB)</t>
  </si>
  <si>
    <t xml:space="preserve">Серия BJ (настоящий стандарт)</t>
  </si>
  <si>
    <t xml:space="preserve">Силиконовые кабели (первые в отрасли)</t>
  </si>
  <si>
    <t xml:space="preserve">Серия DH (док-станция расширения USB-HUB)</t>
  </si>
  <si>
    <t xml:space="preserve">Серия BU (качество, новаторство, индивидуальность)</t>
  </si>
  <si>
    <t xml:space="preserve">Серия BV (аудиоадаптер)</t>
  </si>
  <si>
    <t xml:space="preserve">Серия BX (высокая соотношение цены и качества)</t>
  </si>
  <si>
    <t xml:space="preserve">Серия BUS</t>
  </si>
  <si>
    <t xml:space="preserve">Портативные аккумуляторы (UN)</t>
  </si>
  <si>
    <t xml:space="preserve">Зарядное устройство (ЕU)</t>
  </si>
  <si>
    <t xml:space="preserve">Беспроводная зарядка и настольная подставка</t>
  </si>
  <si>
    <t xml:space="preserve">С сертификатом «Опасный багаж»</t>
  </si>
  <si>
    <t xml:space="preserve">EU штекер (сертификация CE и RoHS)</t>
  </si>
  <si>
    <t xml:space="preserve">держатель с беспроводной зарядкой (Серия BQ )</t>
  </si>
  <si>
    <t xml:space="preserve">Неопасные товары</t>
  </si>
  <si>
    <t xml:space="preserve">EU штекер（Частная модельная серия）</t>
  </si>
  <si>
    <t xml:space="preserve">настольная подставка (Серия BH)</t>
  </si>
  <si>
    <t xml:space="preserve">EU штекер </t>
  </si>
  <si>
    <t xml:space="preserve">подставка для прямой трансляции (BH/BY series)</t>
  </si>
  <si>
    <t xml:space="preserve">Автомобильный держатель</t>
  </si>
  <si>
    <t xml:space="preserve">Автомобильные аксессуары</t>
  </si>
  <si>
    <t xml:space="preserve">наушники </t>
  </si>
  <si>
    <t xml:space="preserve">апвтомобильный держатель с беспроводной зарядкой</t>
  </si>
  <si>
    <t xml:space="preserve">Серия BC(Гарнитура BT для одного уха)</t>
  </si>
  <si>
    <t xml:space="preserve">Автомобильное зарядное устройство</t>
  </si>
  <si>
    <t xml:space="preserve">Серия BE(Спортивная гарнитура BT)</t>
  </si>
  <si>
    <t xml:space="preserve">Серия BO(игровые наушники)</t>
  </si>
  <si>
    <t xml:space="preserve">Серия BO（Наушники）</t>
  </si>
  <si>
    <t xml:space="preserve">Проводные наушники для iP (для iP интерфейса)</t>
  </si>
  <si>
    <t xml:space="preserve">Проводные наушники для Type-C (интерфейс Type-C)</t>
  </si>
  <si>
    <t xml:space="preserve">Проводные наушники на 3,5 мм (интерфейс 3,5 мм)</t>
  </si>
  <si>
    <t xml:space="preserve">Гарнитура TWS</t>
  </si>
  <si>
    <t xml:space="preserve">BT динамик</t>
  </si>
  <si>
    <t xml:space="preserve">Аудио Другое</t>
  </si>
  <si>
    <t xml:space="preserve">Серия FQ</t>
  </si>
  <si>
    <t xml:space="preserve">Cерия BR (Динамики )</t>
  </si>
  <si>
    <t xml:space="preserve">Микропон</t>
  </si>
  <si>
    <t xml:space="preserve">Серия BW</t>
  </si>
  <si>
    <t xml:space="preserve">Серия BL (аудиокабели)</t>
  </si>
  <si>
    <t xml:space="preserve">Анти-потерянное устройство</t>
  </si>
  <si>
    <t xml:space="preserve">Автомобильный BT-ресивер</t>
  </si>
  <si>
    <t xml:space="preserve">Офис&amp;Игры</t>
  </si>
  <si>
    <t xml:space="preserve">Смарт часы</t>
  </si>
  <si>
    <t xml:space="preserve">Серия iPhone 17</t>
  </si>
  <si>
    <t xml:space="preserve">Серия BG</t>
  </si>
  <si>
    <t xml:space="preserve">Серия BD</t>
  </si>
  <si>
    <t xml:space="preserve">Закаленное стекло</t>
  </si>
  <si>
    <t xml:space="preserve">Пленка из закаленного стекла</t>
  </si>
  <si>
    <t xml:space="preserve">Полноэкранное закаленное стекло-пленка</t>
  </si>
  <si>
    <t xml:space="preserve">Elephant series закаленное стекло-пленка на заказ</t>
  </si>
  <si>
    <t xml:space="preserve">Серия iP 16</t>
  </si>
  <si>
    <r>
      <rPr>
        <sz val="9"/>
        <color theme="1" tint="0.2499"/>
        <rFont val="微软雅黑"/>
        <family val="0"/>
        <charset val="134"/>
      </rPr>
      <t xml:space="preserve">Закаленное стекло-пленка (для iP</t>
    </r>
    <r>
      <rPr>
        <sz val="9"/>
        <color theme="1" tint="0.2499"/>
        <rFont val="Noto Sans"/>
        <family val="2"/>
      </rPr>
      <t xml:space="preserve">）</t>
    </r>
  </si>
  <si>
    <t xml:space="preserve">Закаленное стекло-пленка (для iP, Samsung, Huawei и др.)</t>
  </si>
  <si>
    <t xml:space="preserve">Серия iP 15</t>
  </si>
  <si>
    <t xml:space="preserve">Серия BF5</t>
  </si>
  <si>
    <t xml:space="preserve">Серия iP 14</t>
  </si>
  <si>
    <t xml:space="preserve">Серия BF4</t>
  </si>
  <si>
    <t xml:space="preserve">Серия iP 12</t>
  </si>
  <si>
    <t xml:space="preserve">Серия BF3</t>
  </si>
  <si>
    <t xml:space="preserve">Серия iP X/11</t>
  </si>
  <si>
    <t xml:space="preserve">магазина/Полки</t>
  </si>
  <si>
    <t xml:space="preserve">магазина</t>
  </si>
  <si>
    <t xml:space="preserve">Полки</t>
  </si>
  <si>
    <t xml:space="preserve">Наименование</t>
  </si>
  <si>
    <t xml:space="preserve">Фото товара</t>
  </si>
  <si>
    <t xml:space="preserve">Упаковка</t>
  </si>
  <si>
    <t xml:space="preserve">Артикул / штрихкод</t>
  </si>
  <si>
    <t xml:space="preserve">Цвет</t>
  </si>
  <si>
    <t>цена</t>
  </si>
  <si>
    <t xml:space="preserve">Количество к заказу</t>
  </si>
  <si>
    <t xml:space="preserve">Сумма заказа, ₽</t>
  </si>
  <si>
    <t xml:space="preserve">Вес
G.W.(г)</t>
  </si>
  <si>
    <t xml:space="preserve">Вес большой коробки (кг)</t>
  </si>
  <si>
    <t xml:space="preserve">Рзмер индивидуальной упаковки
(см)</t>
  </si>
  <si>
    <t xml:space="preserve">Кол-во в средней коробке (шт)</t>
  </si>
  <si>
    <t xml:space="preserve">Размер средней коробки (см)</t>
  </si>
  <si>
    <t xml:space="preserve">Кол-во в большой коробке (шт)</t>
  </si>
  <si>
    <t xml:space="preserve">Размер большой коробки (см)</t>
  </si>
  <si>
    <t xml:space="preserve">VOLUME
(cbm)</t>
  </si>
  <si>
    <t xml:space="preserve">Описание</t>
  </si>
  <si>
    <t xml:space="preserve">Сыллка на фото</t>
  </si>
  <si>
    <t xml:space="preserve">Ссылка на видео</t>
  </si>
  <si>
    <t xml:space="preserve">BX72 3-в-1 зарядный кабель (iP+Type-C+Micro)</t>
  </si>
  <si>
    <t xml:space="preserve">6974443384666</t>
  </si>
  <si>
    <t xml:space="preserve">черный</t>
  </si>
  <si>
    <t xml:space="preserve">20.2*7*2</t>
  </si>
  <si>
    <t xml:space="preserve">отсутствует</t>
  </si>
  <si>
    <t xml:space="preserve">нет данных</t>
  </si>
  <si>
    <t xml:space="preserve">63.9*44.8*46.3</t>
  </si>
  <si>
    <t xml:space="preserve">1. Длина: 1м (основной кабель 0.8м + суб - кабель 0.2м), вес: 37г
2. Внешний материал: нейлон
3. Материал коннекторов: алюминиевый сплав
4. Сердечник: основной кабель (34/0.1)*2+ суб - кабель (26/0.1)*2 OD3.2мм
5. Максимальный ток 2A
6. Передача данных не поддерживается.</t>
  </si>
  <si>
    <t xml:space="preserve">http://hoco.i234.me:8000/sharing/sNZRr3fRn</t>
  </si>
  <si>
    <t xml:space="preserve">-</t>
  </si>
  <si>
    <t xml:space="preserve">BX71 3-в-1 зарядный кабель (iP+Micro+Type-C)</t>
  </si>
  <si>
    <t xml:space="preserve">6974443384543</t>
  </si>
  <si>
    <t xml:space="preserve">20.2*7.1*2</t>
  </si>
  <si>
    <t xml:space="preserve">1. Длина: 1м (основной кабель 0.8 + суб-кабель 0.2), вес: 42г.
2. Внешний материал: PVC.
3. Материал коннектора: PVC.
4. Сердечник: основной кабель (34/0.1)*2, суб-кабель (26/0.1)*2 OD3.5мм.
5. Ток до 2A.
6. Передача данных не поддерживается.</t>
  </si>
  <si>
    <t xml:space="preserve">http://hoco.i234.me:8000/sharing/lvPYWc2jK</t>
  </si>
  <si>
    <t xml:space="preserve">6974443384550</t>
  </si>
  <si>
    <t xml:space="preserve">белый</t>
  </si>
  <si>
    <t xml:space="preserve">Силиконовые кабели</t>
  </si>
  <si>
    <t xml:space="preserve">BX123 Leya PD30W силиконовый зарядный дата кабель iP</t>
  </si>
  <si>
    <t xml:space="preserve">6941991124174</t>
  </si>
  <si>
    <t xml:space="preserve">20.2*7.2*2.1</t>
  </si>
  <si>
    <t xml:space="preserve">1. Длина: 1 м; вес: 25 г
2. Материал оплетки: силикон
3. Материал коннекторов: Силикон
4. Сердечник: (35/0.1) * 2+(10/0.1) * 3 Диаметр 3,8 мм
5. Поддерживает быструю зарядку Apple PD мощностью 30 Вт</t>
  </si>
  <si>
    <t xml:space="preserve">http://gofile.me/649X4/YnLPowi3z</t>
  </si>
  <si>
    <t xml:space="preserve">6941991124181</t>
  </si>
  <si>
    <t xml:space="preserve">BX123 Leya 60W силиконовый зарядный дата кабель C на C</t>
  </si>
  <si>
    <t xml:space="preserve">6941991124235</t>
  </si>
  <si>
    <t xml:space="preserve">1. Длина: 1 м; вес: 25 г
2. Материал оплетки: силикон
3. Материал коннекторов: Силикон
4. Сердечник: (35/0.1) * 2+(10/0.1) * 3 Диаметр 3,8 мм
5. Поддерживает быструю зарядку мощностью 60Вт для ноутбука и тока 3А для телефонов</t>
  </si>
  <si>
    <t xml:space="preserve">http://gofile.me/649X4/GpiR1G2df</t>
  </si>
  <si>
    <t xml:space="preserve">6941991124242</t>
  </si>
  <si>
    <t xml:space="preserve">BX123 Leya силиконовый зарядный дата кабель iP</t>
  </si>
  <si>
    <t xml:space="preserve">6941991124198</t>
  </si>
  <si>
    <t xml:space="preserve">1. Длина: 1 м; вес: 25 г
2. Материал оплетки: силикон
3. Материал коннекторов: Силикон
4. Сердечник: (43/0.08) * 2+(13/0.08) * 2 OD3.8mm
5. Ток до 2.4A</t>
  </si>
  <si>
    <t xml:space="preserve">http://gofile.me/649X4/hHleggMEF</t>
  </si>
  <si>
    <t xml:space="preserve">6941991124204</t>
  </si>
  <si>
    <t xml:space="preserve">BX123 Leya силиконовый зарядный дата кабель Type-C</t>
  </si>
  <si>
    <t xml:space="preserve">6941991124211</t>
  </si>
  <si>
    <t xml:space="preserve">1. Длина: 1 м; вес: 25 г
2. Материал оплетки: силикон
3. Материал коннекторов: Силикон
4. Сердечник: (43/0.08) * 2+(13/0.08) * 2 OD3.8mm
5. Ток до 3A</t>
  </si>
  <si>
    <t xml:space="preserve">http://gofile.me/649X4/3w2Zbpruf</t>
  </si>
  <si>
    <t xml:space="preserve">6941991124228</t>
  </si>
  <si>
    <t xml:space="preserve">BX115 Lotto PD силиконовый зарядный дата кабель iP</t>
  </si>
  <si>
    <t xml:space="preserve">6941991119613</t>
  </si>
  <si>
    <t xml:space="preserve">1. Длина: 1m; вес: 25g
2. Внешний материал: двуслойный прозрачный силикон
3. Материал коннекторов: PVC
4. Сердечник: (35/0.1) * 2+(10/0.1) * 3 OD4.2mm
5. Поддержка Apple PD 27W.</t>
  </si>
  <si>
    <t xml:space="preserve">http://gofile.me/649X4/mskdmNlba</t>
  </si>
  <si>
    <t xml:space="preserve">BX115 Lotto 60W силиконовый зарядный дата кабель C на C</t>
  </si>
  <si>
    <t xml:space="preserve">6941991119699</t>
  </si>
  <si>
    <t xml:space="preserve">1. Длина: 1m; вес: 25g
2. Внешний материал: двуслойный прозрачный силикон
3. Материал коннекторов: PVC
4. Сердечник: (35/0.1) * 2+(10/0.1) * 3 OD4.2mm
5. Поддержка зарядки 60W для ноутбука и тока 3A для телефона</t>
  </si>
  <si>
    <t xml:space="preserve">http://gofile.me/649X4/Z1r8DJUvJ</t>
  </si>
  <si>
    <t xml:space="preserve">BX115 Lotto силиконовый зарядный дата кабель iP</t>
  </si>
  <si>
    <t xml:space="preserve">6941991119637</t>
  </si>
  <si>
    <t xml:space="preserve">1. Длина: 1m; вес: 25g
2. Внешний материал: двуслойный прозрачный силикон
3. Материал коннекторов: PVC
4. Сердечник: (43/0.08) * 2+(13/0.08) * 2 OD4.2mm
5. Ток до 2.4А.</t>
  </si>
  <si>
    <t xml:space="preserve">http://gofile.me/649X4/QgGyAHsWJ</t>
  </si>
  <si>
    <t xml:space="preserve">BX115 Lotto силиконовый зарядный дата кабель Micro</t>
  </si>
  <si>
    <t xml:space="preserve">6941991119651</t>
  </si>
  <si>
    <t xml:space="preserve">http://gofile.me/649X4/KzEoCFGSK</t>
  </si>
  <si>
    <t xml:space="preserve">BX115 Lotto силиконовый зарядный дата кабель Type-C</t>
  </si>
  <si>
    <t xml:space="preserve">6941991119675</t>
  </si>
  <si>
    <t xml:space="preserve">1. Длина: 1m; вес: 25g
2. Внешний материал: двуслойный прозрачный силикон
3. Материал коннекторов: PVC
4. Сердечник: (43/0.08) * 2+(13/0.08) * 2 OD4.2mm
5. Ток до 3A.</t>
  </si>
  <si>
    <t xml:space="preserve">http://gofile.me/649X4/TTkX61W2n</t>
  </si>
  <si>
    <t xml:space="preserve">BX114 Structure PD силиконовый зарядный дата кабель iP</t>
  </si>
  <si>
    <t xml:space="preserve">6941991116827</t>
  </si>
  <si>
    <t xml:space="preserve">20.3*7.2*2</t>
  </si>
  <si>
    <t xml:space="preserve">1. Длина: 1m; вес: 25g
2. Внешний материал: силикон
3. Материал коннекторов: силикон
4. Сердечник: (65/0.08)*2+(16/0.08)*3 OD3.8mm
5. Поддержка быстрой зарядки Apple PD 27W.</t>
  </si>
  <si>
    <t xml:space="preserve">http://gofile.me/649X4/uT2FPKWKU</t>
  </si>
  <si>
    <t xml:space="preserve">6941991116834</t>
  </si>
  <si>
    <t xml:space="preserve">BX114 Structure 60W силиконовый зарядный дата кабель C на C</t>
  </si>
  <si>
    <t xml:space="preserve">6941991116902</t>
  </si>
  <si>
    <t xml:space="preserve">1. Длина: 1m; вес: 25g
2. Внешний материал: силикон
3. Материал коннекторов: силикон
4. Сердечник: (65/0.08)*2+(16/0.08)*3 OD3.8mm
5. Поддержка зарядки 60W для ноутбука и тока 3А для телефона.</t>
  </si>
  <si>
    <t xml:space="preserve">http://gofile.me/649X4/VVZANAITg</t>
  </si>
  <si>
    <t xml:space="preserve">6941991116919</t>
  </si>
  <si>
    <t xml:space="preserve">BX114 Structure силиконовый зарядный дата кабель iP</t>
  </si>
  <si>
    <t xml:space="preserve">6941991116841</t>
  </si>
  <si>
    <t xml:space="preserve">1. Длина: 1m; вес: 25g
2. Внешний материал: силикон
3. Материал коннекторов: силикон
4. Сердечник: (50/0.08)*2+(16/0.08)*2 OD3.8mm
5. Ток до 2.4A</t>
  </si>
  <si>
    <t xml:space="preserve">http://gofile.me/649X4/47TpJyq79</t>
  </si>
  <si>
    <t xml:space="preserve">6941991116858</t>
  </si>
  <si>
    <t xml:space="preserve">BX114 Structure силиконовый зарядный дата кабель Micro</t>
  </si>
  <si>
    <t xml:space="preserve">6941991116865</t>
  </si>
  <si>
    <t xml:space="preserve">http://gofile.me/649X4/2JmZ41xHB</t>
  </si>
  <si>
    <t xml:space="preserve">6941991116872</t>
  </si>
  <si>
    <t xml:space="preserve">BX114 Structure силиконовый зарядный дата кабель Type-C</t>
  </si>
  <si>
    <t xml:space="preserve">6941991116889</t>
  </si>
  <si>
    <t xml:space="preserve">1. Длина: 1m; вес: 25g
2. Внешний материал: силикон
3. Материал коннекторов: силикон
4. Сердечник: (50/0.08)*2+(16/0.08)*2 OD3.8mm
5. Ток до 3A</t>
  </si>
  <si>
    <t xml:space="preserve">http://gofile.me/649X4/krD6GeIhn</t>
  </si>
  <si>
    <t xml:space="preserve">6941991116896</t>
  </si>
  <si>
    <t xml:space="preserve">BX113 Lenny PD силиконовый зарядный дата кабель iP(L=1M)</t>
  </si>
  <si>
    <t xml:space="preserve">6941991115370</t>
  </si>
  <si>
    <t xml:space="preserve">1. Длина: 1m; Вес: 23g
2. Внешний материал: силикон
3. Материал коннекторов: силикон
4. Сердечник: (35/0.1)*2+(10/0.1)*3 OD3.8mm
5. Поддержка зарядки Apple PD 27W</t>
  </si>
  <si>
    <t xml:space="preserve">http://gofile.me/649X4/r8CPZvrOw</t>
  </si>
  <si>
    <t xml:space="preserve">6941991115387</t>
  </si>
  <si>
    <t xml:space="preserve">BX113 Lenny PD силиконовый зарядный дата кабель iP(L=2M)</t>
  </si>
  <si>
    <t xml:space="preserve">6941991115479</t>
  </si>
  <si>
    <t xml:space="preserve">1. Длина: 2m; Вес: 45g
2. Внешний материал: силикон
3. Материал коннекторов: силикон
4. Сердечник: (40/0.1)*2+(10/0.1)*3 OD3.8mm
5. Поддержка зарядки Apple PD 27W</t>
  </si>
  <si>
    <t xml:space="preserve">http://gofile.me/649X4/pp0RG5Udq</t>
  </si>
  <si>
    <t xml:space="preserve">BX113 Lenny PD силиконовый зарядный дата кабель iP(L=3M)</t>
  </si>
  <si>
    <t xml:space="preserve">6941991115523</t>
  </si>
  <si>
    <t xml:space="preserve">1. Длина: 3m; Вес: 69g
2. Внешний материал: силикон
3. Материал коннекторов: силикон
4. Сердечник: (50/0.1)*2+(10/0.1)*3 OD3.8mm
5. Поддержка зарядки Apple PD 27W</t>
  </si>
  <si>
    <t xml:space="preserve">BX113 Lenny 60W силиконовый зарядный дата кабель C на C(L=1M)</t>
  </si>
  <si>
    <t xml:space="preserve">6941991115455</t>
  </si>
  <si>
    <t xml:space="preserve">1. Длина: 1m; Вес: 23g
2. Внешний материал: силикон
3. Материал коннекторов: силикон
4. Сердечник: (35/0.1)*2+(10/0.1)*3 OD3.8mm
5. Поддержка зарядки 60W для ноутбука и тока 3A для телефона</t>
  </si>
  <si>
    <t xml:space="preserve">http://gofile.me/649X4/DFnEAdxfK</t>
  </si>
  <si>
    <t xml:space="preserve">6941991115462</t>
  </si>
  <si>
    <t xml:space="preserve">BX113 Lenny 60W силиконовый зарядный дата кабель C на C(L=2M)</t>
  </si>
  <si>
    <t xml:space="preserve">6941991115516</t>
  </si>
  <si>
    <t xml:space="preserve">1. Длина: 2m; Вес: 45g
2. Внешний материал: силикон
3. Материал коннекторов: силикон
4. Сердечник: (40/0.1)*2+(10/0.1)*3 OD3.8mm
5. Поддержка зарядки 60W для ноутбука и тока 3A для телефона</t>
  </si>
  <si>
    <t xml:space="preserve">http://gofile.me/649X4/Kt4h0cLvg</t>
  </si>
  <si>
    <t xml:space="preserve">BX113 Lenny 60W силиконовый зарядный дата кабель C на C(L=3M)</t>
  </si>
  <si>
    <t xml:space="preserve">6941991115561</t>
  </si>
  <si>
    <t xml:space="preserve">1. Длина: 3m; Вес: 69g
2. Внешний материал: силикон
3. Материал коннекторов: силикон
4. Сердечник: (50/0.1)*2+(10/0.1)*3 OD3.8mm
5. Поддержка зарядки 60W для ноутбука и тока 3A для телефона</t>
  </si>
  <si>
    <t xml:space="preserve">BX113 Lenny силиконовый зарядный дата кабель iP(L=1M)</t>
  </si>
  <si>
    <t xml:space="preserve">6941991115394</t>
  </si>
  <si>
    <t xml:space="preserve">1. Длина: 1m; Вес: 23g
2. Внешний материал: силикон
3. Материал коннекторов: силикон
4. Сердечник: (43/0.08)*2+(13/0.08)*2 OD3.8mm
5. Ток до 2,4А.</t>
  </si>
  <si>
    <t xml:space="preserve">http://gofile.me/649X4/yh8shi7zr</t>
  </si>
  <si>
    <t xml:space="preserve">6941991115400</t>
  </si>
  <si>
    <t xml:space="preserve">BX113 Lenny силиконовый зарядный дата кабель iP(L=2M)</t>
  </si>
  <si>
    <t xml:space="preserve">6941991115486</t>
  </si>
  <si>
    <t xml:space="preserve">1. Длина: 2m; Вес: 45g
2. Внешний материал: силикон
3. Материал коннекторов: силикон
4. Сердечник: (40/0.1)*2+(10/0.1)*2 OD3.8mm
5. Ток до 2,4А.</t>
  </si>
  <si>
    <t xml:space="preserve">http://gofile.me/649X4/1bCN6yNl1</t>
  </si>
  <si>
    <t xml:space="preserve">BX113 Lenny силиконовый зарядный дата кабель iP(L=3M)</t>
  </si>
  <si>
    <t xml:space="preserve">6941991115530</t>
  </si>
  <si>
    <t xml:space="preserve">1. Длина: 3m; Вес: 69g
2. Внешний материал: силикон
3. Материал коннекторов: силикон
4. Сердечник: (50/0.1)*2+(10/0.1)*2 OD3.8mm
5. Ток до 2,4А.</t>
  </si>
  <si>
    <t xml:space="preserve">BX113 Lenny силиконовый зарядный дата кабель Micro(L=1M)</t>
  </si>
  <si>
    <t xml:space="preserve">6941991115417</t>
  </si>
  <si>
    <t xml:space="preserve">http://gofile.me/649X4/SalYxwIJY</t>
  </si>
  <si>
    <t xml:space="preserve">6941991115424</t>
  </si>
  <si>
    <t xml:space="preserve">BX113 Lenny силиконовый зарядный дата кабель Micro(L=2M)</t>
  </si>
  <si>
    <t xml:space="preserve">6941991115493</t>
  </si>
  <si>
    <t xml:space="preserve">http://gofile.me/649X4/cjJxdF8lS</t>
  </si>
  <si>
    <t xml:space="preserve">BX113 Lenny силиконовый зарядный дата кабель Micro(L=3M)</t>
  </si>
  <si>
    <t xml:space="preserve">6941991115547</t>
  </si>
  <si>
    <t xml:space="preserve">BX113 Lenny силиконовый зарядный дата кабель Type-C(L=1M)</t>
  </si>
  <si>
    <t xml:space="preserve">6941991115431</t>
  </si>
  <si>
    <t xml:space="preserve">чёрный</t>
  </si>
  <si>
    <t xml:space="preserve">1. Длина: 1m; Вес: 23g
2. Внешний материал: силикон
3. Материал коннекторов: силикон
4. Сердечник: (43/0.08)*2+(13/0.08)*2 OD3.8mm
5. Ток до 3А.</t>
  </si>
  <si>
    <t xml:space="preserve">http://gofile.me/649X4/pjgwiJJ4T</t>
  </si>
  <si>
    <t xml:space="preserve">6941991115448</t>
  </si>
  <si>
    <t xml:space="preserve">white</t>
  </si>
  <si>
    <t xml:space="preserve">BX113 Lenny силиконовый зарядный дата кабель Type-C(L=2M)</t>
  </si>
  <si>
    <t xml:space="preserve">6941991115509</t>
  </si>
  <si>
    <t xml:space="preserve">1. Длина: 2m; Вес: 45g
2. Внешний материал: силикон
3. Материал коннекторов: силикон
4. Сердечник: (40/0.1)*2+(10/0.1)*2 OD3.8mm
5. Ток до 3А.</t>
  </si>
  <si>
    <t xml:space="preserve">http://gofile.me/649X4/imeUDX1Ma</t>
  </si>
  <si>
    <t xml:space="preserve">BX113 Lenny силиконовый зарядный дата кабель Type-C(L=3M)</t>
  </si>
  <si>
    <t xml:space="preserve">6941991115554</t>
  </si>
  <si>
    <t xml:space="preserve">1. Длина: 3m; Вес: 69g
2. Внешний материал: силикон
3. Материал коннекторов: силикон
4. Сердечник: (50/0.1)*2+(10/0.1)*2 OD3.8mm
5. Ток до 3А.</t>
  </si>
  <si>
    <t xml:space="preserve">BX86 Advantage силиконовый зарядный дата кабель для iP</t>
  </si>
  <si>
    <t xml:space="preserve">6974443388794</t>
  </si>
  <si>
    <t xml:space="preserve">20.3*7.1*2</t>
  </si>
  <si>
    <t xml:space="preserve">1. Длина: 1m, вес: 24g
2. Внешний материал: силикон
3. Материал коннекторов:
4. Сердечник: (43/0.08) * 2+(16/0.08) * 2 OD3.5mm
5. Ток до 2.4A.</t>
  </si>
  <si>
    <t xml:space="preserve">http://gofile.me/649X4/9m1XzPnHS</t>
  </si>
  <si>
    <t xml:space="preserve">BX86 Advantage силиконовый зарядный дата кабель для Micro</t>
  </si>
  <si>
    <t xml:space="preserve">6974443388800</t>
  </si>
  <si>
    <t xml:space="preserve">http://gofile.me/649X4/OVH5WY0SY</t>
  </si>
  <si>
    <t xml:space="preserve">BX86 Advantage силиконовый зарядный дата кабель для Type-C</t>
  </si>
  <si>
    <t xml:space="preserve">6974443388831</t>
  </si>
  <si>
    <t xml:space="preserve">1. Длина: 1m, вес: 24g
2. Внешний материал: силикон
3. Материал коннекторов:
4. Сердечник: (43/0.08) * 2+(16/0.08) * 2 OD3.5mm
5. Ток до 3A.</t>
  </si>
  <si>
    <t xml:space="preserve">http://gofile.me/649X4/WbHyMIN89</t>
  </si>
  <si>
    <t xml:space="preserve">BX83 Type-C to Type-C Famous 60W силиконовый зарядный дата кабель</t>
  </si>
  <si>
    <t xml:space="preserve">6974443386448</t>
  </si>
  <si>
    <t xml:space="preserve">1. Длина: 1m. Вес: 24г.
2. Внешний материал: силикон.
3. Материал коннекторов: алюминиевый сплав.
4. Сердечник: (55/0.08)*2+(13/0.08)*3 OD3.5мм
5. Поддержка зарядки 60W (20V/3A) для ноутбуков и тока 3А для телефонов.</t>
  </si>
  <si>
    <t xml:space="preserve">http://hoco.i234.me:8000/sharing/NFPcCt3Gu</t>
  </si>
  <si>
    <t xml:space="preserve">http://gofile.me/649X4/njc0p84x0</t>
  </si>
  <si>
    <t xml:space="preserve">BX83 iP Famous силиконовый зарядный дата кабель</t>
  </si>
  <si>
    <t xml:space="preserve">6974443386356</t>
  </si>
  <si>
    <t xml:space="preserve">1. Длина: 1m. Вес: 24г.
2. Внешний материал: силикон.
3. Материал коннекторов: алюминиевый сплав.
4. Сердечник: (43/0.08)*2+(13/0.08)*2 OD3.5мм
5. Ток до 2.4А.</t>
  </si>
  <si>
    <t xml:space="preserve">http://hoco.i234.me:8000/sharing/XOJCdZIKO</t>
  </si>
  <si>
    <t xml:space="preserve">6974443386363</t>
  </si>
  <si>
    <t xml:space="preserve">BX83 Type-C Famous силиконовый зарядный дата кабель</t>
  </si>
  <si>
    <t xml:space="preserve">6974443386417</t>
  </si>
  <si>
    <t xml:space="preserve">1. Длина: 1m. Вес: 24г.
2. Внешний материал: силикон.
3. Материал коннекторов: алюминиевый сплав.
4. Сердечник: (43/0.08)*2+(13/0.08)*2 OD3.5мм
5. Ток до 3А.</t>
  </si>
  <si>
    <t xml:space="preserve">http://hoco.i234.me:8000/sharing/yv5KqajG3</t>
  </si>
  <si>
    <t xml:space="preserve">6974443386424</t>
  </si>
  <si>
    <t xml:space="preserve">BX79 PD силиконовый зарядный кабель для передачи данных  iP</t>
  </si>
  <si>
    <t xml:space="preserve">6974443384727</t>
  </si>
  <si>
    <t xml:space="preserve">1. Длина: 1 м; Вес: 21 г.
2. Материал внешнего одеяла: силикон.
3. Материал соединения: силикон
4. Сердечник: (55/0,08)*2+(13/0,08)*3 OD3,5 мм
5. Поддержка зарядки мобильного телефона Apple PD 20 Вт.
6. Экономичный силиконовый кабель.</t>
  </si>
  <si>
    <t xml:space="preserve">http://hoco.i234.me:8000/sharing/BnKscCOsO</t>
  </si>
  <si>
    <t xml:space="preserve">http://gofile.me/649X4/0Acdqa779</t>
  </si>
  <si>
    <t xml:space="preserve">6974443384734</t>
  </si>
  <si>
    <t xml:space="preserve">BX79  60 Вт силиконовый кабель для зарядки и передачи данных Type-C на Type-C</t>
  </si>
  <si>
    <t xml:space="preserve">6974443384802</t>
  </si>
  <si>
    <t xml:space="preserve">1. Длина: 1 м; Вес: 21 г.
2. Материал внешнего одеяла: силикон.
3. Материал соединения: силикон
4. Сердечник: (55/0,08)*2+(13/0,08)*3 OD3,5 мм
5. Поддержка зарядки 60 Вт (20 В/3 А) для ноутбуков и зарядка 3 А для мобильных телефонов.
6. Экономичный силиконовый кабель.</t>
  </si>
  <si>
    <t xml:space="preserve">http://hoco.i234.me:8000/sharing/lvbojUFD8</t>
  </si>
  <si>
    <t xml:space="preserve">6974443384819</t>
  </si>
  <si>
    <t xml:space="preserve">BX79  силиконовый зарядный кабель для передачи данных IP</t>
  </si>
  <si>
    <t xml:space="preserve">6974443384741</t>
  </si>
  <si>
    <t xml:space="preserve">1. Длина: 1 м; Вес: 21 г.
2. Материал внешнего одеяла: силикон.
3. Материал соединения: силикон
4. Сердечник: (43/0,08)*2+(13/0,08)*2 OD3,5 мм
5. Поддержка зарядки током 2,4 А.
6. Экономичный силиконовый кабель.</t>
  </si>
  <si>
    <t xml:space="preserve">http://hoco.i234.me:8000/sharing/xUEFQ1gZX</t>
  </si>
  <si>
    <t xml:space="preserve">6974443384758</t>
  </si>
  <si>
    <t xml:space="preserve">BX79 силиконовый зарядный кабель для передачи данных Micro</t>
  </si>
  <si>
    <t xml:space="preserve">6974443384765</t>
  </si>
  <si>
    <t xml:space="preserve">http://hoco.i234.me:8000/sharing/ktt9mz6t2</t>
  </si>
  <si>
    <t xml:space="preserve">6974443384772</t>
  </si>
  <si>
    <t xml:space="preserve">BX79  силиконовый зарядный кабель для передачи данных Type-C</t>
  </si>
  <si>
    <t xml:space="preserve">6974443384789</t>
  </si>
  <si>
    <t xml:space="preserve">1. Длина: 1 м; Вес: 21 г.
2. Материал внешнего одеяла: силикон.
3. Материал соединения: силикон
4. Сердечник: (43/0,08)*2+(13/0,08)*2 OD3,5 мм
5. Поддержка зарядки током 3А
6. Экономичный силиконовый кабель.</t>
  </si>
  <si>
    <t xml:space="preserve">http://hoco.i234.me:8000/sharing/qapxVBVgY</t>
  </si>
  <si>
    <t xml:space="preserve">6974443384796</t>
  </si>
  <si>
    <t xml:space="preserve">BX31 Soft silicone силиконовый зарядный дата кабель для iP</t>
  </si>
  <si>
    <t xml:space="preserve">6931474710352</t>
  </si>
  <si>
    <t xml:space="preserve">20.5*9*2.5</t>
  </si>
  <si>
    <t xml:space="preserve">56.3*23.3*16</t>
  </si>
  <si>
    <t xml:space="preserve">57.7*37.5*44</t>
  </si>
  <si>
    <t xml:space="preserve">1. Длина 1 м, вес 22 г.
2. Поддержка зарядки и передачи данных, максимальный ток 2,4А.
3. Внешняя оплетка: силикон.
4. Коннектор: TPE.
5. Спецификация сердечника провода: 136 эмалированный провод; OD3.5mm.</t>
  </si>
  <si>
    <t xml:space="preserve">http://hoco.i234.me:8000/sharing/NeB1fGSd6</t>
  </si>
  <si>
    <t xml:space="preserve">http://gofile.me/649X4/Fd43WmWvS</t>
  </si>
  <si>
    <t xml:space="preserve">6931474710369</t>
  </si>
  <si>
    <t xml:space="preserve">BX31 Soft silicone силиконовый зарядный дата кабель для Micro-USB</t>
  </si>
  <si>
    <t xml:space="preserve">6931474710383</t>
  </si>
  <si>
    <t xml:space="preserve">http://hoco.i234.me:8000/sharing/RFjD4e0Rl</t>
  </si>
  <si>
    <t xml:space="preserve">BX31 Soft silicone силиконовый зарядный дата кабель для Type-C</t>
  </si>
  <si>
    <t xml:space="preserve">6931474710390</t>
  </si>
  <si>
    <t xml:space="preserve">1. Длина 1 м, вес 22 г.
2. Поддержка зарядки и передачи данных, максимальный ток 3А.
3. Внешняя оплетка: силикон.
4. Коннектор: TPE.
5. Спецификация сердечника провода: 136 эмалированный провод; OD3.5mm.</t>
  </si>
  <si>
    <t xml:space="preserve">http://hoco.i234.me:8000/sharing/tgGUw9WnF</t>
  </si>
  <si>
    <t xml:space="preserve">6931474710406</t>
  </si>
  <si>
    <t xml:space="preserve">Серия BX</t>
  </si>
  <si>
    <t xml:space="preserve">BX127 iP Regalo PD30W зарядный дата кабель (20шт/банка)</t>
  </si>
  <si>
    <t xml:space="preserve">6941991129766</t>
  </si>
  <si>
    <t xml:space="preserve">15.8*10.1*10</t>
  </si>
  <si>
    <t xml:space="preserve">42*31.6*34.5</t>
  </si>
  <si>
    <t xml:space="preserve">1. Длина: 1m; вес: 26g.
2. Материал оплетки: PVC.
3. Материал коннектора: PVC.
4. Сердечник: (34/0.1)*2C+(10/0.08)*3C OD3.8mm.
5. Поддерживает быструю зарядку Apple PD 30W.
6. Подходит для выкладки в магазине, 20 штук в банке.</t>
  </si>
  <si>
    <t xml:space="preserve">http://gofile.me/649X4/q1kzSXuTR</t>
  </si>
  <si>
    <t xml:space="preserve">BX127 C на C Regalo 60W зарядный дата кабель (20шт/банка)</t>
  </si>
  <si>
    <t xml:space="preserve">6941991129803</t>
  </si>
  <si>
    <t xml:space="preserve">1. Длина: 1m; вес: 26g.
2. Материал оплетки: PVC.
3. Материал коннектора: PVC.
4. Сердечник: (34/0.1)*2C+(10/0.08)*3C OD3.8mm.
5. Поддерживает зарядку ноутбуков 60W и зарядку телефонов 3A.
6. Подходит для выкладки в магазине, 20 штук в банке.</t>
  </si>
  <si>
    <t xml:space="preserve">http://gofile.me/649X4/oF2jYF4Cj</t>
  </si>
  <si>
    <t xml:space="preserve">BX127 iP Regalo зарядный дата кабель (20шт/банка)</t>
  </si>
  <si>
    <t xml:space="preserve">6941991129773</t>
  </si>
  <si>
    <t xml:space="preserve">1. Длина: 1m; вес: 26g.
2. Материал оплетки: PVC.
3. Материал коннектора: PVC.
4. Сердечник: (26/0.1)*2C+(10/0.08)*2C OD3.8mm.
5. Поддерживает зарядку 2.4A.
6. Подходит для выкладки в магазине, 20 штук в банке.</t>
  </si>
  <si>
    <t xml:space="preserve">http://gofile.me/649X4/4pDNXIbA5</t>
  </si>
  <si>
    <t xml:space="preserve">BX127 Micro-USB Regalo зарядный дата кабель (20шт/банка)</t>
  </si>
  <si>
    <t xml:space="preserve">6941991129780</t>
  </si>
  <si>
    <t xml:space="preserve">1. Длина: 1m; вес: 26g.
2. Материал оплётки: PVC.
3. Материал коннектора: PVC.
4. Сердечник: (26/0.1)*2C+(10/0.08)*2C OD3.8mm.
5. Поддерживает зарядку 2.4A.
6. Подходит для выкладки в магазине, 20 штук в банке.</t>
  </si>
  <si>
    <t xml:space="preserve">http://gofile.me/649X4/yp8gRmj9e</t>
  </si>
  <si>
    <t xml:space="preserve">BX127 Type-C Regalo зарядный дата кабель (20шт/банка)</t>
  </si>
  <si>
    <t xml:space="preserve">6941991129797</t>
  </si>
  <si>
    <t xml:space="preserve">1. Длина: 1m; вес: 26g.
2. Материал оплётки: PVC.
3. Материал коннектора: PVC.
4. Сердечник: (26/0.1)*2C+(10/0.08)*2C OD3.8mm.
5. Поддерживает зарядку 3A.
6. Подходит для выкладки в магазине, 20 штук в банке.</t>
  </si>
  <si>
    <t xml:space="preserve">http://gofile.me/649X4/DZAxm8B66</t>
  </si>
  <si>
    <t xml:space="preserve">BX126 iP Skillful PD30W зарядный дата кабель</t>
  </si>
  <si>
    <t xml:space="preserve">6941991129438</t>
  </si>
  <si>
    <t xml:space="preserve">1. Длина: 1м. Вес: 30г.
2. Материал внешней оболочки: плетеная нить.
3. Материал разъемов: цинковый сплав.
4. Сердечник: (34/0.1)*2+(16/0.08)*3 OD2.7*6.3мм.
5. Поддерживает быструю зарядку PD 30W для телефонов Apple.
6. Конструкция с углом 90 градусов и индикатором питания, подходит для использования в играх.</t>
  </si>
  <si>
    <t xml:space="preserve">http://gofile.me/649X4/4vyzUc70z</t>
  </si>
  <si>
    <t xml:space="preserve">BX126 C на C Skillful 60W зарядный дата кабель</t>
  </si>
  <si>
    <t xml:space="preserve">6941991129445</t>
  </si>
  <si>
    <t xml:space="preserve">1. Длина: 1м. Вес: 30г.
2. Материал внешней оболочки: плетеная нить.
3. Материал разъемов: цинковый сплав.
4. Сердечник: (34/0.1)*2+(16/0.08)*3 OD2.7*6.3мм.
5. Поддерживает зарядку 60W для ноутбуков и зарядку 3A для мобильных телефонов.
6. Конструкция с углом 90 градусов и индикатором питания, подходит для использования в играх.</t>
  </si>
  <si>
    <t xml:space="preserve">http://gofile.me/649X4/r408q2GcF</t>
  </si>
  <si>
    <t xml:space="preserve">BX125 Pacifico PD30W зарядный дата кабель iP</t>
  </si>
  <si>
    <t xml:space="preserve">6941991127748</t>
  </si>
  <si>
    <t xml:space="preserve">1. Длина: 1m; Вес: 40g
2. Внешний материал: нейлон
3. Материал коннекторов: цинковый сплав
4. Сердечник: (65/0.08) * 2+(16/0.08) * 3 OD3.8mm
5. Поддержка Apple PD 30W
6. Коннектор с изгибом под углом 90 градусов, который можно поворачивать и складывать для использования в качестве простого держателя</t>
  </si>
  <si>
    <t xml:space="preserve">http://gofile.me/649X4/Y1hAnIMQy</t>
  </si>
  <si>
    <t xml:space="preserve">BX125 Pacifico 60W зарядный дата кабель C на C</t>
  </si>
  <si>
    <t xml:space="preserve">6941991127755</t>
  </si>
  <si>
    <t xml:space="preserve">1. Длина: 1m; Вес: 40g
2. Внешний материал: нейлон
3. Материал коннекторов: цинковый сплав
4. Core: (65/0.08) * 2+(16/0.08) * 3 OD3.8mm
5. Поддержка зарядки 60W для ноутбука и тока 3A для телефона
6. Коннектор с изгибом под углом 90 градусов, который можно поворачивать и складывать для использования в качестве простого держателя</t>
  </si>
  <si>
    <t xml:space="preserve">http://gofile.me/649X4/AZ2A7W3RN</t>
  </si>
  <si>
    <t xml:space="preserve">BX124 Peace PD30W зарядный дата кабель iP</t>
  </si>
  <si>
    <t xml:space="preserve">6941991127724</t>
  </si>
  <si>
    <t xml:space="preserve">20.2*7.1*2.1</t>
  </si>
  <si>
    <t xml:space="preserve">1. Длина: 1m; Вес: 27g
2. Внешний материал: нейлон
3. Материал коннекторов: алюминиевый сплав
4. Сердечник: (34/0.1) * 2+(16/0.08) * 3 OD7.5 * 2.3mm
5. Поддержка Apple PD 30W</t>
  </si>
  <si>
    <t xml:space="preserve">http://gofile.me/649X4/Gzb3NNMFW</t>
  </si>
  <si>
    <t xml:space="preserve">BX124 Peace 60W зарядный дата кабель C на C</t>
  </si>
  <si>
    <t xml:space="preserve">6941991127731</t>
  </si>
  <si>
    <t xml:space="preserve">1. Длина: 1m; Вес: 27g
2. Внешний материал: нейлон
3. Материал коннекторов: алюминиевый сплав
4. Сердечник: (34/0.1) * 2+(16/0.08) * 3 OD7.5 * 2.3mm
5. Поддержка зарядки 60W для ноутбука и тока 3A для телефона</t>
  </si>
  <si>
    <t xml:space="preserve">http://gofile.me/649X4/lAtZC63b4</t>
  </si>
  <si>
    <t xml:space="preserve">BX121 Energy PD27W зарядный дата кабель iP (без упаковки)</t>
  </si>
  <si>
    <t xml:space="preserve">6941991123009</t>
  </si>
  <si>
    <t xml:space="preserve">－</t>
  </si>
  <si>
    <t xml:space="preserve">40*30*32</t>
  </si>
  <si>
    <r>
      <rPr>
        <b val="true"/>
        <sz val="9"/>
        <color rgb="FFED752D"/>
        <rFont val="微软雅黑"/>
        <family val="0"/>
        <charset val="134"/>
      </rPr>
      <t xml:space="preserve">MOQ: Один цвет, один коннектор 2000шт, заказы должны быть размещены в количестве, кратном 2000
</t>
    </r>
    <r>
      <rPr>
        <sz val="9"/>
        <color theme="1" tint="0.2499"/>
        <rFont val="微软雅黑"/>
        <family val="0"/>
        <charset val="134"/>
      </rPr>
      <t xml:space="preserve">1. Длина: 1m; Вес: 22g
2. Внешний материал: PVC
3. Материал коннекторов: PVC
4. Core: (34/0.1) * 2+(10/0.08) * 3 OD3.5mm
5. Поддержка Apple PD 27W</t>
    </r>
  </si>
  <si>
    <t xml:space="preserve">http://gofile.me/649X4/uoR6Mr59t</t>
  </si>
  <si>
    <t xml:space="preserve">6941991123016</t>
  </si>
  <si>
    <t xml:space="preserve">BX121 Energy 60W зарядный дата кабель  C на C (без упаковки)</t>
  </si>
  <si>
    <t xml:space="preserve">6941991123085</t>
  </si>
  <si>
    <r>
      <rPr>
        <b val="true"/>
        <sz val="9"/>
        <color rgb="FFED752D"/>
        <rFont val="微软雅黑"/>
        <family val="0"/>
        <charset val="134"/>
      </rPr>
      <t xml:space="preserve">MOQ: Один цвет, один коннектор 2000шт, заказы должны быть размещены в количестве, кратном 2000
</t>
    </r>
    <r>
      <rPr>
        <sz val="9"/>
        <color theme="1" tint="0.2499"/>
        <rFont val="微软雅黑"/>
        <family val="0"/>
        <charset val="134"/>
      </rPr>
      <t xml:space="preserve">1. Длина: 1m; Вес: 22g
2. Внешний материал: PVC
3. Материал коннекторов: PVC
4. Core: (34/0.1) * 2+(10/0.08) * 3 OD3.5mm
5. Зарядка 60W для ноутбука и ток 3A для телефона</t>
    </r>
  </si>
  <si>
    <t xml:space="preserve">http://gofile.me/649X4/Zd7qurxuT</t>
  </si>
  <si>
    <t xml:space="preserve">6941991123092</t>
  </si>
  <si>
    <t xml:space="preserve">BX121 Energy зарядный дата кабель  iP (без упаковки)</t>
  </si>
  <si>
    <t xml:space="preserve">6941991123023</t>
  </si>
  <si>
    <r>
      <rPr>
        <b val="true"/>
        <sz val="9"/>
        <color rgb="FFED752D"/>
        <rFont val="微软雅黑"/>
        <family val="0"/>
        <charset val="134"/>
      </rPr>
      <t xml:space="preserve">MOQ: Один цвет, один коннектор 2000шт, заказы должны быть размещены в количестве, кратном 2000
</t>
    </r>
    <r>
      <rPr>
        <sz val="9"/>
        <color theme="1" tint="0.2499"/>
        <rFont val="微软雅黑"/>
        <family val="0"/>
        <charset val="134"/>
      </rPr>
      <t xml:space="preserve">1. Длина: 1m; Вес: 22g
2. Внешний материал: PVC
3. Материал коннекторов: PVC
4. Core: (26/0.1) * 2+(10/0.08) * 2 OD3.2mm
5. Ток до 2,4А</t>
    </r>
  </si>
  <si>
    <t xml:space="preserve">http://gofile.me/649X4/k2fWNFJ1s</t>
  </si>
  <si>
    <t xml:space="preserve">6941991123030</t>
  </si>
  <si>
    <t xml:space="preserve">BX121 Energy зарядный дата кабель  Micro (без упаковки)</t>
  </si>
  <si>
    <t xml:space="preserve">6941991123047</t>
  </si>
  <si>
    <t xml:space="preserve">http://gofile.me/649X4/BTMQzFW8V</t>
  </si>
  <si>
    <t xml:space="preserve">6941991123054</t>
  </si>
  <si>
    <t xml:space="preserve">BX121 Energy зарядный дата кабель  Type-C (без упаковки)</t>
  </si>
  <si>
    <t xml:space="preserve">6941991123061</t>
  </si>
  <si>
    <r>
      <rPr>
        <b val="true"/>
        <sz val="9"/>
        <color rgb="FFED752D"/>
        <rFont val="微软雅黑"/>
        <family val="0"/>
        <charset val="134"/>
      </rPr>
      <t xml:space="preserve">MOQ: Один цвет, один коннектор 2000шт, заказы должны быть размещены в количестве, кратном 2000
</t>
    </r>
    <r>
      <rPr>
        <sz val="9"/>
        <color theme="1" tint="0.2499"/>
        <rFont val="微软雅黑"/>
        <family val="0"/>
        <charset val="134"/>
      </rPr>
      <t xml:space="preserve">1. Длина: 1m; Вес: 22g
2. Внешний материал: PVC
3. Материал коннекторов: PVC
4. Core: (26/0.1) * 2+(10/0.08) * 2 OD3.2mm
5. Ток до 34А</t>
    </r>
  </si>
  <si>
    <t xml:space="preserve">http://gofile.me/649X4/PCtU802Of</t>
  </si>
  <si>
    <t xml:space="preserve">6941991123078</t>
  </si>
  <si>
    <t xml:space="preserve">BX121 Energy PD27W зарядный дата кабель  iP (в упаковке)</t>
  </si>
  <si>
    <r>
      <rPr>
        <b val="true"/>
        <sz val="9"/>
        <color rgb="FFED752D"/>
        <rFont val="微软雅黑"/>
        <family val="0"/>
        <charset val="134"/>
      </rPr>
      <t xml:space="preserve">MOQ: Один коннектор, один цвет - одна коробка, необходимо оформить заказ в соответствии с количеством коробок
</t>
    </r>
    <r>
      <rPr>
        <sz val="9"/>
        <color theme="1" tint="0.2499"/>
        <rFont val="微软雅黑"/>
        <family val="0"/>
        <charset val="134"/>
      </rPr>
      <t xml:space="preserve">1. Длина: 1m; Вес: 22g
2. Внешний материал: PVC
3. Материал коннекторов: PVC
4. Core: (34/0.1) * 2+(10/0.08) * 3 OD3.5mm
5. Поддержка Apple PD 27W</t>
    </r>
  </si>
  <si>
    <t xml:space="preserve">BX121 Energy 60W зарядный дата кабель  C на C (в упаковке)</t>
  </si>
  <si>
    <r>
      <rPr>
        <b val="true"/>
        <sz val="9"/>
        <color rgb="FFED752D"/>
        <rFont val="微软雅黑"/>
        <family val="0"/>
        <charset val="134"/>
      </rPr>
      <t xml:space="preserve">MOQ: Один коннектор, один цвет - одна коробка, необходимо оформить заказ в соответствии с количеством коробок
</t>
    </r>
    <r>
      <rPr>
        <sz val="9"/>
        <color theme="1" tint="0.2499"/>
        <rFont val="微软雅黑"/>
        <family val="0"/>
        <charset val="134"/>
      </rPr>
      <t xml:space="preserve">1. Длина: 1m; Вес: 22g
2. Внешний материал: PVC
3. Материал коннекторов: PVC
4. Core: (34/0.1) * 2+(10/0.08) * 3 OD3.5mm
5. Зарядка 60W для ноутбука и ток 3A для телефона</t>
    </r>
  </si>
  <si>
    <t xml:space="preserve">BX121 Energy зарядный дата кабель  iP (в упаковке)</t>
  </si>
  <si>
    <r>
      <rPr>
        <b val="true"/>
        <sz val="9"/>
        <color rgb="FFED752D"/>
        <rFont val="微软雅黑"/>
        <family val="0"/>
        <charset val="134"/>
      </rPr>
      <t xml:space="preserve">MOQ: Один коннектор, один цвет - одна коробка, необходимо оформить заказ в соответствии с количеством коробок
</t>
    </r>
    <r>
      <rPr>
        <sz val="9"/>
        <color theme="1" tint="0.2499"/>
        <rFont val="微软雅黑"/>
        <family val="0"/>
        <charset val="134"/>
      </rPr>
      <t xml:space="preserve">1. Длина: 1m; Вес: 22g
2. Внешний материал: PVC
3. Материал коннекторов: PVC
4. Core: (26/0.1) * 2+(10/0.08) * 2 OD3.2mm
5. Ток до 2,4А</t>
    </r>
  </si>
  <si>
    <t xml:space="preserve">BX121 Energy зарядный дата кабель  Micro (в упаковке)</t>
  </si>
  <si>
    <r>
      <rPr>
        <b val="true"/>
        <sz val="10"/>
        <color rgb="FFED752D"/>
        <rFont val="微软雅黑"/>
        <family val="0"/>
        <charset val="134"/>
      </rPr>
      <t xml:space="preserve">MOQ: Один коннектор, один цвет - одна коробка, необходимо оформить заказ в соответствии с количеством коробок
</t>
    </r>
    <r>
      <rPr>
        <sz val="9"/>
        <color theme="1" tint="0.2499"/>
        <rFont val="微软雅黑"/>
        <family val="0"/>
        <charset val="134"/>
      </rPr>
      <t xml:space="preserve">1. Длина: 1m; Вес: 22g
2. Внешний материал: PVC
3. Материал коннекторов: PVC
4. Core: (26/0.1) * 2+(10/0.08) * 2 OD3.2mm
5. Ток до 2,4А</t>
    </r>
  </si>
  <si>
    <t xml:space="preserve">BX121 Energy зарядный дата кабель  Type-C (в упаковке)</t>
  </si>
  <si>
    <r>
      <rPr>
        <b val="true"/>
        <sz val="9"/>
        <color rgb="FFED752D"/>
        <rFont val="微软雅黑"/>
        <family val="0"/>
        <charset val="134"/>
      </rPr>
      <t xml:space="preserve">MOQ: Один коннектор, один цвет - одна коробка, необходимо оформить заказ в соответствии с количеством коробок
</t>
    </r>
    <r>
      <rPr>
        <sz val="9"/>
        <color theme="1" tint="0.2499"/>
        <rFont val="微软雅黑"/>
        <family val="0"/>
        <charset val="134"/>
      </rPr>
      <t xml:space="preserve">1. Длина: 1m; Вес: 22g
2. Внешний материал: PVC
3. Материал коннекторов: PVC
4. Core: (26/0.1) * 2+(10/0.08) * 2 OD3.2mm
5. Ток до 34А</t>
    </r>
  </si>
  <si>
    <t xml:space="preserve">BX120 Placer PD27W зарядный дата кабель iP (без упаковки)</t>
  </si>
  <si>
    <t xml:space="preserve">6941991122064</t>
  </si>
  <si>
    <t xml:space="preserve">MOQ:  один тип коннектора и один цвет 2000шт, количество кратно 2000
1. Длина: 1m; вес: 25g
2. Внешний материал: нейлон
3. Материал коннектора: алюминиевый сплав
4. Сердечник: (34/0.1)*2+(10/0.08)*3  OD3.5mm
5. Supports Apple PD 27W fast charging</t>
  </si>
  <si>
    <t xml:space="preserve">http://gofile.me/649X4/tCenZCLYN</t>
  </si>
  <si>
    <t xml:space="preserve">BX120 Placer 60W зарядный дата кабель C на C (без упаковки)</t>
  </si>
  <si>
    <t xml:space="preserve">6941991122149</t>
  </si>
  <si>
    <t xml:space="preserve">MOQ:  один тип коннектора и один цвет 2000шт, количество кратно 2000
1. Длина: 1m; вес: 25g
2. Внешний материал: нейлон
3. Материал коннектора: алюминиевый сплав
4. Сердечник: (34/0.1)*2+(10/0.08)*3  OD3.5mm
5. Поддержка зарядки 60Вт для ноутбука и тока 3А для телефона</t>
  </si>
  <si>
    <t xml:space="preserve">http://gofile.me/649X4/l5cAM9nQk</t>
  </si>
  <si>
    <t xml:space="preserve">BX120 Placer зарядный дата кабель iP (без упаковки)</t>
  </si>
  <si>
    <t xml:space="preserve">6941991122088</t>
  </si>
  <si>
    <t xml:space="preserve">MOQ:  один тип коннектора и один цвет 2000шт, количество кратно 2000
1. Длина: 1m; вес: 25g
2. Внешний материал: нейлон
3. Материал коннектора: алюминиевый сплав
4. Сердечник: (26/0.1)*2+(10/0.08)*2  OD3.2mm
5. Ток до 2.4А</t>
  </si>
  <si>
    <t xml:space="preserve">http://gofile.me/649X4/9mQWEXKC7</t>
  </si>
  <si>
    <t xml:space="preserve">BX120 Placer зарядный дата кабель Micro (без упаковки)</t>
  </si>
  <si>
    <t xml:space="preserve">6941991122101</t>
  </si>
  <si>
    <t xml:space="preserve">http://gofile.me/649X4/7eJgCQgwJ</t>
  </si>
  <si>
    <t xml:space="preserve">BX120 Placer зарядный дата кабель Type-C (без упаковки)</t>
  </si>
  <si>
    <t xml:space="preserve">6941991122125</t>
  </si>
  <si>
    <t xml:space="preserve">MOQ:  один тип коннектора и один цвет 2000шт, количество кратно 2000
1. Длина: 1m; вес: 25g
2. Внешний материал: нейлон
3. Материал коннектора: алюминиевый сплав
4. Сердечник: (26/0.1)*2+(10/0.08)*2  OD3.2mm
5. Ток до 3A</t>
  </si>
  <si>
    <t xml:space="preserve">http://gofile.me/649X4/puGyWKwLy</t>
  </si>
  <si>
    <t xml:space="preserve">BX120 Placer PD27W зарядный дата кабель iP (в упаковке)</t>
  </si>
  <si>
    <t xml:space="preserve">20.1*7.1*2</t>
  </si>
  <si>
    <r>
      <rPr>
        <b val="true"/>
        <sz val="9"/>
        <color rgb="FFED752D"/>
        <rFont val="微软雅黑"/>
        <family val="0"/>
        <charset val="134"/>
      </rPr>
      <t xml:space="preserve">MOQ:  один тип коннектора и один цвет одна коробка, количество кратно коробке
</t>
    </r>
    <r>
      <rPr>
        <sz val="9"/>
        <color theme="1" tint="0.2499"/>
        <rFont val="微软雅黑"/>
        <family val="0"/>
        <charset val="134"/>
      </rPr>
      <t xml:space="preserve">1. Длина: 1m; вес: 25g
2. Внешний материал: нейлон
3. Материал коннектора: алюминиевый сплав
4. Сердечник: (34/0.1)*2+(10/0.08)*3  OD3.5mm
5. Поддержка Apple PD 27W</t>
    </r>
  </si>
  <si>
    <t xml:space="preserve">BX120 Placer 60W зарядный дата кабель C на C (в упаковке)</t>
  </si>
  <si>
    <r>
      <rPr>
        <b val="true"/>
        <sz val="9"/>
        <color rgb="FFED752D"/>
        <rFont val="微软雅黑"/>
        <family val="0"/>
        <charset val="134"/>
      </rPr>
      <t xml:space="preserve">MOQ:  один тип коннектора и один цвет одна коробка, количество кратно коробке
</t>
    </r>
    <r>
      <rPr>
        <sz val="9"/>
        <color theme="1" tint="0.2499"/>
        <rFont val="微软雅黑"/>
        <family val="0"/>
        <charset val="134"/>
      </rPr>
      <t xml:space="preserve">1. Длина: 1m; вес: 25g
2. Внешний материал: нейлон
3. Материал коннектора: алюминиевый сплав
4. Сердечник: (34/0.1)*2+(10/0.08)*3  OD3.5mm
5. Поддержка зарядки 60Вт для ноутбука и тока 3А для телефона</t>
    </r>
  </si>
  <si>
    <t xml:space="preserve">BX120 Placer зарядный дата кабель iP (в упаковке)</t>
  </si>
  <si>
    <r>
      <rPr>
        <b val="true"/>
        <sz val="9"/>
        <color rgb="FFED752D"/>
        <rFont val="微软雅黑"/>
        <family val="0"/>
        <charset val="134"/>
      </rPr>
      <t xml:space="preserve">MOQ:  один тип коннектора и один цвет одна коробка, количество кратно коробке
</t>
    </r>
    <r>
      <rPr>
        <sz val="9"/>
        <color theme="1" tint="0.2499"/>
        <rFont val="微软雅黑"/>
        <family val="0"/>
        <charset val="134"/>
      </rPr>
      <t xml:space="preserve">1. Длина: 1m; вес: 25g
2. Внешний материал: нейлон
3. Материал коннектора: алюминиевый сплав
4. Сердечник: (26/0.1)*2+(10/0.08)*2  OD3.2mm
5. Ток до 2.4А</t>
    </r>
  </si>
  <si>
    <t xml:space="preserve">BX120 Placer зарядный дата кабель Micro (в упаковке)</t>
  </si>
  <si>
    <t xml:space="preserve">BX120 Placer зарядный дата кабель Type-C (в упаковке)</t>
  </si>
  <si>
    <r>
      <rPr>
        <b val="true"/>
        <sz val="9"/>
        <color rgb="FFED752D"/>
        <rFont val="微软雅黑"/>
        <family val="0"/>
        <charset val="134"/>
      </rPr>
      <t xml:space="preserve">MOQ:  один тип коннектора и один цвет одна коробка, количество кратно коробке
</t>
    </r>
    <r>
      <rPr>
        <sz val="9"/>
        <color theme="1" tint="0.2499"/>
        <rFont val="微软雅黑"/>
        <family val="0"/>
        <charset val="134"/>
      </rPr>
      <t xml:space="preserve">1. Длина: 1m; вес: 25g
2. Внешний материал: нейлон
3. Материал коннектора: алюминиевый сплав
4. Сердечник: (26/0.1)*2+(10/0.08)*2  OD3.2mm
5. Ток до 3A</t>
    </r>
  </si>
  <si>
    <t xml:space="preserve">BX117 Source PD зарядный дата кабель iP</t>
  </si>
  <si>
    <t xml:space="preserve">6941991120114</t>
  </si>
  <si>
    <t xml:space="preserve">1. Длина: 1m; Вес: 27g
2. Внешний материал: оплётка
3. Материал коннекторов: ABS+PVC
4. Core: (34/0.1) * 2+(10/0.08) * 2 OD3.8mm
5. Поддержка Apple PD 27W.</t>
  </si>
  <si>
    <t xml:space="preserve">http://gofile.me/649X4/xocjW8MF5</t>
  </si>
  <si>
    <t xml:space="preserve">BX117 Source 60W зарядный дата кабель C на C</t>
  </si>
  <si>
    <t xml:space="preserve">6941991120206</t>
  </si>
  <si>
    <t xml:space="preserve">1. Длина: 1m; Вес: 27g
2. Внешний материал: оплётка
3. Материал коннекторов: ABS+PVС.
4. Core: (34/0.1) * 2+(10/0.1) * 2 OD3.8mm
5. Поддержка зарядки 60W для ноутбука и тока 3А для телефона.</t>
  </si>
  <si>
    <t xml:space="preserve">http://gofile.me/649X4/hzii58BF6</t>
  </si>
  <si>
    <t xml:space="preserve">BX117 Source зарядный дата кабель iP</t>
  </si>
  <si>
    <t xml:space="preserve">6941991120145</t>
  </si>
  <si>
    <t xml:space="preserve">1. Длина: 1m; Вес: 27g
2. Внешний материал: оплётка
3. Материал коннекторов: ABS+PVС.
4. Core: (26/0.1) * 2+(10/0.08) * 2 OD3.8mm
5. Ток до 2.4А.</t>
  </si>
  <si>
    <t xml:space="preserve">http://gofile.me/649X4/dKGYshKaC</t>
  </si>
  <si>
    <t xml:space="preserve">BX117 Source зарядный дата кабель Type-C</t>
  </si>
  <si>
    <t xml:space="preserve">6941991120176</t>
  </si>
  <si>
    <t xml:space="preserve">1. Длина: 1m; Вес: 27g
2. Внешний материал: оплётка
3. Материал коннекторов: ABS+PVС.
4. Core: (26/0.1) * 2+(10/0.08) * 2 OD3.8mm
5. Ток до 3А.</t>
  </si>
  <si>
    <t xml:space="preserve">http://gofile.me/649X4/G83fZdDnO</t>
  </si>
  <si>
    <t xml:space="preserve">BX116 Certain PD зарядный дата кабель iP</t>
  </si>
  <si>
    <t xml:space="preserve">6941991119712</t>
  </si>
  <si>
    <t xml:space="preserve">1. Длина: 1m; Вес: 27g
2. Внешний материал: оплётка
3. Материал коннекторов: PVC
4. Core: (34/0.1) * 2+(10/0.08) * 2 OD3.8mm
5. Поддержка Apple PD 27W.</t>
  </si>
  <si>
    <t xml:space="preserve">http://gofile.me/649X4/deEbTEDwO</t>
  </si>
  <si>
    <t xml:space="preserve">6941991119729</t>
  </si>
  <si>
    <t xml:space="preserve">BX116 Certain 60W зарядный дата кабель C на C</t>
  </si>
  <si>
    <t xml:space="preserve">6941991119835</t>
  </si>
  <si>
    <t xml:space="preserve">1. Длина: 1m; Вес: 27g
2. Внешний материал: оплётка
3. Материал коннекторов: PVC
4. Core: (34/0.1) * 2+(10/0.1) * 2 OD3.8mm
5. Поддержка зарядки 60W для ноутбука и тока 3А для телефона.</t>
  </si>
  <si>
    <t xml:space="preserve">http://gofile.me/649X4/pllsosoJ1</t>
  </si>
  <si>
    <t xml:space="preserve">6941991119842</t>
  </si>
  <si>
    <t xml:space="preserve">BX116 Certain зарядный дата кабель Type-C</t>
  </si>
  <si>
    <t xml:space="preserve">6941991119804</t>
  </si>
  <si>
    <t xml:space="preserve">1. Длина: 1m; Вес: 27g
2. Внешний материал: оплётка
3. Материал коннекторов: PVC
4. Core: (26/0.1) * 2+(10/0.08) * 2 OD3.8mm
5. Ток до 3А.</t>
  </si>
  <si>
    <t xml:space="preserve">http://gofile.me/649X4/XBtg0TGTE</t>
  </si>
  <si>
    <t xml:space="preserve">6941991119811</t>
  </si>
  <si>
    <t xml:space="preserve">BX111 Feliz PD зарядный дата кабель iP (без упаковки)</t>
  </si>
  <si>
    <t xml:space="preserve">6941991115028</t>
  </si>
  <si>
    <t xml:space="preserve">40*30*41</t>
  </si>
  <si>
    <r>
      <rPr>
        <b val="true"/>
        <sz val="9"/>
        <color rgb="FFED752D"/>
        <rFont val="微软雅黑"/>
        <family val="0"/>
        <charset val="134"/>
      </rPr>
      <t xml:space="preserve">1, мOQ: один тип коннектора одного цвета 2000шт, необходимо разместить заказ на количество кратное 2000
2. Кабели и упаковка пакуются отдельно, 1000 кабелей/кор, 2000 уп/кор.
</t>
    </r>
    <r>
      <rPr>
        <sz val="9"/>
        <color theme="1" tint="0.2499"/>
        <rFont val="微软雅黑"/>
        <family val="0"/>
        <charset val="134"/>
      </rPr>
      <t xml:space="preserve">3. Длина: 1m; вес: 25g
4. Внешний материал: PVC
5. Материал коннектора: PVC
6. Сердечник: (34/0.1)*2+(10/0.08)*3 OD3.8mm
7. Поддержка Apple PD 27W</t>
    </r>
  </si>
  <si>
    <t xml:space="preserve">http://gofile.me/649X4/EfMnVTM4t</t>
  </si>
  <si>
    <t xml:space="preserve">BX111 Feliz 60W зарядный дата кабель C на C (без упаковки)</t>
  </si>
  <si>
    <t xml:space="preserve">6941991115103</t>
  </si>
  <si>
    <r>
      <rPr>
        <b val="true"/>
        <sz val="9"/>
        <color rgb="FFED752D"/>
        <rFont val="微软雅黑"/>
        <family val="0"/>
        <charset val="134"/>
      </rPr>
      <t xml:space="preserve">1, мOQ: один тип коннектора одного цвета 2000шт, необходимо разместить заказ на количество кратное 2000
2. Кабели и упаковка пакуются отдельно, 1000 кабелей/кор, 2000 уп/кор.
</t>
    </r>
    <r>
      <rPr>
        <sz val="9"/>
        <color theme="1" tint="0.2499"/>
        <rFont val="微软雅黑"/>
        <family val="0"/>
        <charset val="134"/>
      </rPr>
      <t xml:space="preserve">3. Длина: 1m; вес: 25g
4. Внешний материал: PVC
5. Материал коннектора: PVC
6. Сердечник: (34/0.1)*2+(10/0.08)*3 OD3.8mm
7. Поддержка зарядки 60W для ноутбука и тока 3А для телефона</t>
    </r>
  </si>
  <si>
    <t xml:space="preserve">http://gofile.me/649X4/4MUqJ7D8R</t>
  </si>
  <si>
    <t xml:space="preserve">6941991115110</t>
  </si>
  <si>
    <t xml:space="preserve">BX111 Feliz зарядный дата кабель iP (без упаковки)</t>
  </si>
  <si>
    <t xml:space="preserve">6941991115059</t>
  </si>
  <si>
    <r>
      <rPr>
        <b val="true"/>
        <sz val="9"/>
        <color rgb="FFED752D"/>
        <rFont val="微软雅黑"/>
        <family val="0"/>
        <charset val="134"/>
      </rPr>
      <t xml:space="preserve">1, мOQ: один тип коннектора одного цвета 2000шт, необходимо разместить заказ на количество кратное 2000
2. Кабели и упаковка пакуются отдельно, 1000 кабелей/кор, 2000 уп/кор.
</t>
    </r>
    <r>
      <rPr>
        <sz val="9"/>
        <color theme="1" tint="0.2499"/>
        <rFont val="微软雅黑"/>
        <family val="0"/>
        <charset val="134"/>
      </rPr>
      <t xml:space="preserve">3. Длина: 1m; вес: 25g
4. Внешний материал: PVC
5. Материал коннектора: PVC
6. Сердечник: (26/0.1)*2+(10/0.08)*2 OD3.8mm
7. Ток до 2.4А.</t>
    </r>
  </si>
  <si>
    <t xml:space="preserve">http://gofile.me/649X4/sP6woHVgZ</t>
  </si>
  <si>
    <t xml:space="preserve">BX111 Feliz зарядный дата кабель Micro (без упаковки)</t>
  </si>
  <si>
    <t xml:space="preserve">6941991115066</t>
  </si>
  <si>
    <t xml:space="preserve">http://gofile.me/649X4/rIKPqbCUD</t>
  </si>
  <si>
    <t xml:space="preserve">6941991115073</t>
  </si>
  <si>
    <t xml:space="preserve">BX111 Feliz зарядный дата кабель Type-C (без упаковки)</t>
  </si>
  <si>
    <t xml:space="preserve">6941991115080</t>
  </si>
  <si>
    <r>
      <rPr>
        <b val="true"/>
        <sz val="9"/>
        <color rgb="FFED752D"/>
        <rFont val="微软雅黑"/>
        <family val="0"/>
        <charset val="134"/>
      </rPr>
      <t xml:space="preserve">1, мOQ: один тип коннектора одного цвета 2000шт, необходимо разместить заказ на количество кратное 2000
2. Кабели и упаковка пакуются отдельно, 1000 кабелей/кор, 2000 уп/кор.
</t>
    </r>
    <r>
      <rPr>
        <sz val="9"/>
        <color theme="1" tint="0.2499"/>
        <rFont val="微软雅黑"/>
        <family val="0"/>
        <charset val="134"/>
      </rPr>
      <t xml:space="preserve">3. Длина: 1m; вес: 25g
4. Внешний материал: PVC
5. Материал коннектора: PVC
6. Сердечник: (26/0.1)*2+(10/0.08)*2 OD3.8mm
7. Ток до 3А.</t>
    </r>
  </si>
  <si>
    <t xml:space="preserve">http://gofile.me/649X4/kmPXWTUwB</t>
  </si>
  <si>
    <t xml:space="preserve">6941991115097</t>
  </si>
  <si>
    <t xml:space="preserve">BX111 Feliz PD зарядный дата кабель iP (с упаковкой)</t>
  </si>
  <si>
    <r>
      <rPr>
        <b val="true"/>
        <sz val="9"/>
        <color rgb="FFED752D"/>
        <rFont val="微软雅黑"/>
        <family val="0"/>
        <charset val="134"/>
      </rPr>
      <t xml:space="preserve">1. MOQ: один коннектор один цвет - одна коробка, заказ кратен кол-ву в коробке
</t>
    </r>
    <r>
      <rPr>
        <sz val="9"/>
        <color theme="1" tint="0.2499"/>
        <rFont val="微软雅黑"/>
        <family val="0"/>
        <charset val="134"/>
      </rPr>
      <t xml:space="preserve">2. Длина: 1m; вес: 25g
3. Внешний материал: PVC
4. Материал коннектора: PVC
5. Сердечник: (34/0.1)*2+(10/0.08)*3 OD3.8mm
6. Поддержка Apple PD 27W</t>
    </r>
  </si>
  <si>
    <t xml:space="preserve">6941991115035</t>
  </si>
  <si>
    <t xml:space="preserve">BX111 Feliz 60W зарядный дата кабель C на C (с упаковкой)</t>
  </si>
  <si>
    <r>
      <rPr>
        <b val="true"/>
        <sz val="9"/>
        <color rgb="FFED752D"/>
        <rFont val="微软雅黑"/>
        <family val="0"/>
        <charset val="134"/>
      </rPr>
      <t xml:space="preserve">1. MOQ: один коннектор один цвет - одна коробка, заказ кратен кол-ву в коробке
</t>
    </r>
    <r>
      <rPr>
        <sz val="9"/>
        <color theme="1" tint="0.2499"/>
        <rFont val="微软雅黑"/>
        <family val="0"/>
        <charset val="134"/>
      </rPr>
      <t xml:space="preserve">2. Длина: 1m; вес: 25g
3. Внешний материал: PVC
4. Материал коннектора: PVC
5. Сердечник: (34/0.1)*2+(10/0.08)*3 OD3.8mm
6. Поддержка зарядки 60W для ноутбука и тока 3А для телефона</t>
    </r>
  </si>
  <si>
    <t xml:space="preserve">BX111 Feliz зарядный дата кабель iP (с упаковкой)</t>
  </si>
  <si>
    <t xml:space="preserve">6941991115042</t>
  </si>
  <si>
    <r>
      <rPr>
        <b val="true"/>
        <sz val="9"/>
        <color rgb="FFED752D"/>
        <rFont val="微软雅黑"/>
        <family val="0"/>
        <charset val="134"/>
      </rPr>
      <t xml:space="preserve">1. MOQ: один коннектор один цвет - одна коробка, заказ кратен кол-ву в коробке
</t>
    </r>
    <r>
      <rPr>
        <sz val="9"/>
        <color theme="1" tint="0.2499"/>
        <rFont val="微软雅黑"/>
        <family val="0"/>
        <charset val="134"/>
      </rPr>
      <t xml:space="preserve">2. Длина: 1m; вес: 25g
3. Внешний материал: PVC
4. Материал коннектора: PVC
5. Сердечник: (26/0.1)*2+(10/0.08)*2 OD3.8mm
6. Ток до 2.4А.</t>
    </r>
  </si>
  <si>
    <t xml:space="preserve">BX111 Feliz зарядный дата кабель Micro (с упаковкой)</t>
  </si>
  <si>
    <t xml:space="preserve">BX111 Feliz зарядный дата кабель Type-C (с упаковкой)</t>
  </si>
  <si>
    <r>
      <rPr>
        <b val="true"/>
        <sz val="9"/>
        <color rgb="FFED752D"/>
        <rFont val="微软雅黑"/>
        <family val="0"/>
        <charset val="134"/>
      </rPr>
      <t xml:space="preserve">1. MOQ: один коннектор один цвет - одна коробка, заказ кратен кол-ву в коробке
</t>
    </r>
    <r>
      <rPr>
        <sz val="9"/>
        <color theme="1" tint="0.2499"/>
        <rFont val="微软雅黑"/>
        <family val="0"/>
        <charset val="134"/>
      </rPr>
      <t xml:space="preserve">2. Длина: 1m; вес: 25g
3. Внешний материал: PVC
4. Материал коннектора: PVC
5. Сердечник: (26/0.1)*2+(10/0.08)*2 OD3.8mm
6. Ток до 3А.</t>
    </r>
  </si>
  <si>
    <t xml:space="preserve">BX110 Beneficio 60W зарядный дата кабель  C на C</t>
  </si>
  <si>
    <t xml:space="preserve">6941991120763</t>
  </si>
  <si>
    <t xml:space="preserve">Длина: 1m; Вес: 25g
2. Внешний материал: PVC
3. Материал коннекторов: PVC
4. Сердечник: (34/0.1) * 2+(10/0.08) * 3 OD3.8mm
5. Поддержка зарядки 60W для ноутбука и тока 3А для телефона.</t>
  </si>
  <si>
    <t xml:space="preserve">http://gofile.me/649X4/D0srRikvd</t>
  </si>
  <si>
    <t xml:space="preserve">BX110 Beneficio зарядный дата кабель  iP</t>
  </si>
  <si>
    <t xml:space="preserve">6941991120701</t>
  </si>
  <si>
    <t xml:space="preserve">1. Длина: 1m; Вес: 25g
2. Внешний материал: PVC
3. Материал коннекторов: PVC
4. Сердечник: (26/0.1) * 2+(10/0.08) * 2 OD3.8mm
5. Ток до 2.4А.</t>
  </si>
  <si>
    <t xml:space="preserve">http://gofile.me/649X4/gDC7SYmip</t>
  </si>
  <si>
    <t xml:space="preserve">BX110 Beneficio зарядный дата кабель  Type-C</t>
  </si>
  <si>
    <t xml:space="preserve">6941991120749</t>
  </si>
  <si>
    <t xml:space="preserve">1. Длина: 1m; Вес: 25g
2. Внешний материал: PVC
3. Материал коннекторов: PVC
4. Сердечник: (26/0.1) * 2+(10/0.08) * 2 OD3.8mm
5. Ток до 3А.</t>
  </si>
  <si>
    <t xml:space="preserve">http://gofile.me/649X4/o8Cqw3Qti</t>
  </si>
  <si>
    <t xml:space="preserve">BX101 Creator зарядный дата кабель Type-C</t>
  </si>
  <si>
    <t xml:space="preserve">6941991108273</t>
  </si>
  <si>
    <t xml:space="preserve">1, Длина: 1m; Вес: 26g
2, Внешний материал: TPE
3. Материал коннекторов: TPE
4, Сердечник: (27/0.1)*2+(10/0.1)*2 OD3.8mm
5. Ток до 3А.</t>
  </si>
  <si>
    <t xml:space="preserve">http://gofile.me/649X4/EaTbApLAd</t>
  </si>
  <si>
    <t xml:space="preserve">6941991108280</t>
  </si>
  <si>
    <t xml:space="preserve">BX93 Super power 100W зарядный дата кабель Type-C</t>
  </si>
  <si>
    <t xml:space="preserve">6941991103179</t>
  </si>
  <si>
    <t xml:space="preserve">1, Длина: 1m; Вес:
2, Внешний материал: PVC
3,Материал коннекторов: PVC
4, Сердечник: (76/0.1)*2+(16/0.08)*2 OD4мм
5, Поддержка для Honor телефонов со 100W быстрой зарядкой (Honor 50 Pro, 70Pro, Maгic 4 Pro, Maгic 4 Extreme Edition), для Huawei, Xiaomi, OPPO, vivo, Samsunг и других Android телефонов, максимальный ток 6A.</t>
  </si>
  <si>
    <t xml:space="preserve">http://gofile.me/649X4/jHlMOO34e</t>
  </si>
  <si>
    <t xml:space="preserve">http://gofile.me/649X4/EvEX6Sr1s</t>
  </si>
  <si>
    <t xml:space="preserve">6941991103186</t>
  </si>
  <si>
    <t xml:space="preserve">BX93 Super power 27W зарядный дата кабель Type-C</t>
  </si>
  <si>
    <t xml:space="preserve">6941991103155</t>
  </si>
  <si>
    <t xml:space="preserve">1, Длина: 1m; Вес:
2, Внешний материал: PVC
3,Материал коннекторов: PVC
4, Сердечник: (26/0.1)*2+(10/0.08)*2 OD4мм
5, Ток до 3А.</t>
  </si>
  <si>
    <t xml:space="preserve">http://gofile.me/649X4/BW2zQkInv</t>
  </si>
  <si>
    <t xml:space="preserve">BX87 Sharp PD зарядный дата кабель для iP(с упаковкой)</t>
  </si>
  <si>
    <t xml:space="preserve">6974443388985</t>
  </si>
  <si>
    <r>
      <rPr>
        <b val="true"/>
        <sz val="9"/>
        <color rgb="FFFF0000"/>
        <rFont val="微软雅黑"/>
        <family val="0"/>
        <charset val="134"/>
      </rPr>
      <t xml:space="preserve">1, мOQ: один тип коннектора одного цвета, одна коробка, заказ целыми коробками.
</t>
    </r>
    <r>
      <rPr>
        <sz val="9"/>
        <color theme="1" tint="0.2499"/>
        <rFont val="微软雅黑"/>
        <family val="0"/>
        <charset val="134"/>
      </rPr>
      <t xml:space="preserve">2. Длина: 1м; вес: 25г
3. Внешний материал: оплетка.
4. Материал коннекторов: алюминиевый сплав.
5. Сердечник: (34/0.1) * 2+(10/0.08) * 3 OD3.5мм
6. Поддержка быстрой зарядки  Apple PD 20W.</t>
    </r>
  </si>
  <si>
    <t xml:space="preserve">http://gofile.me/649X4/W2xpwSCo7</t>
  </si>
  <si>
    <t xml:space="preserve">BX87 Sharp 60W зарядный дата кабель для Type-C на Type-C(с упаковкой)</t>
  </si>
  <si>
    <t xml:space="preserve">6974443389067</t>
  </si>
  <si>
    <r>
      <rPr>
        <b val="true"/>
        <sz val="9"/>
        <color rgb="FFFF0000"/>
        <rFont val="微软雅黑"/>
        <family val="0"/>
        <charset val="134"/>
      </rPr>
      <t xml:space="preserve">1, мOQ: один тип коннектора одного цвета, одна коробка, заказ целыми коробками.
</t>
    </r>
    <r>
      <rPr>
        <sz val="9"/>
        <color theme="1" tint="0.2499"/>
        <rFont val="微软雅黑"/>
        <family val="0"/>
        <charset val="134"/>
      </rPr>
      <t xml:space="preserve">2. Длина: 1м; вес: 25г
3. Внешний материал: оплетка.
4. Материал коннекторов: алюминиевый сплав.
5. Сердечник: (45/0.1) * 2+(10/0.08) * 3 OD3.5мм
6. Поддержка зарядки 60W для ноутбука и тока 3А для телефона.</t>
    </r>
  </si>
  <si>
    <t xml:space="preserve">http://gofile.me/649X4/EkOciVtJZ</t>
  </si>
  <si>
    <t xml:space="preserve">BX87 Sharp зарядный дата кабель для iP(с упаковкой)</t>
  </si>
  <si>
    <t xml:space="preserve">6974443389005</t>
  </si>
  <si>
    <r>
      <rPr>
        <b val="true"/>
        <sz val="9"/>
        <color rgb="FFFF0000"/>
        <rFont val="微软雅黑"/>
        <family val="0"/>
        <charset val="134"/>
      </rPr>
      <t xml:space="preserve">1, мOQ: один тип коннектора одного цвета, одна коробка, заказ целыми коробками.
</t>
    </r>
    <r>
      <rPr>
        <sz val="9"/>
        <color theme="1" tint="0.2499"/>
        <rFont val="微软雅黑"/>
        <family val="0"/>
        <charset val="134"/>
      </rPr>
      <t xml:space="preserve">2. Длина: 1м; вес: 25г
3. Внешний материал: оплетка.
4. Материал коннекторов: алюминиевый сплав.
5. Сердечник: (26/0.1) * 2+(10/0.08) * 2 OD3.5мм
6. Ток до 2.4A.</t>
    </r>
  </si>
  <si>
    <t xml:space="preserve">http://gofile.me/649X4/1bw82ZQEd</t>
  </si>
  <si>
    <t xml:space="preserve">BX87 Sharp зарядный дата кабель для Micro(с упаковкой)</t>
  </si>
  <si>
    <t xml:space="preserve">6974443389029</t>
  </si>
  <si>
    <t xml:space="preserve">http://gofile.me/649X4/1gLqqFrME</t>
  </si>
  <si>
    <t xml:space="preserve">BX87 Sharp зарядный дата кабель для Type-C(с упаковкой)</t>
  </si>
  <si>
    <t xml:space="preserve">6974443389043</t>
  </si>
  <si>
    <r>
      <rPr>
        <b val="true"/>
        <sz val="9"/>
        <color rgb="FFFF0000"/>
        <rFont val="微软雅黑"/>
        <family val="0"/>
        <charset val="134"/>
      </rPr>
      <t xml:space="preserve">1, мOQ: один тип коннектора одного цвета, одна коробка, заказ целыми коробками.
</t>
    </r>
    <r>
      <rPr>
        <sz val="9"/>
        <color theme="1" tint="0.2499"/>
        <rFont val="微软雅黑"/>
        <family val="0"/>
        <charset val="134"/>
      </rPr>
      <t xml:space="preserve">2. Длина: 1м; вес: 25г
3. Внешний материал: оплетка.
4. Материал коннекторов: алюминиевый сплав.
5. Сердечник: (26/0.1) * 2+(10/0.08) * 2 OD3.5мм
6. Ток до 3A.</t>
    </r>
  </si>
  <si>
    <t xml:space="preserve">http://gofile.me/649X4/Gy9ZMhXr4</t>
  </si>
  <si>
    <t xml:space="preserve">BX80 iP Succeed зарядный дата кабель</t>
  </si>
  <si>
    <t xml:space="preserve">6974443385199</t>
  </si>
  <si>
    <t xml:space="preserve">1. Длина: 1m; Вес: 25г
2. Внешний материал: PVC
3. Материал коннекторов: PVC
4. Сердечник: (24/0.1)*2+(10/0.08)*2 OD3.2мм
5. Ток до 2.4А.</t>
  </si>
  <si>
    <t xml:space="preserve">http://hoco.i234.me:8000/sharing/AJaOPgW07</t>
  </si>
  <si>
    <t xml:space="preserve">http://gofile.me/649X4/jaHiUNbYa</t>
  </si>
  <si>
    <t xml:space="preserve">BX80 Type-C Succeed зарядный дата кабель</t>
  </si>
  <si>
    <t xml:space="preserve">6974443385229</t>
  </si>
  <si>
    <t xml:space="preserve">1. Длина: 1m; Вес: 25г
2. Внешний материал: PVC
3. Материал коннекторов: PVC
4. Сердечник: (24/0.1)*2+(10/0.08)*2 OD3.2мм
5. Ток до 3А.</t>
  </si>
  <si>
    <t xml:space="preserve">http://hoco.i234.me:8000/sharing/rJzUObUYl</t>
  </si>
  <si>
    <t xml:space="preserve">6974443385236</t>
  </si>
  <si>
    <r>
      <rPr>
        <sz val="11"/>
        <color rgb="FF202020"/>
        <rFont val="Arial"/>
        <family val="0"/>
        <charset val="1"/>
      </rPr>
      <t xml:space="preserve">BX54 Ultra bright зарядный дата кабель для iP
</t>
    </r>
    <r>
      <rPr>
        <sz val="11"/>
        <color rgb="FF202020"/>
        <rFont val="Noto Sans"/>
        <family val="2"/>
      </rPr>
      <t xml:space="preserve">（</t>
    </r>
    <r>
      <rPr>
        <sz val="11"/>
        <color rgb="FF202020"/>
        <rFont val="Arial"/>
        <family val="0"/>
        <charset val="1"/>
      </rPr>
      <t xml:space="preserve">В упаковке</t>
    </r>
    <r>
      <rPr>
        <sz val="11"/>
        <color rgb="FF202020"/>
        <rFont val="Noto Sans"/>
        <family val="2"/>
      </rPr>
      <t xml:space="preserve">）</t>
    </r>
  </si>
  <si>
    <t xml:space="preserve">6931474745798</t>
  </si>
  <si>
    <t xml:space="preserve">20.1*7*2</t>
  </si>
  <si>
    <t xml:space="preserve">62.7*39.6*47</t>
  </si>
  <si>
    <r>
      <rPr>
        <b val="true"/>
        <sz val="9"/>
        <color rgb="FFFF0000"/>
        <rFont val="微软雅黑"/>
        <family val="0"/>
        <charset val="134"/>
      </rPr>
      <t xml:space="preserve">Минимальный объем заказа:одна коробка для одного артикула </t>
    </r>
    <r>
      <rPr>
        <b val="true"/>
        <sz val="9"/>
        <color rgb="FFFF0000"/>
        <rFont val="Noto Sans"/>
        <family val="2"/>
      </rPr>
      <t xml:space="preserve">， </t>
    </r>
    <r>
      <rPr>
        <b val="true"/>
        <sz val="9"/>
        <color rgb="FFFF0000"/>
        <rFont val="微软雅黑"/>
        <family val="0"/>
        <charset val="134"/>
      </rPr>
      <t xml:space="preserve">заказ в коробках
1. Длина: 1 м, вес: 20 г.
2. Внешний материал: плетеный.
3. Материал разъема: алюминиевый сплав.
4. Сердечник: 62 медных провода, поддержка передачи данных.
5. Ток до 2,4А.</t>
    </r>
  </si>
  <si>
    <t xml:space="preserve">http://gofile.me/649X4/EWrgnl2R2</t>
  </si>
  <si>
    <t xml:space="preserve">http://gofile.me/649X4/xyiFPo9vd</t>
  </si>
  <si>
    <r>
      <rPr>
        <sz val="11"/>
        <color rgb="FF202020"/>
        <rFont val="Arial"/>
        <family val="0"/>
        <charset val="1"/>
      </rPr>
      <t xml:space="preserve">BX54 Ultra bright зарядный дата кабель для Micro-USB
</t>
    </r>
    <r>
      <rPr>
        <sz val="11"/>
        <color rgb="FF202020"/>
        <rFont val="Noto Sans"/>
        <family val="2"/>
      </rPr>
      <t xml:space="preserve">（</t>
    </r>
    <r>
      <rPr>
        <sz val="11"/>
        <color rgb="FF202020"/>
        <rFont val="Arial"/>
        <family val="0"/>
        <charset val="1"/>
      </rPr>
      <t xml:space="preserve">В упаковке</t>
    </r>
    <r>
      <rPr>
        <sz val="11"/>
        <color rgb="FF202020"/>
        <rFont val="Noto Sans"/>
        <family val="2"/>
      </rPr>
      <t xml:space="preserve">）</t>
    </r>
  </si>
  <si>
    <t xml:space="preserve">6931474745811</t>
  </si>
  <si>
    <t xml:space="preserve">http://hoco.i234.me:8000/sharing/o4oDiqkbq</t>
  </si>
  <si>
    <r>
      <rPr>
        <sz val="11"/>
        <color rgb="FF202020"/>
        <rFont val="Arial"/>
        <family val="0"/>
        <charset val="1"/>
      </rPr>
      <t xml:space="preserve">BX54 Ultra bright зарядный дата кабель для Type-C
</t>
    </r>
    <r>
      <rPr>
        <sz val="11"/>
        <color rgb="FF202020"/>
        <rFont val="Noto Sans"/>
        <family val="2"/>
      </rPr>
      <t xml:space="preserve">（</t>
    </r>
    <r>
      <rPr>
        <sz val="11"/>
        <color rgb="FF202020"/>
        <rFont val="Arial"/>
        <family val="0"/>
        <charset val="1"/>
      </rPr>
      <t xml:space="preserve">В упаковке</t>
    </r>
    <r>
      <rPr>
        <sz val="11"/>
        <color rgb="FF202020"/>
        <rFont val="Noto Sans"/>
        <family val="2"/>
      </rPr>
      <t xml:space="preserve">）</t>
    </r>
  </si>
  <si>
    <t xml:space="preserve">6931474745835</t>
  </si>
  <si>
    <t xml:space="preserve">http://hoco.i234.me:8000/sharing/G8ks8neDx</t>
  </si>
  <si>
    <r>
      <rPr>
        <sz val="11"/>
        <color rgb="FF202020"/>
        <rFont val="Arial"/>
        <family val="0"/>
        <charset val="1"/>
      </rPr>
      <t xml:space="preserve">BX54 Ultra bright зарядный дата кабель для iP
</t>
    </r>
    <r>
      <rPr>
        <sz val="11"/>
        <color rgb="FF202020"/>
        <rFont val="Noto Sans"/>
        <family val="2"/>
      </rPr>
      <t xml:space="preserve">（</t>
    </r>
    <r>
      <rPr>
        <sz val="11"/>
        <color rgb="FF202020"/>
        <rFont val="Arial"/>
        <family val="0"/>
        <charset val="1"/>
      </rPr>
      <t xml:space="preserve">Без упаковки</t>
    </r>
    <r>
      <rPr>
        <sz val="11"/>
        <color rgb="FF202020"/>
        <rFont val="Noto Sans"/>
        <family val="2"/>
      </rPr>
      <t xml:space="preserve">）</t>
    </r>
  </si>
  <si>
    <t xml:space="preserve">MOQ: 2000 шт. монохромного разъема, заказы должны быть кратны 2000 шт.
Кабель и цветная коробка упакованы отдельно, кабель находится в коробке по 1000 штук, а цветная коробка - по 2000 штук в коробке. 
1. Длина: 1 м, вес: 20 г.
2. Внешний материал: плетеный.
3. Материал разъема: алюминиевый сплав.
4. Сердечник: 62 медных провода, поддержка передачи данных.
5. Ток до 2,4А.</t>
  </si>
  <si>
    <r>
      <rPr>
        <sz val="11"/>
        <color rgb="FF202020"/>
        <rFont val="Arial"/>
        <family val="0"/>
        <charset val="1"/>
      </rPr>
      <t xml:space="preserve">BX54 Ultra bright зарядный дата кабель для Type-C
</t>
    </r>
    <r>
      <rPr>
        <sz val="11"/>
        <color rgb="FF202020"/>
        <rFont val="Noto Sans"/>
        <family val="2"/>
      </rPr>
      <t xml:space="preserve">（</t>
    </r>
    <r>
      <rPr>
        <sz val="11"/>
        <color rgb="FF202020"/>
        <rFont val="Arial"/>
        <family val="0"/>
        <charset val="1"/>
      </rPr>
      <t xml:space="preserve">Без упаковки</t>
    </r>
    <r>
      <rPr>
        <sz val="11"/>
        <color rgb="FF202020"/>
        <rFont val="Noto Sans"/>
        <family val="2"/>
      </rPr>
      <t xml:space="preserve">）</t>
    </r>
  </si>
  <si>
    <r>
      <rPr>
        <sz val="11"/>
        <color rgb="FF202020"/>
        <rFont val="Arial"/>
        <family val="0"/>
        <charset val="1"/>
      </rPr>
      <t xml:space="preserve">BX51 Triumph зарядный дата кабель Type-C на iP </t>
    </r>
    <r>
      <rPr>
        <sz val="11"/>
        <color rgb="FF202020"/>
        <rFont val="Noto Sans"/>
        <family val="2"/>
      </rPr>
      <t xml:space="preserve">（</t>
    </r>
    <r>
      <rPr>
        <sz val="11"/>
        <color rgb="FF202020"/>
        <rFont val="Arial"/>
        <family val="0"/>
        <charset val="1"/>
      </rPr>
      <t xml:space="preserve">В упаковке</t>
    </r>
    <r>
      <rPr>
        <sz val="11"/>
        <color rgb="FF202020"/>
        <rFont val="Noto Sans"/>
        <family val="2"/>
      </rPr>
      <t xml:space="preserve">）</t>
    </r>
  </si>
  <si>
    <t xml:space="preserve">6931474750884</t>
  </si>
  <si>
    <t xml:space="preserve">MOQ: Одна коробка с одним видом коннектора монохром, заказ в соответствии с количеством в одной коробке.
1. Длина: 1м, вес: 17г.
2. Наружный материал: PVC.
3. Материал коннектора: PVC.
4. Сердечник провода: 120 пятижильных медных проводов, поддерживает передачу данных.
5. Ток 5V/2.4A, не поддерживает протокол быстрой зарядки PD.</t>
  </si>
  <si>
    <t xml:space="preserve">http://hoco.i234.me:8000/sharing/RksaSe3bT</t>
  </si>
  <si>
    <t xml:space="preserve">http://gofile.me/649X4/lBZs0kMOA</t>
  </si>
  <si>
    <t xml:space="preserve">6931474750891</t>
  </si>
  <si>
    <r>
      <rPr>
        <sz val="11"/>
        <color rgb="FF202020"/>
        <rFont val="Arial"/>
        <family val="0"/>
        <charset val="1"/>
      </rPr>
      <t xml:space="preserve">BX51 Triumph 60W зарядный дата кабель Type-C на Type-C</t>
    </r>
    <r>
      <rPr>
        <sz val="11"/>
        <color rgb="FF202020"/>
        <rFont val="Noto Sans"/>
        <family val="2"/>
      </rPr>
      <t xml:space="preserve">（</t>
    </r>
    <r>
      <rPr>
        <sz val="11"/>
        <color rgb="FF202020"/>
        <rFont val="Arial"/>
        <family val="0"/>
        <charset val="1"/>
      </rPr>
      <t xml:space="preserve">В упаковке</t>
    </r>
    <r>
      <rPr>
        <sz val="11"/>
        <color rgb="FF202020"/>
        <rFont val="Noto Sans"/>
        <family val="2"/>
      </rPr>
      <t xml:space="preserve">）</t>
    </r>
  </si>
  <si>
    <t xml:space="preserve">6931474751669</t>
  </si>
  <si>
    <t xml:space="preserve">MOQ: Одна коробка с одним видом коннектора монохром, заказ в соответствии с количеством в одной коробке.
1. Длина: 1 м, вес: 25 г.
2. Наружный материал: ПВХ.
3. Материал разъема: ПВХ.
4. Жила провода: 120 пятижильных медных проводов, поддерживающих передачу данных.
5. С подходящим зарядным устройством PD он поддерживает мощность зарядки до 60 Вт для ноутбуков; Интерфейс Type-C для зарядки мобильных телефонов поддерживает ток 3 А.</t>
  </si>
  <si>
    <t xml:space="preserve">http://hoco.i234.me:8000/sharing/JJkmgqzrd</t>
  </si>
  <si>
    <t xml:space="preserve">6931474751676</t>
  </si>
  <si>
    <r>
      <rPr>
        <sz val="11"/>
        <color rgb="FF202020"/>
        <rFont val="Arial"/>
        <family val="0"/>
        <charset val="1"/>
      </rPr>
      <t xml:space="preserve">BX51 Triumph зарядный дата кабель для iP
</t>
    </r>
    <r>
      <rPr>
        <sz val="11"/>
        <color rgb="FF202020"/>
        <rFont val="Noto Sans"/>
        <family val="2"/>
      </rPr>
      <t xml:space="preserve">（</t>
    </r>
    <r>
      <rPr>
        <sz val="11"/>
        <color rgb="FF202020"/>
        <rFont val="Arial"/>
        <family val="0"/>
        <charset val="1"/>
      </rPr>
      <t xml:space="preserve">В упаковке</t>
    </r>
    <r>
      <rPr>
        <sz val="11"/>
        <color rgb="FF202020"/>
        <rFont val="Noto Sans"/>
        <family val="2"/>
      </rPr>
      <t xml:space="preserve">）</t>
    </r>
  </si>
  <si>
    <t xml:space="preserve">6931474743893</t>
  </si>
  <si>
    <t xml:space="preserve">21*7*2</t>
  </si>
  <si>
    <r>
      <rPr>
        <b val="true"/>
        <sz val="9"/>
        <color rgb="FFFF0000"/>
        <rFont val="微软雅黑"/>
        <family val="0"/>
        <charset val="134"/>
      </rPr>
      <t xml:space="preserve">Минимальный объем заказа:одна коробка для одного артикула </t>
    </r>
    <r>
      <rPr>
        <b val="true"/>
        <sz val="9"/>
        <color rgb="FFFF0000"/>
        <rFont val="Noto Sans"/>
        <family val="2"/>
      </rPr>
      <t xml:space="preserve">， </t>
    </r>
    <r>
      <rPr>
        <b val="true"/>
        <sz val="9"/>
        <color rgb="FFFF0000"/>
        <rFont val="微软雅黑"/>
        <family val="0"/>
        <charset val="134"/>
      </rPr>
      <t xml:space="preserve">заказ в коробках
1. Длина: 1м, вес: 17г.
2. Материал внешний: PVC.
3. Материал коннектора: PVC.
4. Сердечник: 72 медных провода, поддерживает передачу данных.
5.максимальный ток: iP / Micro: 2.4A: Type-C: 3A</t>
    </r>
  </si>
  <si>
    <t xml:space="preserve">http://hoco.i234.me:8000/sharing/5HN7y6gSc</t>
  </si>
  <si>
    <t xml:space="preserve">6931474743909</t>
  </si>
  <si>
    <r>
      <rPr>
        <sz val="11"/>
        <color rgb="FF202020"/>
        <rFont val="Arial"/>
        <family val="0"/>
        <charset val="1"/>
      </rPr>
      <t xml:space="preserve">BX51 Triumph зарядный дата кабель для Micro-USB
</t>
    </r>
    <r>
      <rPr>
        <sz val="11"/>
        <color rgb="FF202020"/>
        <rFont val="Noto Sans"/>
        <family val="2"/>
      </rPr>
      <t xml:space="preserve">（</t>
    </r>
    <r>
      <rPr>
        <sz val="11"/>
        <color rgb="FF202020"/>
        <rFont val="Arial"/>
        <family val="0"/>
        <charset val="1"/>
      </rPr>
      <t xml:space="preserve">В упаковке</t>
    </r>
    <r>
      <rPr>
        <sz val="11"/>
        <color rgb="FF202020"/>
        <rFont val="Noto Sans"/>
        <family val="2"/>
      </rPr>
      <t xml:space="preserve">）</t>
    </r>
  </si>
  <si>
    <t xml:space="preserve">6931474743916</t>
  </si>
  <si>
    <t xml:space="preserve">http://hoco.i234.me:8000/sharing/Jj6BGUeYK</t>
  </si>
  <si>
    <t xml:space="preserve">6931474743923</t>
  </si>
  <si>
    <r>
      <rPr>
        <sz val="11"/>
        <color rgb="FF202020"/>
        <rFont val="Arial"/>
        <family val="0"/>
        <charset val="1"/>
      </rPr>
      <t xml:space="preserve">BX51 Triumph зарядный дата кабель для Type-C
</t>
    </r>
    <r>
      <rPr>
        <sz val="11"/>
        <color rgb="FF202020"/>
        <rFont val="Noto Sans"/>
        <family val="2"/>
      </rPr>
      <t xml:space="preserve">（</t>
    </r>
    <r>
      <rPr>
        <sz val="11"/>
        <color rgb="FF202020"/>
        <rFont val="Arial"/>
        <family val="0"/>
        <charset val="1"/>
      </rPr>
      <t xml:space="preserve">В упаковке</t>
    </r>
    <r>
      <rPr>
        <sz val="11"/>
        <color rgb="FF202020"/>
        <rFont val="Noto Sans"/>
        <family val="2"/>
      </rPr>
      <t xml:space="preserve">）</t>
    </r>
  </si>
  <si>
    <t xml:space="preserve">6931474743930</t>
  </si>
  <si>
    <t xml:space="preserve">http://hoco.i234.me:8000/sharing/9sBA7UgCM</t>
  </si>
  <si>
    <t xml:space="preserve">6931474743947</t>
  </si>
  <si>
    <r>
      <rPr>
        <sz val="11"/>
        <color rgb="FF202020"/>
        <rFont val="Arial"/>
        <family val="0"/>
        <charset val="1"/>
      </rPr>
      <t xml:space="preserve">BX51 Triumph зарядный дата кабель для Type-C
</t>
    </r>
    <r>
      <rPr>
        <sz val="11"/>
        <color rgb="FF202020"/>
        <rFont val="Noto Sans"/>
        <family val="2"/>
      </rPr>
      <t xml:space="preserve">（</t>
    </r>
    <r>
      <rPr>
        <sz val="11"/>
        <color rgb="FF202020"/>
        <rFont val="Arial"/>
        <family val="0"/>
        <charset val="1"/>
      </rPr>
      <t xml:space="preserve">Без упаковки</t>
    </r>
    <r>
      <rPr>
        <sz val="11"/>
        <color rgb="FF202020"/>
        <rFont val="Noto Sans"/>
        <family val="2"/>
      </rPr>
      <t xml:space="preserve">）</t>
    </r>
  </si>
  <si>
    <t xml:space="preserve">Минимальный объем заказа: один вид коннектора монохромный 2000 шт., заказы должны быть размещены в количестве, кратном 2000.
Провод и цветная коробка упаковываются отдельно, провод - 1000 в упаковке, а цветная коробка - 2000 в упаковке.
1. Длина: 1м, вес: 17г.
2. Материал внешний: PVC.
3. Материал коннектора: PVC.
4. Сердечник: 72 медных провода, поддерживает передачу данных.
5.максимальный ток: iP / Micro: 2.4A: Type-C: 3A</t>
  </si>
  <si>
    <t xml:space="preserve">BX41 Amiable магнитный зарядный кабель для Micro</t>
  </si>
  <si>
    <t xml:space="preserve">6931474738455</t>
  </si>
  <si>
    <t xml:space="preserve">1. Длина: 1м, вес: 22г.
2. Материал внешнего покрытия: PVC.
3. Материал коннектора: PVC.
4. Ядро: 52 медных провода, ток 2.4А.
5. Передача данных не поддерживается.</t>
  </si>
  <si>
    <t xml:space="preserve">http://hoco.i234.me:8000/sharing/bR0axzZPE</t>
  </si>
  <si>
    <t xml:space="preserve">BX41 Amiable магнитный зарядный кабель для Type-C</t>
  </si>
  <si>
    <t xml:space="preserve">6931474738462</t>
  </si>
  <si>
    <t xml:space="preserve">http://hoco.i234.me:8000/sharing/4lqLNjX3R</t>
  </si>
  <si>
    <t xml:space="preserve">BX32 Munificent зарядный дата кабель для iP</t>
  </si>
  <si>
    <t xml:space="preserve">6931474710413</t>
  </si>
  <si>
    <t xml:space="preserve">20.2*7.5*2</t>
  </si>
  <si>
    <t xml:space="preserve">1. Длина 1 м, вес 21г.
2. Материал: нейлон + корпус из алюминиевого сплава + TPE.
3. Поддержка зарядки и передачи данных.
4. Спецификация сердечника провода: четырехжильная луженая бескислородная медная проволока (26 / 0,1 + 250D нейлоновая проволока) * 2C + (10 / 0,1 + 250D нейлоновая проволока) * 2C OD = 3,2 мм.</t>
  </si>
  <si>
    <t xml:space="preserve">http://hoco.i234.me:8000/sharing/HjSrrfcDt</t>
  </si>
  <si>
    <t xml:space="preserve">BX32 Munificent зарядный дата кабель для Micro-USB</t>
  </si>
  <si>
    <t xml:space="preserve">6931474710437</t>
  </si>
  <si>
    <t xml:space="preserve">http://hoco.i234.me:8000/sharing/9RBlLWOiG</t>
  </si>
  <si>
    <t xml:space="preserve">BX32 Munificent зарядный дата кабель для Type-C</t>
  </si>
  <si>
    <t xml:space="preserve">6931474710451</t>
  </si>
  <si>
    <t xml:space="preserve">http://hoco.i234.me:8000/sharing/gNxmPODyF</t>
  </si>
  <si>
    <t xml:space="preserve">BX19 Benefit зарядный дата кабель для iP</t>
  </si>
  <si>
    <t xml:space="preserve">6931474701756</t>
  </si>
  <si>
    <t xml:space="preserve">20.2*5.6*1.4</t>
  </si>
  <si>
    <t xml:space="preserve">1. Длина: 1 м, вес: 17 г.
2. Материал: PVC.
3. Синхронная поддержка зарядки и передачи данных, максимальный ток 1,3А.
4. Спецификация сердечника провода: 66 четырехжильный сердечник из луженой бескислородной меди.</t>
  </si>
  <si>
    <t xml:space="preserve">http://hoco.i234.me:8000/sharing/6lsjjo1EE</t>
  </si>
  <si>
    <t xml:space="preserve">6931474701763</t>
  </si>
  <si>
    <t xml:space="preserve">BX19 Benefit зарядный дата кабель для Micro-USB</t>
  </si>
  <si>
    <t xml:space="preserve">6931474701770</t>
  </si>
  <si>
    <t xml:space="preserve">http://hoco.i234.me:8000/sharing/EsGyedwdM</t>
  </si>
  <si>
    <t xml:space="preserve">6931474701787</t>
  </si>
  <si>
    <t xml:space="preserve">BX19 Benefit зарядный дата кабель для Type-C</t>
  </si>
  <si>
    <t xml:space="preserve">6931474701794</t>
  </si>
  <si>
    <t xml:space="preserve">http://hoco.i234.me:8000/sharing/qcrlzgCaS</t>
  </si>
  <si>
    <t xml:space="preserve">6931474701800</t>
  </si>
  <si>
    <t xml:space="preserve">BX14 LinkJet USB кабель для iP (L=1м)</t>
  </si>
  <si>
    <t xml:space="preserve">6957531089971</t>
  </si>
  <si>
    <t xml:space="preserve">1. Длина: 1 м.
2. Материал поверхности кабеля: PVC.
3. Материал поверхности разъема: TPE.
4. Материал сердечника кабеля: луженая медь.
5. Сердечник кабеля: (20 / 0,1) * 2C + (10 / 0,1) * 2C, ПВХ OD3.5мм.
6. Для зарядки и передачи данных.
7. Максимальный ток 2.4A.</t>
  </si>
  <si>
    <t xml:space="preserve">http://hoco.i234.me:8000/sharing/AoCbnpWuv</t>
  </si>
  <si>
    <t xml:space="preserve">BX14 LinkJet USB кабель для Micro-USB (L=1м)</t>
  </si>
  <si>
    <t xml:space="preserve">6957531089988</t>
  </si>
  <si>
    <t xml:space="preserve">http://hoco.i234.me:8000/sharing/wIhU8HQNd</t>
  </si>
  <si>
    <t xml:space="preserve">BX14 LinkJet USB кабель Type-С (L=1м)</t>
  </si>
  <si>
    <t xml:space="preserve">6957531089995</t>
  </si>
  <si>
    <t xml:space="preserve">1. Длина: 1 м.
2. Материал поверхности кабеля: PVC.
3. Материал поверхности разъема: TPE.
4. Материал сердечника кабеля: луженая медь.
5. Сердечник кабеля: (20 / 0,1) * 2C + (10 / 0,1) * 2C, ПВХ OD3.5мм.
6. Для зарядки и передачи данных.
7. Максимальный ток 3A.</t>
  </si>
  <si>
    <t xml:space="preserve">http://hoco.i234.me:8000/sharing/TVJM8lYXN</t>
  </si>
  <si>
    <t xml:space="preserve">BX14 LinkJet USB кабель для iP (L=2м)</t>
  </si>
  <si>
    <t xml:space="preserve">6957531090007</t>
  </si>
  <si>
    <t xml:space="preserve">44.8*40.1*45.2</t>
  </si>
  <si>
    <t xml:space="preserve">1. Длина: 2м.
2. Материал поверхности кабеля: PVC.
3. Материал поверхности разъема: TPE.
4. Материал сердечника кабеля: луженая медь.
5. Сердечник кабеля: (20 / 0,1) * 2C + (10 / 0,1) * 2C, ПВХ OD3.5мм.
6. Для зарядки и передачи данных.
7. Максимальный ток 2.4A.</t>
  </si>
  <si>
    <t xml:space="preserve">BX14 LinkJet USB кабель для Micro-USB (L=2м)</t>
  </si>
  <si>
    <t xml:space="preserve">6957531090014</t>
  </si>
  <si>
    <t xml:space="preserve">BX14 LinkJet USB кабель для Type-С (L=2м)</t>
  </si>
  <si>
    <t xml:space="preserve">6957531090021</t>
  </si>
  <si>
    <t xml:space="preserve">BX14 LinkJet USB кабель для  iP (L=3м)</t>
  </si>
  <si>
    <t xml:space="preserve">6957531090373</t>
  </si>
  <si>
    <t xml:space="preserve">1. Длина: 3м.
2. Материал поверхности кабеля: PVC.
3. Материал поверхности разъема: TPE.
4. Материал сердечника кабеля: луженая медь.
5. Сердечник кабеля: (20 / 0,1) * 2C + (10 / 0,1) * 2C, ПВХ OD3.5мм.
6. Для зарядки и передачи данных.
7. Максимальный ток 2.4A.</t>
  </si>
  <si>
    <t xml:space="preserve">BX14 LinkJet USB кабель для Micro-USB (L=3м)</t>
  </si>
  <si>
    <t xml:space="preserve">6957531090380</t>
  </si>
  <si>
    <t xml:space="preserve">BX14 LinkJet USB кабель для Type-С (L=3м)</t>
  </si>
  <si>
    <t xml:space="preserve">6957531090397</t>
  </si>
  <si>
    <t xml:space="preserve">Итого к оплате, ₽</t>
  </si>
  <si>
    <t xml:space="preserve">Переходники и хабы</t>
  </si>
  <si>
    <t xml:space="preserve">Серия FH — док-станции и хабы</t>
  </si>
  <si>
    <t xml:space="preserve">FH1 4-в-1 конвертер (USB на USB2.0*3+USB3.0)</t>
  </si>
  <si>
    <t xml:space="preserve">6941991126116</t>
  </si>
  <si>
    <t xml:space="preserve">металлик</t>
  </si>
  <si>
    <t xml:space="preserve">14.2*8.6*1.7</t>
  </si>
  <si>
    <t xml:space="preserve">37*23.3*12.5</t>
  </si>
  <si>
    <t xml:space="preserve">48.2*38.6*40</t>
  </si>
  <si>
    <t xml:space="preserve">1. Материал: алюминиевый сплав
2. размер: 95 * 29 * 7.5mm; Вес: 14g
3. Интерфейс: USB на USB 2.0 * 3+USB 3.0
4. Теоретическая скорость передачи: 3.0 до 5Gbps, 2.0 до 480Mbps
5. 4 USB могут использоваться одновременно</t>
  </si>
  <si>
    <t xml:space="preserve">http://gofile.me/649X4/Xv5ueykaV</t>
  </si>
  <si>
    <t xml:space="preserve">FH1A 4-в-1 конвертер (Type-C на USB2.0*3+USB3.0)</t>
  </si>
  <si>
    <t xml:space="preserve">6941991126123</t>
  </si>
  <si>
    <t xml:space="preserve">1. Материал: алюминиевый сплав
2. размер: 95 * 25 * 7.5mm; Вес: 14g
3. Интерфейс: Type-C на USB 2.0 * 3+USB 3.0
4. Теоретическая скорость передачи: 3.0 up to 5Gbps, 2.0 up to 480Mbps
5. 4 USB могут использоваться одновременно</t>
  </si>
  <si>
    <t xml:space="preserve">http://gofile.me/649X4/oj87vk7ss</t>
  </si>
  <si>
    <t xml:space="preserve">DH8 USB BT адаптер</t>
  </si>
  <si>
    <t xml:space="preserve">6941991109652</t>
  </si>
  <si>
    <t xml:space="preserve">13*8*0.9</t>
  </si>
  <si>
    <t xml:space="preserve">29.8*14.5*8.7</t>
  </si>
  <si>
    <t xml:space="preserve">60.5*29.5*19.6</t>
  </si>
  <si>
    <t xml:space="preserve">1. Материал: пластик
2. Размер: 30*16*7mm; Вес: 2.5g
3. Bluetooth: V5.1 (поддержка Bluetooth 4.0, 3.0)
4. Скорость передачи: 3.0Mbps
5. Широкая подключение нескольких Bluetooth устройств одновременно.</t>
  </si>
  <si>
    <t xml:space="preserve">http://gofile.me/649X4/mZkbp1Lcw</t>
  </si>
  <si>
    <t xml:space="preserve">Серия BV ( адаптер)</t>
  </si>
  <si>
    <t xml:space="preserve">BV26 iP штекер на USB гнездо USB2.0 адаптер</t>
  </si>
  <si>
    <t xml:space="preserve">6941991123979</t>
  </si>
  <si>
    <t xml:space="preserve">14.4*9.4*0.6</t>
  </si>
  <si>
    <t xml:space="preserve">1. Коннектор: Lightning штекер на USB гнездо
2. Поддержка OTG для Apple телефонов, прямое чтение файло в приложении iPhone "File"
3. Зарядка не поддерживается</t>
  </si>
  <si>
    <t xml:space="preserve">http://gofile.me/649X4/7k5Grtsa6</t>
  </si>
  <si>
    <t xml:space="preserve">BV26A iP штекер на Type-C гнездо USB2.0 адаптер</t>
  </si>
  <si>
    <t xml:space="preserve">6941991123986</t>
  </si>
  <si>
    <t xml:space="preserve">1. Коннектор: Lightning штекер на Type-C гнездо
2. Поддержка передачи данных, не поддерживает OTG
3. Поддержка зарядки: 5V/2A USB на Type-C, 5V/2A Type-C на Type-C (нет PD функции)</t>
  </si>
  <si>
    <t xml:space="preserve">http://gofile.me/649X4/sbeE8JJIC</t>
  </si>
  <si>
    <t xml:space="preserve">BV26B USB штекер на Type-C гнездо USB3.0 адаптер</t>
  </si>
  <si>
    <t xml:space="preserve">6941991123993</t>
  </si>
  <si>
    <t xml:space="preserve">1. Коннектор: USB штекер на Type-C гнездо
2. Поддержка передачи данных, чтение файлов на ПК с накопителя с Type-C интерфейсом
3. Поддержка зарядки: с кабелем Type-C на Lightning PD 5V/2A, с кабелем Type-C на Type-C 60W/ 3A, поддержка быстрой зарядки для Android телефонов Huawei FCP, Xiaomi, Samsung, OPPO, и др.</t>
  </si>
  <si>
    <t xml:space="preserve">http://gofile.me/649X4/3z0RPvqoR</t>
  </si>
  <si>
    <t xml:space="preserve">BV26C Type-C штекер на USB гнездо USB3.0 адаптер</t>
  </si>
  <si>
    <t xml:space="preserve">6941991123962</t>
  </si>
  <si>
    <t xml:space="preserve">1. Коннектор: Type-C штекер на USB гнездо
2. Поддержка OTG, подключите накопитель с Type-C интерфейсом для чтения файлов
3. Поддержка зарядки. USB на Lightning 5V/1.5A  (нет PD); USB на Type-C 5V/2A (не подходит для ноутбуков)</t>
  </si>
  <si>
    <t xml:space="preserve">http://gofile.me/649X4/gzhPtEieC</t>
  </si>
  <si>
    <t xml:space="preserve">BV26D iP штекер/Type-C штекер/Micro штекер на USB гнездо USB2.0 3-в-1 адаптер</t>
  </si>
  <si>
    <t xml:space="preserve">6941991124006</t>
  </si>
  <si>
    <t xml:space="preserve">1. Коннектор: Lightning штекер/Type-C штекер /Micro штекер на USB гнездо, 3-в-1
2. Не поддерживает OTG, только чтение файлов
3. Type-C поддерживает зарядку (5V/1.5A)</t>
  </si>
  <si>
    <t xml:space="preserve">http://gofile.me/649X4/KEVw3Dq8c</t>
  </si>
  <si>
    <t xml:space="preserve">BV18 USB штекер на Type-C гнездо USB2.0 адаптер</t>
  </si>
  <si>
    <t xml:space="preserve">6941991104008</t>
  </si>
  <si>
    <t xml:space="preserve">14.1*9*1.1</t>
  </si>
  <si>
    <t xml:space="preserve">1. Коннектор: штекер USB на гнездо Type-C.
2. Поддержка передачи данных и функции OTG.
3. С кабелем C-L можно заряжать устройства интерфейса Lightning с 5В / 2А, не поддерживает быструю зарядку PD; с помощью кабеля быстрой зарядки C-C мощностью 60 Вт поддерживает быструю зарядку током до 3А, совместим с Huawei, Xiaomi, Samsung, OPPO и другими мобильными телефонами.</t>
  </si>
  <si>
    <t xml:space="preserve">http://gofile.me/649X4/wbKbO64BT</t>
  </si>
  <si>
    <t xml:space="preserve">BV18 Type-C штекер на USB гнездо USB3.0 адаптер</t>
  </si>
  <si>
    <t xml:space="preserve">6941991104015</t>
  </si>
  <si>
    <t xml:space="preserve">14.1*9.1*1.2</t>
  </si>
  <si>
    <t xml:space="preserve">1. Коннектор: Type-C штекер на USB гнездо.
2. Поддержка передачи данных и функции OTG.
3. С кабелем A-L можно заряжать устройства интерфейса Lightning с 5В / 2А, не поддерживает быструю зарядку PD; С кабелем A-C устройство с интерфейсом Type-C можно заряжать максимальным током 4А, поддерживает быструю зарядку для Huawei, Xiaomi и OPPO.</t>
  </si>
  <si>
    <t xml:space="preserve">http://gofile.me/649X4/qlJFOjCG3</t>
  </si>
  <si>
    <t xml:space="preserve">BV3 Type-C OTG адаптер</t>
  </si>
  <si>
    <t xml:space="preserve">6957531090328</t>
  </si>
  <si>
    <t xml:space="preserve">серебро</t>
  </si>
  <si>
    <t xml:space="preserve">19*7.5*0.5</t>
  </si>
  <si>
    <t xml:space="preserve">1. Материал: алюминий.
2. Функция: подключение мобильного телефона Type-C к USB накопителю / портативному жесткому диску (1 ГБ макс) или мобильному телефону iP / Type-C.
3. Поддержка зарядки подключенного мобильного телефона iP / Type-C и чтение / запись данных.
4. Размер: 3 * 1,5 * 0,7. Вес: 3 г.</t>
  </si>
  <si>
    <t xml:space="preserve">http://hoco.i234.me:8000/sharing/85xSLAj4n</t>
  </si>
  <si>
    <t xml:space="preserve">BUS01 Category 6 Gigabit network cable(L=1M)</t>
  </si>
  <si>
    <t xml:space="preserve">6941991103933</t>
  </si>
  <si>
    <t xml:space="preserve">23.6*17.8*1.3</t>
  </si>
  <si>
    <t xml:space="preserve">57.8*33.7*49</t>
  </si>
  <si>
    <t xml:space="preserve">1, Материал:PVC, Длина: 1м
2. 6-cat gigabit сетевой кабель, композитный медный сердечник, стандартный 6-cat коннектор.
3, Подходит для маршрутизаторов, компьютеров, коммутаторов и другого коннекторного оборудования RJ45, используемого дома и в офисе</t>
  </si>
  <si>
    <t xml:space="preserve">http://gofile.me/649X4/sT4nbqkfm</t>
  </si>
  <si>
    <t xml:space="preserve">BUS01 Category 6 Gigabit network cable(L=3M)</t>
  </si>
  <si>
    <t xml:space="preserve">6941991103940</t>
  </si>
  <si>
    <t xml:space="preserve">23.5*17.8*2.5</t>
  </si>
  <si>
    <t xml:space="preserve">1,  Материал:PVC, Длина: 3м
2. 6-cat gigabit сетевой кабель, композитный медный сердечник, стандартный 6-cat коннектор.
3, Подходит для маршрутизаторов, компьютеров, коммутаторов и другого коннекторного оборудования RJ45, используемого дома и в офисе</t>
  </si>
  <si>
    <t xml:space="preserve">BUS01 Category 6 Gigabit network cable(L=5M)</t>
  </si>
  <si>
    <t xml:space="preserve">6941991103957</t>
  </si>
  <si>
    <t xml:space="preserve">23.5*17.8*4</t>
  </si>
  <si>
    <t xml:space="preserve">1, Материал:PVC,  Длина: 5м
2. 6-cat gigabit сетевой кабель, композитный медный сердечник, стандартный 6-cat коннектор.
3, Подходит для маршрутизаторов, компьютеров, коммутаторов и другого коннекторного оборудования RJ45, используемого дома и в офисе</t>
  </si>
  <si>
    <t xml:space="preserve">BUS01 Category 6 Gigabit network cable(L=8M)</t>
  </si>
  <si>
    <t xml:space="preserve">6941991103964</t>
  </si>
  <si>
    <t xml:space="preserve">23.7*17.5*2.5</t>
  </si>
  <si>
    <t xml:space="preserve">1,  Материал:PVC, Длина: 8м
2. 6-cat gigabit сетевой кабель, композитный медный сердечник, стандартный 6-cat коннектор.
3, Подходит для маршрутизаторов, компьютеров, коммутаторов и другого коннекторного оборудования RJ45, используемого дома и в офисе</t>
  </si>
  <si>
    <t xml:space="preserve">BUS01 Category 6 Gigabit network cable(L=10M)</t>
  </si>
  <si>
    <t xml:space="preserve">6941991103971</t>
  </si>
  <si>
    <t xml:space="preserve">23*17.8*4</t>
  </si>
  <si>
    <t xml:space="preserve">1,  Материал:PVC, Длина: 10м
2. 6-cat gigabit сетевой кабель, композитный медный сердечник, стандартный 6-cat коннектор.
3, Подходит для маршрутизаторов, компьютеров, коммутаторов и другого коннекторного оборудования RJ45, используемого дома и в офисе</t>
  </si>
  <si>
    <t xml:space="preserve">Внешние аккумуляторы</t>
  </si>
  <si>
    <t xml:space="preserve">Модели с сертификацией CCC</t>
  </si>
  <si>
    <t xml:space="preserve">BJ94 Origium PD20W магнитный пауэрбанк (10000mAh)(CCC)</t>
  </si>
  <si>
    <t xml:space="preserve">6941991130007</t>
  </si>
  <si>
    <t xml:space="preserve">19.1*8.5*2.2</t>
  </si>
  <si>
    <t xml:space="preserve">36*26*27</t>
  </si>
  <si>
    <t xml:space="preserve">1. Емкость: 10000mAh 38.5Wh. Номинальная емкость: 5300mAh.
2. Вход: Type-C: 18W.
3. Выход: 
Type-C: 20W (PD/QC/FCP/AFC). 
Выход беспроводной зарядки: 5W/7.5W/10W/15W.
Общий выход: 5V/3A.
4. Отображение: светодиодный индикатор уровня заряда.
5. Материал: трудновоспламеняемый корпус ABS+PC + литий-полимерный элемент.
6. Размеры: 101*65*19 мм. Вес: 190 г.</t>
  </si>
  <si>
    <t xml:space="preserve">http://gofile.me/649X4/kcwEK02GS</t>
  </si>
  <si>
    <r>
      <rPr>
        <sz val="11"/>
        <color rgb="FF202020"/>
        <rFont val="Arial"/>
        <family val="0"/>
        <charset val="1"/>
      </rPr>
      <t xml:space="preserve">BJ93 Skillux PD20W пауэрбанк с кабелем (10000mAh)(CCC)
</t>
    </r>
    <r>
      <rPr>
        <sz val="11"/>
        <color rgb="FF202020"/>
        <rFont val="Noto Sans"/>
        <family val="2"/>
      </rPr>
      <t xml:space="preserve">「</t>
    </r>
    <r>
      <rPr>
        <sz val="11"/>
        <color rgb="FF202020"/>
        <rFont val="Arial"/>
        <family val="0"/>
        <charset val="1"/>
      </rPr>
      <t xml:space="preserve">Неопасные товары</t>
    </r>
    <r>
      <rPr>
        <sz val="11"/>
        <color rgb="FF202020"/>
        <rFont val="Noto Sans"/>
        <family val="2"/>
      </rPr>
      <t xml:space="preserve">」</t>
    </r>
  </si>
  <si>
    <t xml:space="preserve">6941991129995</t>
  </si>
  <si>
    <t xml:space="preserve">19.2*8.6*2.6</t>
  </si>
  <si>
    <t xml:space="preserve">1. Емкость: 10000mAh 38.5Wh. Номинальная емкость: 6000mAh.  
2. Вход: Type-C: 18W.  
3. Выход: Type-C/кабель Type-C: 20W (PD/QC/FCP/AFC).
Кабель Lightning: 5V/2.4A. 
Общий выход: 5V/3A.  
4. Материал: корпус из ABS+PC с защитой от возгорания + литий-полимерный аккумулятор.  
5. Размер: 70*64*26 мм. Вес: 175 г.</t>
  </si>
  <si>
    <t xml:space="preserve">http://gofile.me/649X4/LCkeTSSOK</t>
  </si>
  <si>
    <t xml:space="preserve">BJ90 Pasar пауэрбанк (10000mAh)(CCC)</t>
  </si>
  <si>
    <t xml:space="preserve">6941991129292</t>
  </si>
  <si>
    <t xml:space="preserve">19.4*8.7*2.5</t>
  </si>
  <si>
    <t xml:space="preserve">1. Ёмкость: 10000 мА·ч 37 Вт·ч; Номинальная ёмкость: 5300 мА·ч
2. Вход: Micro/Type-C: 5 В/2,1 А
3. Выход: USB1/USB2: 5 В/2,1 А; Общий выход: 5 В/2,1 А
4. Индикация: светодиодный индикатор уровня заряда
5. Материал: ABS+PC+литий-полимерный аккумуляторный элемент
6. Размер: 140 × 67,5 × 16 мм; Вес: 220 г</t>
  </si>
  <si>
    <t xml:space="preserve">http://gofile.me/649X4/ZjsiyKRJo</t>
  </si>
  <si>
    <r>
      <rPr>
        <sz val="11"/>
        <color rgb="FF202020"/>
        <rFont val="Arial"/>
        <family val="0"/>
        <charset val="1"/>
      </rPr>
      <t xml:space="preserve">BJ90A Pasar пауэрбанк (20000mAh)(CCC)
</t>
    </r>
    <r>
      <rPr>
        <sz val="11"/>
        <color rgb="FF202020"/>
        <rFont val="Noto Sans"/>
        <family val="2"/>
      </rPr>
      <t xml:space="preserve">「</t>
    </r>
    <r>
      <rPr>
        <sz val="11"/>
        <color rgb="FF202020"/>
        <rFont val="Arial"/>
        <family val="0"/>
        <charset val="1"/>
      </rPr>
      <t xml:space="preserve">Неопасные товары</t>
    </r>
    <r>
      <rPr>
        <sz val="11"/>
        <color rgb="FF202020"/>
        <rFont val="Noto Sans"/>
        <family val="2"/>
      </rPr>
      <t xml:space="preserve">」</t>
    </r>
  </si>
  <si>
    <t xml:space="preserve">6941991129308</t>
  </si>
  <si>
    <t xml:space="preserve">19.5*8.7*3.5</t>
  </si>
  <si>
    <t xml:space="preserve">1. Ёмкость: 20000 мА·ч 74 Вт·ч; Номинальная ёмкость: 10600 мА·ч
2. Вход: Micro/Type-C: 5 В/2,1 А
3. Выход: USB1/USB2: 5 В/2,1 А; Общий выход: 5 В/2,1 А
4. Индикация: светодиодный индикатор уровня заряда
5. Материал: ABS+PC+литий-полимерный аккумуляторный элемент
6. Размер: 142 × 68 × 28,5 мм; Вес: 400 г</t>
  </si>
  <si>
    <t xml:space="preserve">http://gofile.me/649X4/KKGN7LgGw</t>
  </si>
  <si>
    <t xml:space="preserve">BJ91 Alba 22.5W+PD20W 4-cable+lighting power bank(40000mAh)</t>
  </si>
  <si>
    <t xml:space="preserve">6941991129759</t>
  </si>
  <si>
    <t xml:space="preserve">17.8*11.5*10.3</t>
  </si>
  <si>
    <t xml:space="preserve">53.5*36*19.8</t>
  </si>
  <si>
    <r>
      <rPr>
        <sz val="9"/>
        <color theme="1" tint="0.25"/>
        <rFont val="微软雅黑"/>
        <family val="0"/>
        <charset val="134"/>
      </rPr>
      <t xml:space="preserve">1. Емкость: 40000mAh 128Wh. Номинальная мощность: 20000mAh.
2. Вход: Тип-C1: 18W. Кабель типа C2/USB-A: 5В/2А.
3. Выход: Тип-C1: 20 Вт (PD/QC/FCP/AFC). USB-A: 22,5 Вт (QC/FCP/SCP/AFC). USB-A2/Micro кабель/Type-C кабель/iP кабель: 5V/2A. Общая мощность: 5В / 2А.
4. Дисплей: светодиодный цифровой индикатор уровня батареи.
5.  Материал: негорючий корпус ABS+PC. Аккумулятор LiFePO</t>
    </r>
    <r>
      <rPr>
        <sz val="9"/>
        <color theme="1" tint="0.25"/>
        <rFont val="Times New Roman"/>
        <family val="0"/>
        <charset val="134"/>
      </rPr>
      <t xml:space="preserve">₄</t>
    </r>
    <r>
      <rPr>
        <sz val="9"/>
        <color theme="1" tint="0.25"/>
        <rFont val="微软雅黑"/>
        <family val="0"/>
        <charset val="134"/>
      </rPr>
      <t xml:space="preserve">.
6. Размеры: 81*66*145мм. Вес: 860г.</t>
    </r>
  </si>
  <si>
    <t xml:space="preserve">http://gofile.me/649X4/iHJZ2RAP9</t>
  </si>
  <si>
    <t xml:space="preserve">BJ91A Alba 22.5W+PD20W 4-cable+lighting power bank(60000mAh)</t>
  </si>
  <si>
    <t xml:space="preserve">6941991129896</t>
  </si>
  <si>
    <t xml:space="preserve">17.8*12.9*11.5</t>
  </si>
  <si>
    <r>
      <rPr>
        <sz val="9"/>
        <color theme="1" tint="0.25"/>
        <rFont val="微软雅黑"/>
        <family val="0"/>
        <charset val="134"/>
      </rPr>
      <t xml:space="preserve">1. Емкость: 60000mAh 192Wh; Номинальная мощность: 30000mAh
2. Вход: Тип-C1: 18W; Кабель типа C2/USB-A: 5В/2А
3. Выход: Тип-C1: 20W (PD/QC/FCC/AFC);
USB-A: 22,5 Вт (QC/FCP/SCP/AFC);
USB-A2/Micro кабель/Type-C кабель/IP кабель: 5V/2A; Общая мощность: 5V / 2A
4. Дисплей: светодиодный цифровой дисплей уровня батареи
5. Материал: негорючий корпус ABS+PC. Аккумулятор LiFePO</t>
    </r>
    <r>
      <rPr>
        <sz val="9"/>
        <color theme="1" tint="0.25"/>
        <rFont val="Times New Roman"/>
        <family val="0"/>
        <charset val="134"/>
      </rPr>
      <t xml:space="preserve">₄</t>
    </r>
    <r>
      <rPr>
        <sz val="9"/>
        <color theme="1" tint="0.25"/>
        <rFont val="微软雅黑"/>
        <family val="0"/>
        <charset val="134"/>
      </rPr>
      <t xml:space="preserve">.
6. Size: 81 * 91 * 145mm; Вес: 1150г</t>
    </r>
  </si>
  <si>
    <t xml:space="preserve">http://gofile.me/649X4/G5VY1TDUh</t>
  </si>
  <si>
    <t xml:space="preserve">BJ89 Salte PD20W портативный аккумулятор с лампой и 2 кабелями (10000mAh)</t>
  </si>
  <si>
    <t xml:space="preserve">6941991128448</t>
  </si>
  <si>
    <t xml:space="preserve">18.3*8.7*3.5</t>
  </si>
  <si>
    <t xml:space="preserve">1. Емкость: 10000mAh 38.5Wh; Номинальная емкость: 6000mAh
2. Вход: USB-C: 18W
3. Выход: USB-C/USB-C кабель: 20W (PD/QC/FCC/AFC);
IP кабель: 5V/2.4A; Общий выход: 5V/2A
4. Индикация: LED цифровой дисплей уровня заряда
5. Материал: PC+ABS огнеупорный+литий-полимерный аккумулятор
6. Размер: 98 * 50 * 30mm; вес: 185g“</t>
  </si>
  <si>
    <t xml:space="preserve">http://gofile.me/649X4/byd1hUzdy</t>
  </si>
  <si>
    <r>
      <rPr>
        <sz val="11"/>
        <color rgb="FF202020"/>
        <rFont val="Arial"/>
        <family val="0"/>
        <charset val="1"/>
      </rPr>
      <t xml:space="preserve">BJ87 Star портативный аккумулятор с фонариком и кабелем (5000mAh)
</t>
    </r>
    <r>
      <rPr>
        <sz val="11"/>
        <color rgb="FF202020"/>
        <rFont val="Noto Sans"/>
        <family val="2"/>
      </rPr>
      <t xml:space="preserve">「</t>
    </r>
    <r>
      <rPr>
        <sz val="11"/>
        <color rgb="FF202020"/>
        <rFont val="Arial"/>
        <family val="0"/>
        <charset val="1"/>
      </rPr>
      <t xml:space="preserve">Неопасные товары</t>
    </r>
    <r>
      <rPr>
        <sz val="11"/>
        <color rgb="FF202020"/>
        <rFont val="Noto Sans"/>
        <family val="2"/>
      </rPr>
      <t xml:space="preserve">」</t>
    </r>
  </si>
  <si>
    <t xml:space="preserve">6941991126901</t>
  </si>
  <si>
    <t xml:space="preserve">чёрный и серый</t>
  </si>
  <si>
    <t xml:space="preserve">15.7*8.6*3.2</t>
  </si>
  <si>
    <t xml:space="preserve">1. Емкость: 5000mAh 18.5Wh номинальная емкость
2. Вход: USB-C: 5V/2A
3. Выход: USB-C: 5V/2A; Общий Выход: 5V/2A
4. Индикация: LED индикатор уровня заряда
5. Материал: PC+ABSогнеупорный корпус+21700 батарея
6. Размер: 108 * 31 * 29mm; вес: 105g</t>
  </si>
  <si>
    <t xml:space="preserve">http://gofile.me/649X4/iac1Hwuh5</t>
  </si>
  <si>
    <t xml:space="preserve">BJ85 Myriad портативный аккумулятор 22.5W+PD20W+лампа (100000mAh)</t>
  </si>
  <si>
    <t xml:space="preserve">6941991125560</t>
  </si>
  <si>
    <t xml:space="preserve">18.5*16.6*10</t>
  </si>
  <si>
    <t xml:space="preserve">42*34.8*20.2</t>
  </si>
  <si>
    <r>
      <rPr>
        <sz val="9"/>
        <color theme="1" tint="0.2499"/>
        <rFont val="微软雅黑"/>
        <family val="0"/>
        <charset val="134"/>
      </rPr>
      <t xml:space="preserve">1. Емкость: 100000mAh 370Wh Номинальная емкость: 55000mAh
2. Вход: USB-C/Micro/IP: 18W
3. Выход: USB-C: 20W (PD/QC/FCC/AFC); USB-A1/A3</t>
    </r>
    <r>
      <rPr>
        <sz val="9"/>
        <color theme="1" tint="0.2499"/>
        <rFont val="Noto Sans"/>
        <family val="2"/>
      </rPr>
      <t xml:space="preserve">：</t>
    </r>
    <r>
      <rPr>
        <sz val="9"/>
        <color theme="1" tint="0.2499"/>
        <rFont val="微软雅黑"/>
        <family val="0"/>
        <charset val="134"/>
      </rPr>
      <t xml:space="preserve">22.5W</t>
    </r>
    <r>
      <rPr>
        <sz val="9"/>
        <color theme="1" tint="0.2499"/>
        <rFont val="Noto Sans"/>
        <family val="2"/>
      </rPr>
      <t xml:space="preserve">（</t>
    </r>
    <r>
      <rPr>
        <sz val="9"/>
        <color theme="1" tint="0.2499"/>
        <rFont val="微软雅黑"/>
        <family val="0"/>
        <charset val="134"/>
      </rPr>
      <t xml:space="preserve">QC/FCP/SCP/AFC</t>
    </r>
    <r>
      <rPr>
        <sz val="9"/>
        <color theme="1" tint="0.2499"/>
        <rFont val="Noto Sans"/>
        <family val="2"/>
      </rPr>
      <t xml:space="preserve">）； </t>
    </r>
    <r>
      <rPr>
        <sz val="9"/>
        <color theme="1" tint="0.2499"/>
        <rFont val="微软雅黑"/>
        <family val="0"/>
        <charset val="134"/>
      </rPr>
      <t xml:space="preserve">USB-A2/A4</t>
    </r>
    <r>
      <rPr>
        <sz val="9"/>
        <color theme="1" tint="0.2499"/>
        <rFont val="Noto Sans"/>
        <family val="2"/>
      </rPr>
      <t xml:space="preserve">：</t>
    </r>
    <r>
      <rPr>
        <sz val="9"/>
        <color theme="1" tint="0.2499"/>
        <rFont val="微软雅黑"/>
        <family val="0"/>
        <charset val="134"/>
      </rPr>
      <t xml:space="preserve">5V/3A</t>
    </r>
    <r>
      <rPr>
        <sz val="9"/>
        <color theme="1" tint="0.2499"/>
        <rFont val="Noto Sans"/>
        <family val="2"/>
      </rPr>
      <t xml:space="preserve">； </t>
    </r>
    <r>
      <rPr>
        <sz val="9"/>
        <color theme="1" tint="0.2499"/>
        <rFont val="微软雅黑"/>
        <family val="0"/>
        <charset val="134"/>
      </rPr>
      <t xml:space="preserve">Общий Выход: 5V/2A
4. Дисплей: LED цифровой уровня заряда
5. Материал: ABS+PC+литий-полимерный аккумулятор
6. Размер: 151 * 132 * 66mm; Вес: 1950g</t>
    </r>
  </si>
  <si>
    <t xml:space="preserve">http://gofile.me/649X4/CT2JL9Hyj</t>
  </si>
  <si>
    <t xml:space="preserve">BJ84 Smooth портативный аккумулятор с 4 кабелями (10000mAh)</t>
  </si>
  <si>
    <t xml:space="preserve">6941991126161</t>
  </si>
  <si>
    <t xml:space="preserve">20*9.8*2.6</t>
  </si>
  <si>
    <t xml:space="preserve">1. Ёмкость: 10000mAh 37Wh Номинальная ёмкость: 5500mAh
2. Вход: USB-C/USB-A кабель: 5V/2A
3. Выход: USB-A: 5V/2A; Micro USB кабель/USB-C кабель/IP кабель: 5V/2A; Общий выход: 5V/2A
4. Индикация: LED индикатор
5. Материал: ABS+PC+литий-полимерная батарея
6. Размер: 147 * 68 * 22mm; Вес: 248g</t>
  </si>
  <si>
    <t xml:space="preserve">http://gofile.me/649X4/fgDOPziu6</t>
  </si>
  <si>
    <r>
      <rPr>
        <sz val="11"/>
        <color rgb="FF202020"/>
        <rFont val="Arial"/>
        <family val="0"/>
        <charset val="1"/>
      </rPr>
      <t xml:space="preserve">BJ84A Smooth портативный аккумулятор с 4 кабелями (20000mAh)</t>
    </r>
    <r>
      <rPr>
        <sz val="11"/>
        <color rgb="FF202020"/>
        <rFont val="Noto Sans"/>
        <family val="2"/>
      </rPr>
      <t xml:space="preserve">「</t>
    </r>
    <r>
      <rPr>
        <sz val="11"/>
        <color rgb="FF202020"/>
        <rFont val="Arial"/>
        <family val="0"/>
        <charset val="1"/>
      </rPr>
      <t xml:space="preserve">Неопасные товары</t>
    </r>
    <r>
      <rPr>
        <sz val="11"/>
        <color rgb="FF202020"/>
        <rFont val="Noto Sans"/>
        <family val="2"/>
      </rPr>
      <t xml:space="preserve">」</t>
    </r>
  </si>
  <si>
    <t xml:space="preserve">6941991126178</t>
  </si>
  <si>
    <t xml:space="preserve">19.6*9.7*3.7</t>
  </si>
  <si>
    <t xml:space="preserve">1. Ёмкость: 20000mAh 74Wh Номинальная ёмкость: 11000mAh
2. Вход: USB-C/USB-A кабель: 5V/2A
3. Выход: USB-A: 5V/2A; Micro USB кабель/USB-C кабель/IP кабель: 5V/2A; общий выход: 5V/2A
4. Индикация: LED индикатор
5. Материал: ABS+PC+литий-полимерная батарея
6. Размер: 147 * 68 * 33mm; Вес: 420g</t>
  </si>
  <si>
    <t xml:space="preserve">http://gofile.me/649X4/OyZX1CmkY</t>
  </si>
  <si>
    <r>
      <rPr>
        <sz val="11"/>
        <color rgb="FF202020"/>
        <rFont val="Arial"/>
        <family val="0"/>
        <charset val="1"/>
      </rPr>
      <t xml:space="preserve">BJ82 Dawn магнитный портативный аккумулятор (5000mAh)
</t>
    </r>
    <r>
      <rPr>
        <sz val="11"/>
        <color rgb="FF202020"/>
        <rFont val="Noto Sans"/>
        <family val="2"/>
      </rPr>
      <t xml:space="preserve">「</t>
    </r>
    <r>
      <rPr>
        <sz val="11"/>
        <color rgb="FF202020"/>
        <rFont val="Arial"/>
        <family val="0"/>
        <charset val="1"/>
      </rPr>
      <t xml:space="preserve">Неопасные товары</t>
    </r>
    <r>
      <rPr>
        <sz val="11"/>
        <color rgb="FF202020"/>
        <rFont val="Noto Sans"/>
        <family val="2"/>
      </rPr>
      <t xml:space="preserve">」</t>
    </r>
  </si>
  <si>
    <t xml:space="preserve">6941991124792</t>
  </si>
  <si>
    <t xml:space="preserve">19.3*8.7*2</t>
  </si>
  <si>
    <t xml:space="preserve">1. Емкость: 5000mAh 18.5Wh Номинальная емкость: 2600mAh
2. Вход: USB-C: 5V/2A
3. Выход: USB-A: 5V/2A; Беспроводная зарядка: 5W; общий выход: 5V/2A
4. Дисплей: LED индикатор
5. Материал: ABS+PC+литий-полимерная батарея
6. Размер: 100 * 64 * 16mm; Вес: 140g</t>
  </si>
  <si>
    <t xml:space="preserve">http://gofile.me/649X4/t5Rd6rSam</t>
  </si>
  <si>
    <t xml:space="preserve">BJ82A Dawn PD20W магнитный портативный аккумулятор (10000mAh)</t>
  </si>
  <si>
    <t xml:space="preserve">6941991124808</t>
  </si>
  <si>
    <t xml:space="preserve">19.3*8.7*2.4</t>
  </si>
  <si>
    <t xml:space="preserve">1. Емкость: 10000mAh 38.5Wh Номинальная емкость: 5500mAh
2. Вход: USB-C: 18W
3. Выход: USB-C: 20W (PD/QC/FCC/AFC); Беспроводная зарядка: 5W/7.5W/10W/15W (MagSafe 7.5W); общий выход: 5V/2A
4. Дисплей: LED индикатор
5. Материал: ABS+PC+литий-полимерная батарея
6. Размер: 100 * 69 * 18mm; Вес: 200g</t>
  </si>
  <si>
    <t xml:space="preserve">http://gofile.me/649X4/aRs6r4tmy</t>
  </si>
  <si>
    <t xml:space="preserve">BJ80 Clever 22.5W+PD20W универсальный портативный аккумулятор (10000mAh)</t>
  </si>
  <si>
    <t xml:space="preserve">6941991121593</t>
  </si>
  <si>
    <t xml:space="preserve">19.4*8.8*2.2</t>
  </si>
  <si>
    <t xml:space="preserve">1. Емкость: 10000mAh 37Wh Номинальная емкость: 5500mAh
2. Вход: USB-C/Micro-USB: 18W
3. Выход: 
USB-A1/A2: 22.5W (QC/FCP/SCP/AFC).
USB-C: 20W (PD/QC/FCP/AFC).
Общий выход: 5V/2A
4. Индикация: LED индикатор уровня заряда.
5. Материал: ABS+PC+литий-полимерная батарея
6. Размер: 146 * 68 * 17mm; Вес: 230g</t>
  </si>
  <si>
    <t xml:space="preserve">http://gofile.me/649X4/nlNOMAaQp</t>
  </si>
  <si>
    <t xml:space="preserve">http://gofile.me/649X4/wxc79O3Gn</t>
  </si>
  <si>
    <t xml:space="preserve">6941991121609</t>
  </si>
  <si>
    <r>
      <rPr>
        <sz val="11"/>
        <color rgb="FF202020"/>
        <rFont val="Arial"/>
        <family val="0"/>
        <charset val="1"/>
      </rPr>
      <t xml:space="preserve">BJ80A Clever 22.5W+PD20W универсальный портативный аккумулятор (20000mAh)
</t>
    </r>
    <r>
      <rPr>
        <sz val="11"/>
        <color rgb="FF202020"/>
        <rFont val="Noto Sans"/>
        <family val="2"/>
      </rPr>
      <t xml:space="preserve">「</t>
    </r>
    <r>
      <rPr>
        <sz val="11"/>
        <color rgb="FF202020"/>
        <rFont val="Arial"/>
        <family val="0"/>
        <charset val="1"/>
      </rPr>
      <t xml:space="preserve">Неопасные товары</t>
    </r>
    <r>
      <rPr>
        <sz val="11"/>
        <color rgb="FF202020"/>
        <rFont val="Noto Sans"/>
        <family val="2"/>
      </rPr>
      <t xml:space="preserve">」</t>
    </r>
  </si>
  <si>
    <t xml:space="preserve">6941991121616</t>
  </si>
  <si>
    <t xml:space="preserve">19.3*8.7*3.3</t>
  </si>
  <si>
    <t xml:space="preserve">1. Емкость:  20000mAh 74Wh Номинальная емкость:  11000mAh
2. Вход:  USB-C/Micro-USB: 18W
3. Выход:  
USB-A1/A2: 22.5W (QC/FCP/SCP/AFC). 
USB-C: 20W (PD/QC/FCP/AFC). 
Общий выход: 5V/2A
4. Индикация: LED индикатор уровня заряда.
5. Материал:  ABS+PC+литий-полимерная батарея
6. Размер:  147 * 70 * 66mm;  Вес: 965g</t>
  </si>
  <si>
    <t xml:space="preserve">http://gofile.me/649X4/iZ74EgV0j</t>
  </si>
  <si>
    <t xml:space="preserve">6941991121623</t>
  </si>
  <si>
    <t xml:space="preserve">BJ80B Clever 22.5W+PD20W универсальный портативный аккумулятор (30000mAh)</t>
  </si>
  <si>
    <t xml:space="preserve">6941991121630</t>
  </si>
  <si>
    <t xml:space="preserve">17*8.8*4.7</t>
  </si>
  <si>
    <t xml:space="preserve">1. Емкость: 30000mAh 111Wh Номинальная емкость: 16500mAh
2. Вход: USB-C/Micro USB: 18W
3. Выход: 
USB-A1/A2:22.5W (QC/FCP/SCP/AFC). 
USB-C: 20W (PD/QC/FCP/AFC).
Общий выход: 5V/2A.
4. Индикация: LED индикатор уровня заряда.
5. Материал: ABS+PC+polymer electronics
6. Размер: 147 * 70 * 66mm Вес: 965г</t>
  </si>
  <si>
    <t xml:space="preserve">http://gofile.me/649X4/lkYSknVYS</t>
  </si>
  <si>
    <t xml:space="preserve">BJ80C Clever 22.5W+PD20W универсальный портативный аккумулятор (50000mAh)</t>
  </si>
  <si>
    <t xml:space="preserve">6941991121654</t>
  </si>
  <si>
    <t xml:space="preserve">17*8.7*7.2</t>
  </si>
  <si>
    <t xml:space="preserve">1. Емкость: 50000mAh 185Wh Номинальная емкость: 27500mAh
2. Вход: USB-C/Micro-USB: 18W
3. Выход: 
USB-A1/A2: 22.5W (QC/FCP/SCP/AFC).
USB-C: 20W (PD/QC/FCP/AFC).
Общий выход: 5V/2A
4. Индикация: LED индикатор уровня заряда.
5. Материал: ABS+PC+литий-полимерная батарея
6. Размер: 147 * 70 * 66mm; Вес: 965g</t>
  </si>
  <si>
    <t xml:space="preserve">http://gofile.me/649X4/f5dbYGHaV</t>
  </si>
  <si>
    <t xml:space="preserve">BJ79 Clever портативный аккумулятор с 3 кабелями (10000mAh)</t>
  </si>
  <si>
    <t xml:space="preserve">6941991121531</t>
  </si>
  <si>
    <t xml:space="preserve">19.2*8.7*2.2</t>
  </si>
  <si>
    <t xml:space="preserve">1. Емкость: 10000mAh 37Wh Номинальная емкость: 5500mAh
2. Вход: USB-C/USB-A кабель: 5V/2A
3. Выход: 
USB-A: 5V/2A. 
USB-C/IP кабель: 5V/2A.
Общий выход: 5V/2A
4. Индикация: LED индикатор уровня заряда.
5. Материал: ABS+PC+литий-полимерная батарея
6. Размер: 146 * 68 * 17mm; Вес: 230g</t>
  </si>
  <si>
    <t xml:space="preserve">http://gofile.me/649X4/wJX0lxyt9</t>
  </si>
  <si>
    <t xml:space="preserve">http://gofile.me/649X4/DacVpjEhO</t>
  </si>
  <si>
    <t xml:space="preserve">6941991121548</t>
  </si>
  <si>
    <r>
      <rPr>
        <sz val="11"/>
        <color rgb="FF202020"/>
        <rFont val="Arial"/>
        <family val="0"/>
        <charset val="1"/>
      </rPr>
      <t xml:space="preserve">BJ79A Clever портативный аккумулятор с 3 кабелями (20000mAh)
</t>
    </r>
    <r>
      <rPr>
        <sz val="11"/>
        <color rgb="FF202020"/>
        <rFont val="Noto Sans"/>
        <family val="2"/>
      </rPr>
      <t xml:space="preserve">「</t>
    </r>
    <r>
      <rPr>
        <sz val="11"/>
        <color rgb="FF202020"/>
        <rFont val="Arial"/>
        <family val="0"/>
        <charset val="1"/>
      </rPr>
      <t xml:space="preserve">Неопасные товары</t>
    </r>
    <r>
      <rPr>
        <sz val="11"/>
        <color rgb="FF202020"/>
        <rFont val="Noto Sans"/>
        <family val="2"/>
      </rPr>
      <t xml:space="preserve">」</t>
    </r>
  </si>
  <si>
    <t xml:space="preserve">6941991121555</t>
  </si>
  <si>
    <t xml:space="preserve">19.7*8.7*2.3</t>
  </si>
  <si>
    <t xml:space="preserve">1. Емкость: 20000mAh 74Wh Номинальная емкость: 11000mAh
2. Вход: USB-C/USB-A кабель: 5V/2A
3. Выход: 
USB-A: 5V/2A. 
USB-C/IP кабель: 5V/2A.
Общий выход: 5V/2A.
4. Индикация: LED индикатор уровня заряда.
5. Материал: ABS+PC+литий-полимерная батарея
6. Размер: 146 * 69 * 29mm; Вес: 410g</t>
  </si>
  <si>
    <t xml:space="preserve">http://gofile.me/649X4/UonFozAof</t>
  </si>
  <si>
    <t xml:space="preserve">6941991121562</t>
  </si>
  <si>
    <t xml:space="preserve">BJ79B Clever портативный аккумулятор с 3 кабелями (30000mAh)</t>
  </si>
  <si>
    <t xml:space="preserve">6941991121579</t>
  </si>
  <si>
    <t xml:space="preserve">17*8.7*4.7</t>
  </si>
  <si>
    <t xml:space="preserve">1. Емкость: 30000mAh 111Wh Номинальная емкость: 16500mAh
2. Вход: USB-C/USB-A кабель: 5V/2A
3. Выход: 
USB-A: 5V/2A. 
USB-C/IP кабель: 5V/2A.
Общий выход: 5V/2A.
4. Индикация: LED индикатор уровня заряда.
5. Материал: ABS+PC+литий-полимерная батарея
6. Размер: 146 * 69 * 40mm; Вес: 605g</t>
  </si>
  <si>
    <t xml:space="preserve">http://gofile.me/649X4/aTSK1eKWB</t>
  </si>
  <si>
    <t xml:space="preserve">BJ79C Clever портативный аккумулятор с 3 кабелями (50000mAh)</t>
  </si>
  <si>
    <t xml:space="preserve">6941991121586</t>
  </si>
  <si>
    <t xml:space="preserve">1. Емкость: 50000mAh 185Wh Номинальная емкость: 27500mAh
2. Вход: USB-C/USB-A кабель: 5V/2A
3. Выход: 
USB-A: 5V/2A. 
USB-C/IP кабель: 5V/2A.
Общий выход: 5V/2A.
4. Индикация: LED индикатор уровня заряда.
5. Материал: ABS+PC+литий-полимерная батарея
6. Размер: 147 * 70 * 66mm; Вес: 965g</t>
  </si>
  <si>
    <t xml:space="preserve">http://gofile.me/649X4/WmyrDIAtG</t>
  </si>
  <si>
    <t xml:space="preserve">BJ78 Clever портативный аккумулятор (10000mAh)</t>
  </si>
  <si>
    <t xml:space="preserve">6941991121470</t>
  </si>
  <si>
    <t xml:space="preserve">1. Емкость: 10000mAh 37Wh Номинальная емкость: 5500mAh
2. Вход: USB-C/Micro-USB: 5V/2A
3. Выход: USB-A1/A2: 5V/2A; Общий выход: 5V/2A
4. Индикация: LED индикатор уровня заряда.
5. Материал: ABS+PC+ литий-полимерная батарея
6. Размер: 146*68*17mm; Вес: 225g</t>
  </si>
  <si>
    <t xml:space="preserve">http://gofile.me/649X4/Ceifx4n6C</t>
  </si>
  <si>
    <t xml:space="preserve">http://gofile.me/649X4/7qhv5fb30</t>
  </si>
  <si>
    <t xml:space="preserve">6941991121487</t>
  </si>
  <si>
    <r>
      <rPr>
        <sz val="11"/>
        <color rgb="FF202020"/>
        <rFont val="Arial"/>
        <family val="0"/>
        <charset val="1"/>
      </rPr>
      <t xml:space="preserve">BJ78A Clever портативный аккумулятор (20000mAh)
</t>
    </r>
    <r>
      <rPr>
        <sz val="11"/>
        <color rgb="FF202020"/>
        <rFont val="Noto Sans"/>
        <family val="2"/>
      </rPr>
      <t xml:space="preserve">「</t>
    </r>
    <r>
      <rPr>
        <sz val="11"/>
        <color rgb="FF202020"/>
        <rFont val="Arial"/>
        <family val="0"/>
        <charset val="1"/>
      </rPr>
      <t xml:space="preserve">Неопасные товары</t>
    </r>
    <r>
      <rPr>
        <sz val="11"/>
        <color rgb="FF202020"/>
        <rFont val="Noto Sans"/>
        <family val="2"/>
      </rPr>
      <t xml:space="preserve">」</t>
    </r>
  </si>
  <si>
    <t xml:space="preserve">6941991121494</t>
  </si>
  <si>
    <t xml:space="preserve">1. Емкость: 20000mAh 74Wh Номинальная емкость: 11000mAh
2. Вход: USB-C/Micro-USB: 5V/2A
3. Выход: USB-A1/A2: 5V/2A. Общий выход: 5V/2A
4. Индикация: LED индикатор уровня заряда.
5. Материал: ABS+PC+литий-полимерная батарея
6. Размер: 146 * 69 * 40mm; Вес: 600g</t>
  </si>
  <si>
    <t xml:space="preserve">http://gofile.me/649X4/PlppZ7E1s</t>
  </si>
  <si>
    <t xml:space="preserve">6941991121500</t>
  </si>
  <si>
    <t xml:space="preserve">BJ76 Smart портативный аккумулятор с 4 кабелями (10000mAh)</t>
  </si>
  <si>
    <t xml:space="preserve">6941991120046</t>
  </si>
  <si>
    <t xml:space="preserve">19.2*8.7*2.5</t>
  </si>
  <si>
    <t xml:space="preserve">1. Емкость: 10000mAh 37Wh Номинальная емкость: 5500mAh
2. Вход: Type-C/Micro/USB-A кабель: 5V/2A
3. Выход: Type-C кабель/Micro кабель/USB-A1/USB-A2/Lightning кабель: 5V/2A; общий выход: 5V/2A
4. Индикация: LED индикатор уровня заряда.
5. Материал: ABS+PC огнеупорный+литий-полимерная батарея
6. Размер: 147 * 70 * 20mm; вес: 260g</t>
  </si>
  <si>
    <t xml:space="preserve">http://gofile.me/649X4/IUa8fABMB</t>
  </si>
  <si>
    <t xml:space="preserve">http://gofile.me/649X4/i3FuILOgM</t>
  </si>
  <si>
    <r>
      <rPr>
        <sz val="11"/>
        <color rgb="FF202020"/>
        <rFont val="Arial"/>
        <family val="0"/>
        <charset val="1"/>
      </rPr>
      <t xml:space="preserve">BJ76A Smart портативный аккумулятор с 4 кабелями (20000mAh)
</t>
    </r>
    <r>
      <rPr>
        <sz val="11"/>
        <color rgb="FF202020"/>
        <rFont val="Noto Sans"/>
        <family val="2"/>
      </rPr>
      <t xml:space="preserve">「</t>
    </r>
    <r>
      <rPr>
        <sz val="11"/>
        <color rgb="FF202020"/>
        <rFont val="Arial"/>
        <family val="0"/>
        <charset val="1"/>
      </rPr>
      <t xml:space="preserve">Неопасные товары</t>
    </r>
    <r>
      <rPr>
        <sz val="11"/>
        <color rgb="FF202020"/>
        <rFont val="Noto Sans"/>
        <family val="2"/>
      </rPr>
      <t xml:space="preserve">」</t>
    </r>
  </si>
  <si>
    <t xml:space="preserve">6941991120053</t>
  </si>
  <si>
    <t xml:space="preserve">19*8.7*3.9</t>
  </si>
  <si>
    <t xml:space="preserve">1. Емкость: 20000mAh 74Wh Номинальная емкость: 11000mAh
2. Вход: Type-C/Micro/USB-A кабель: 5V/2A
3. Выход: Type-C кабель/Micro кабель/USB-A1/USB-A2/Lightning кабель: 5V/2A; общий выход: 5V/2A
4. Индикация: LED индикатор уровня заряда.
5. Материал: ABS+PC огнеупорный+литий-полимерная батарея
6. Размер: 147 * 70 * 32.5mm; вес: 445g</t>
  </si>
  <si>
    <t xml:space="preserve">http://gofile.me/649X4/amyG1ADS9</t>
  </si>
  <si>
    <t xml:space="preserve">BJ66 Magnifico 22.5W+PD20W универсальный портативный аккумулятор(40000mAh)</t>
  </si>
  <si>
    <t xml:space="preserve">6941991115141</t>
  </si>
  <si>
    <t xml:space="preserve">18.1*9.8*9.2</t>
  </si>
  <si>
    <t xml:space="preserve">31*48*19.8</t>
  </si>
  <si>
    <r>
      <rPr>
        <sz val="9"/>
        <color theme="1" tint="0.2499"/>
        <rFont val="微软雅黑"/>
        <family val="0"/>
        <charset val="134"/>
      </rPr>
      <t xml:space="preserve">1. Ёмкость: 40000mAh 148Wh. Номинальная ёмкость: 22000mAh
2. Вход: USB-C: 18W
3. Выход: 
USB-C: 20W (PD/QC/FCP/AFC). 
USB-A1/A2: 22.5W</t>
    </r>
    <r>
      <rPr>
        <sz val="9"/>
        <color theme="1" tint="0.2499"/>
        <rFont val="Noto Sans"/>
        <family val="2"/>
      </rPr>
      <t xml:space="preserve">（</t>
    </r>
    <r>
      <rPr>
        <sz val="9"/>
        <color theme="1" tint="0.2499"/>
        <rFont val="微软雅黑"/>
        <family val="0"/>
        <charset val="134"/>
      </rPr>
      <t xml:space="preserve">QC/FCP/SFC/AFC). 
Общий выход: 5V/3A
4. Дисплей: LED цифровой дисплей уровня заряда
5. Материал: ABS+PC+литий-полимерная батарея
6. Размер: 147*76.5*55mm. Вес: 830g</t>
    </r>
  </si>
  <si>
    <t xml:space="preserve">http://gofile.me/649X4/rFp4J8E1r</t>
  </si>
  <si>
    <t xml:space="preserve">BJ66A Magnifico 22.5W+PD20W универсальный портативный аккумулятор(50000mAh)</t>
  </si>
  <si>
    <t xml:space="preserve">6941991115158</t>
  </si>
  <si>
    <t xml:space="preserve">18*9.8*10.3</t>
  </si>
  <si>
    <t xml:space="preserve">31*42.8*19.8</t>
  </si>
  <si>
    <r>
      <rPr>
        <sz val="9"/>
        <color theme="1" tint="0.2499"/>
        <rFont val="微软雅黑"/>
        <family val="0"/>
        <charset val="134"/>
      </rPr>
      <t xml:space="preserve">1. Ёмкость: 50000mAh 185Wh. Номинальная ёмкость: 27500mAh
2. Вход: USB-C: 18W
3. Выход: 
USB-C: 20W (PD/QC/FCP/AFC). 
USB-A1/A2: 22.5W</t>
    </r>
    <r>
      <rPr>
        <sz val="9"/>
        <color theme="1" tint="0.2499"/>
        <rFont val="Noto Sans"/>
        <family val="2"/>
      </rPr>
      <t xml:space="preserve">（</t>
    </r>
    <r>
      <rPr>
        <sz val="9"/>
        <color theme="1" tint="0.2499"/>
        <rFont val="微软雅黑"/>
        <family val="0"/>
        <charset val="134"/>
      </rPr>
      <t xml:space="preserve">QC/FCP/SFC/AFC). 
Общий выход: 5V/3A
4. Дисплей: LED цифровой дисплей уровня заряда
5. Материал: ABS+PC+литий-полимерная батарея
6. Размер: 147*77*66mm. Вес: 1020g</t>
    </r>
  </si>
  <si>
    <t xml:space="preserve">http://gofile.me/649X4/W80McUULn</t>
  </si>
  <si>
    <t xml:space="preserve">http://gofile.me/649X4/wWD0E43u8</t>
  </si>
  <si>
    <t xml:space="preserve">BJ66B Magnifico 22.5W+PD20W универсальный портативный аккумулятор(60000mAh)</t>
  </si>
  <si>
    <t xml:space="preserve">6941991115165</t>
  </si>
  <si>
    <t xml:space="preserve">18*12.4*9.8</t>
  </si>
  <si>
    <r>
      <rPr>
        <sz val="9"/>
        <color theme="1" tint="0.2499"/>
        <rFont val="微软雅黑"/>
        <family val="0"/>
        <charset val="134"/>
      </rPr>
      <t xml:space="preserve">1. Ёмкость: 60000mAh 222Wh. Номинальная ёмкость: 33000mAh
2. Вход: USB-C: 18W
3. Выход: 
USB-C: 20W (PD/QC/FCP/AFC). 
USB-A1/A2: 22.5W</t>
    </r>
    <r>
      <rPr>
        <sz val="9"/>
        <color theme="1" tint="0.2499"/>
        <rFont val="Noto Sans"/>
        <family val="2"/>
      </rPr>
      <t xml:space="preserve">（</t>
    </r>
    <r>
      <rPr>
        <sz val="9"/>
        <color theme="1" tint="0.2499"/>
        <rFont val="微软雅黑"/>
        <family val="0"/>
        <charset val="134"/>
      </rPr>
      <t xml:space="preserve">QC/FCP/SFC/AFC). 
Общий выход: 5V/3A
4. Дисплей: LED цифровой дисплей уровня заряда
5. Материал: ABS+PC+литий-полимерная батарея
6. Размер: 147*78*68mm. Вес: 1192g</t>
    </r>
  </si>
  <si>
    <t xml:space="preserve">http://gofile.me/649X4/WZVfzcyrk</t>
  </si>
  <si>
    <t xml:space="preserve">BJ65 High 22.5W+PD20W+4 кабеля портативный аккумулятор (30000mAh)</t>
  </si>
  <si>
    <t xml:space="preserve">6941991122033</t>
  </si>
  <si>
    <t xml:space="preserve">17.8*10*7.5</t>
  </si>
  <si>
    <t xml:space="preserve">41.6*31.5*19.5</t>
  </si>
  <si>
    <r>
      <rPr>
        <sz val="9"/>
        <color theme="1" tint="0.2499"/>
        <rFont val="微软雅黑"/>
        <family val="0"/>
        <charset val="134"/>
      </rPr>
      <t xml:space="preserve">1. Емкость: 30000mAh 111Wh Номинальная емкость: 18000mAh
2. Вход: USB-C/iP</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 </t>
    </r>
    <r>
      <rPr>
        <sz val="9"/>
        <color theme="1" tint="0.2499"/>
        <rFont val="微软雅黑"/>
        <family val="0"/>
        <charset val="134"/>
      </rPr>
      <t xml:space="preserve">USB-A кабель: 5V/2A
3. Выход: USB-C</t>
    </r>
    <r>
      <rPr>
        <sz val="9"/>
        <color theme="1" tint="0.2499"/>
        <rFont val="Noto Sans"/>
        <family val="2"/>
      </rPr>
      <t xml:space="preserve">：</t>
    </r>
    <r>
      <rPr>
        <sz val="9"/>
        <color theme="1" tint="0.2499"/>
        <rFont val="微软雅黑"/>
        <family val="0"/>
        <charset val="134"/>
      </rPr>
      <t xml:space="preserve">20W</t>
    </r>
    <r>
      <rPr>
        <sz val="9"/>
        <color theme="1" tint="0.2499"/>
        <rFont val="Noto Sans"/>
        <family val="2"/>
      </rPr>
      <t xml:space="preserve">（</t>
    </r>
    <r>
      <rPr>
        <sz val="9"/>
        <color theme="1" tint="0.2499"/>
        <rFont val="微软雅黑"/>
        <family val="0"/>
        <charset val="134"/>
      </rPr>
      <t xml:space="preserve">PD/QC/FCP/AFC</t>
    </r>
    <r>
      <rPr>
        <sz val="9"/>
        <color theme="1" tint="0.2499"/>
        <rFont val="Noto Sans"/>
        <family val="2"/>
      </rPr>
      <t xml:space="preserve">）； </t>
    </r>
    <r>
      <rPr>
        <sz val="9"/>
        <color theme="1" tint="0.2499"/>
        <rFont val="微软雅黑"/>
        <family val="0"/>
        <charset val="134"/>
      </rPr>
      <t xml:space="preserve">USB-C кабель: 22.5W (QC/SCP/FCC/AFC); USB-A1</t>
    </r>
    <r>
      <rPr>
        <sz val="9"/>
        <color theme="1" tint="0.2499"/>
        <rFont val="Noto Sans"/>
        <family val="2"/>
      </rPr>
      <t xml:space="preserve">：</t>
    </r>
    <r>
      <rPr>
        <sz val="9"/>
        <color theme="1" tint="0.2499"/>
        <rFont val="微软雅黑"/>
        <family val="0"/>
        <charset val="134"/>
      </rPr>
      <t xml:space="preserve">22.5W</t>
    </r>
    <r>
      <rPr>
        <sz val="9"/>
        <color theme="1" tint="0.2499"/>
        <rFont val="Noto Sans"/>
        <family val="2"/>
      </rPr>
      <t xml:space="preserve">（</t>
    </r>
    <r>
      <rPr>
        <sz val="9"/>
        <color theme="1" tint="0.2499"/>
        <rFont val="微软雅黑"/>
        <family val="0"/>
        <charset val="134"/>
      </rPr>
      <t xml:space="preserve">QC/SCP/FCP/AFC</t>
    </r>
    <r>
      <rPr>
        <sz val="9"/>
        <color theme="1" tint="0.2499"/>
        <rFont val="Noto Sans"/>
        <family val="2"/>
      </rPr>
      <t xml:space="preserve">）； </t>
    </r>
    <r>
      <rPr>
        <sz val="9"/>
        <color theme="1" tint="0.2499"/>
        <rFont val="微软雅黑"/>
        <family val="0"/>
        <charset val="134"/>
      </rPr>
      <t xml:space="preserve">USB-A2/IP кабель/Micro кабель: 5V/2A; Общий выход: 5V/2A
4. LED индикатор уровня заряда
5. Материал: ABS+PC огнеупорный корпус+литий-полимерная батарея
6. Размер: 70 * 46 * 152mm; Вес: 670g</t>
    </r>
  </si>
  <si>
    <t xml:space="preserve">http://gofile.me/649X4/DyTriMZTj</t>
  </si>
  <si>
    <t xml:space="preserve">http://gofile.me/649X4/mL1kBAxdC</t>
  </si>
  <si>
    <t xml:space="preserve">BJ65A High 22.5W+PD20W+4 кабеля портативный аккумулятор (50000mAh)</t>
  </si>
  <si>
    <t xml:space="preserve">6941991122040</t>
  </si>
  <si>
    <t xml:space="preserve">17.8*9.9*9.9</t>
  </si>
  <si>
    <r>
      <rPr>
        <sz val="9"/>
        <color theme="1" tint="0.2499"/>
        <rFont val="微软雅黑"/>
        <family val="0"/>
        <charset val="134"/>
      </rPr>
      <t xml:space="preserve">1. Емкость: 50000mAh 185Wh Номинальная емкость: 30000mAh
2. Вход: USB-C/iP</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 </t>
    </r>
    <r>
      <rPr>
        <sz val="9"/>
        <color theme="1" tint="0.2499"/>
        <rFont val="微软雅黑"/>
        <family val="0"/>
        <charset val="134"/>
      </rPr>
      <t xml:space="preserve">USB-A кабель: 5V/2A
3. Выход: USB-C</t>
    </r>
    <r>
      <rPr>
        <sz val="9"/>
        <color theme="1" tint="0.2499"/>
        <rFont val="Noto Sans"/>
        <family val="2"/>
      </rPr>
      <t xml:space="preserve">：</t>
    </r>
    <r>
      <rPr>
        <sz val="9"/>
        <color theme="1" tint="0.2499"/>
        <rFont val="微软雅黑"/>
        <family val="0"/>
        <charset val="134"/>
      </rPr>
      <t xml:space="preserve">20W</t>
    </r>
    <r>
      <rPr>
        <sz val="9"/>
        <color theme="1" tint="0.2499"/>
        <rFont val="Noto Sans"/>
        <family val="2"/>
      </rPr>
      <t xml:space="preserve">（</t>
    </r>
    <r>
      <rPr>
        <sz val="9"/>
        <color theme="1" tint="0.2499"/>
        <rFont val="微软雅黑"/>
        <family val="0"/>
        <charset val="134"/>
      </rPr>
      <t xml:space="preserve">PD/QC/FCP/AFC</t>
    </r>
    <r>
      <rPr>
        <sz val="9"/>
        <color theme="1" tint="0.2499"/>
        <rFont val="Noto Sans"/>
        <family val="2"/>
      </rPr>
      <t xml:space="preserve">）； </t>
    </r>
    <r>
      <rPr>
        <sz val="9"/>
        <color theme="1" tint="0.2499"/>
        <rFont val="微软雅黑"/>
        <family val="0"/>
        <charset val="134"/>
      </rPr>
      <t xml:space="preserve">USB-C кабель: 22.5W (QC/SCP/FCC/AFC); USB-A1</t>
    </r>
    <r>
      <rPr>
        <sz val="9"/>
        <color theme="1" tint="0.2499"/>
        <rFont val="Noto Sans"/>
        <family val="2"/>
      </rPr>
      <t xml:space="preserve">：</t>
    </r>
    <r>
      <rPr>
        <sz val="9"/>
        <color theme="1" tint="0.2499"/>
        <rFont val="微软雅黑"/>
        <family val="0"/>
        <charset val="134"/>
      </rPr>
      <t xml:space="preserve">22.5W</t>
    </r>
    <r>
      <rPr>
        <sz val="9"/>
        <color theme="1" tint="0.2499"/>
        <rFont val="Noto Sans"/>
        <family val="2"/>
      </rPr>
      <t xml:space="preserve">（</t>
    </r>
    <r>
      <rPr>
        <sz val="9"/>
        <color theme="1" tint="0.2499"/>
        <rFont val="微软雅黑"/>
        <family val="0"/>
        <charset val="134"/>
      </rPr>
      <t xml:space="preserve">QC/SCP/FCP/AFC</t>
    </r>
    <r>
      <rPr>
        <sz val="9"/>
        <color theme="1" tint="0.2499"/>
        <rFont val="Noto Sans"/>
        <family val="2"/>
      </rPr>
      <t xml:space="preserve">）； </t>
    </r>
    <r>
      <rPr>
        <sz val="9"/>
        <color theme="1" tint="0.2499"/>
        <rFont val="微软雅黑"/>
        <family val="0"/>
        <charset val="134"/>
      </rPr>
      <t xml:space="preserve">USB-A2/IP кабель/Micro кабель: 5V/2A; Общий выход: 5V/2A
4. LED индикатор уровня заряда
5. Материал: ABS+PC огнеупорный корпус+литий-полимерная батарея
6. Размер: 70 * 70 * 152mm; Вес: 1070g</t>
    </r>
  </si>
  <si>
    <t xml:space="preserve">http://gofile.me/649X4/jygKrfvkA</t>
  </si>
  <si>
    <t xml:space="preserve">BJ65B High 22.5W+PD20W+4 кабеля портативный аккумулятор (80000mAh)</t>
  </si>
  <si>
    <t xml:space="preserve">6941991122057</t>
  </si>
  <si>
    <t xml:space="preserve">19.6*11.6*11.5</t>
  </si>
  <si>
    <r>
      <rPr>
        <sz val="9"/>
        <color theme="1" tint="0.2499"/>
        <rFont val="微软雅黑"/>
        <family val="0"/>
        <charset val="134"/>
      </rPr>
      <t xml:space="preserve">1. Емкость: 80000mAh 296Wh Номинальная емкость: 48000mAh
2. Вход: USB-C/iP</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 </t>
    </r>
    <r>
      <rPr>
        <sz val="9"/>
        <color theme="1" tint="0.2499"/>
        <rFont val="微软雅黑"/>
        <family val="0"/>
        <charset val="134"/>
      </rPr>
      <t xml:space="preserve">USB-A кабель: 5V/2A
3. Выход: USB-C</t>
    </r>
    <r>
      <rPr>
        <sz val="9"/>
        <color theme="1" tint="0.2499"/>
        <rFont val="Noto Sans"/>
        <family val="2"/>
      </rPr>
      <t xml:space="preserve">：</t>
    </r>
    <r>
      <rPr>
        <sz val="9"/>
        <color theme="1" tint="0.2499"/>
        <rFont val="微软雅黑"/>
        <family val="0"/>
        <charset val="134"/>
      </rPr>
      <t xml:space="preserve">20W</t>
    </r>
    <r>
      <rPr>
        <sz val="9"/>
        <color theme="1" tint="0.2499"/>
        <rFont val="Noto Sans"/>
        <family val="2"/>
      </rPr>
      <t xml:space="preserve">（</t>
    </r>
    <r>
      <rPr>
        <sz val="9"/>
        <color theme="1" tint="0.2499"/>
        <rFont val="微软雅黑"/>
        <family val="0"/>
        <charset val="134"/>
      </rPr>
      <t xml:space="preserve">PD/QC/FCP/AFC</t>
    </r>
    <r>
      <rPr>
        <sz val="9"/>
        <color theme="1" tint="0.2499"/>
        <rFont val="Noto Sans"/>
        <family val="2"/>
      </rPr>
      <t xml:space="preserve">）； </t>
    </r>
    <r>
      <rPr>
        <sz val="9"/>
        <color theme="1" tint="0.2499"/>
        <rFont val="微软雅黑"/>
        <family val="0"/>
        <charset val="134"/>
      </rPr>
      <t xml:space="preserve">USB-C кабель: 22.5W (QC/SCP/FCC/AFC); USB-A1</t>
    </r>
    <r>
      <rPr>
        <sz val="9"/>
        <color theme="1" tint="0.2499"/>
        <rFont val="Noto Sans"/>
        <family val="2"/>
      </rPr>
      <t xml:space="preserve">：</t>
    </r>
    <r>
      <rPr>
        <sz val="9"/>
        <color theme="1" tint="0.2499"/>
        <rFont val="微软雅黑"/>
        <family val="0"/>
        <charset val="134"/>
      </rPr>
      <t xml:space="preserve">22.5W</t>
    </r>
    <r>
      <rPr>
        <sz val="9"/>
        <color theme="1" tint="0.2499"/>
        <rFont val="Noto Sans"/>
        <family val="2"/>
      </rPr>
      <t xml:space="preserve">（</t>
    </r>
    <r>
      <rPr>
        <sz val="9"/>
        <color theme="1" tint="0.2499"/>
        <rFont val="微软雅黑"/>
        <family val="0"/>
        <charset val="134"/>
      </rPr>
      <t xml:space="preserve">QC/SCP/FCP/AFC</t>
    </r>
    <r>
      <rPr>
        <sz val="9"/>
        <color theme="1" tint="0.2499"/>
        <rFont val="Noto Sans"/>
        <family val="2"/>
      </rPr>
      <t xml:space="preserve">）； </t>
    </r>
    <r>
      <rPr>
        <sz val="9"/>
        <color theme="1" tint="0.2499"/>
        <rFont val="微软雅黑"/>
        <family val="0"/>
        <charset val="134"/>
      </rPr>
      <t xml:space="preserve">USB-A2/IP кабель/Micro кабель: 5V/2A; Общий выход: 5V/2A
4. LED индикатор уровня заряда
5. Материал: ABS+PC огнеупорный корпус+литий-полимерная батарея
6. Размер: 174 * 85 * 85mm; Вес: 1750g</t>
    </r>
  </si>
  <si>
    <t xml:space="preserve">http://gofile.me/649X4/IGVmA6o3R</t>
  </si>
  <si>
    <t xml:space="preserve">BJ57 Graceful 22.5W+PD20W универсальный портативный аккумулятор с кабелем (10000mAh)</t>
  </si>
  <si>
    <t xml:space="preserve">6941991111846</t>
  </si>
  <si>
    <t xml:space="preserve">19.8*8.7*2.2</t>
  </si>
  <si>
    <t xml:space="preserve">1, Емкость: 10000mAh 37Wh Номинальная емкость: 5500mAh
2. Вход Type-C/Micro: 18W
3. Выход: USB1/ 2:22.5W (QC/FCP/SCP/AFC);
Type-C/Type-C кабель: 20W (PD/QC/FCP/AFC);
Lightning кабель: 5V/2.4A; общий выход: 5V/2A
4. Индикатор: LED индикатор
5. Материал: ABS+PC+ литий-полимерный аккумулятор
6. Размеры: 138*68*20mm; Вес: 241g</t>
  </si>
  <si>
    <t xml:space="preserve">http://gofile.me/649X4/xqO0a2W9u</t>
  </si>
  <si>
    <t xml:space="preserve">BJ57B Graceful 22.5W+PD20W универсальный портативный аккумулятор с кабелем (30000mAh)</t>
  </si>
  <si>
    <t xml:space="preserve">6941991116469</t>
  </si>
  <si>
    <t xml:space="preserve">17.6*9.8*4.9</t>
  </si>
  <si>
    <t xml:space="preserve">1, Ёмкость: 30000mAh 111Wh, номинальная ёмкость: 16500mAh
2. Вход: Type-C/Micro-USB: 18W
3. Выход: USB-A 1/2: 22.5W (QC/FCP/SCP/AFC).
Type-C/Type-C кабель: 20W (PD/QC/FCP/AFC).
Lightning кабель: 5V/2.4A. Общий выход: 5V/2A
4. Индикация: LED индикатор уровня заряда
5. Материал: ABS+PC огнеупорный корпус+литий-полимерная батарея
6. Размер: 143*68*42.5mm. Вес: 605g</t>
  </si>
  <si>
    <t xml:space="preserve">http://gofile.me/649X4/RpgGZBonR</t>
  </si>
  <si>
    <t xml:space="preserve">BJ56 Graceful 22.5W+PD20W универсальный портативный аккумулятор(10000mAh)</t>
  </si>
  <si>
    <t xml:space="preserve">6941991111808</t>
  </si>
  <si>
    <t xml:space="preserve">19.5*8.7*2.2</t>
  </si>
  <si>
    <t xml:space="preserve">1, Емкость: 10000mAh 37Wh Номинальная емкость: 5500mAh
2. Вход: Type-C/Micro: 18W
3. выход: USB1/ 2:22.5W (QC/FCP/SCP/AFC);
Type-C: 20W (PD/QC/FCP/AFC); Общий выход: 5V/2A
4. Индикатор: LED индикатор
5. Материал: ABS+PC+ литий-полимерный аккумулятор
6. Размеры: 138*68*16mm; Вес: 226g</t>
  </si>
  <si>
    <t xml:space="preserve">http://gofile.me/649X4/VKd5G0SHb</t>
  </si>
  <si>
    <t xml:space="preserve">6941991111815</t>
  </si>
  <si>
    <r>
      <rPr>
        <sz val="11"/>
        <color rgb="FF202020"/>
        <rFont val="Arial"/>
        <family val="0"/>
        <charset val="1"/>
      </rPr>
      <t xml:space="preserve">BJ56A Graceful 22.5W+PD20W универсальный портативный аккумулятор(20000mAh)
</t>
    </r>
    <r>
      <rPr>
        <sz val="11"/>
        <color rgb="FF202020"/>
        <rFont val="Noto Sans"/>
        <family val="2"/>
      </rPr>
      <t xml:space="preserve">「</t>
    </r>
    <r>
      <rPr>
        <sz val="11"/>
        <color rgb="FF202020"/>
        <rFont val="Arial"/>
        <family val="0"/>
        <charset val="1"/>
      </rPr>
      <t xml:space="preserve">Неопасные товары</t>
    </r>
    <r>
      <rPr>
        <sz val="11"/>
        <color rgb="FF202020"/>
        <rFont val="Noto Sans"/>
        <family val="2"/>
      </rPr>
      <t xml:space="preserve">」</t>
    </r>
  </si>
  <si>
    <t xml:space="preserve">6941991111822</t>
  </si>
  <si>
    <t xml:space="preserve">19.5*8.8*3.5</t>
  </si>
  <si>
    <t xml:space="preserve">1, Емкость: 20000mAh 74Wh Номинальная емкость: 11000mAh
2. Вход: Type-C/Micro: 18W
3. Выход: USB1/ 2:22.5W (QC/FCP/SCP/AFC);
Type-C: 20W (PD/QC/FCP/AFC); Общий выход: 5V/2A
4, Индикатор: LED индикатор
5, Материал: ABS+PC+ литий-полимерный аккумулятор
6, Размеры: 139*68*28mm; Вес: 408g</t>
  </si>
  <si>
    <t xml:space="preserve">http://gofile.me/649X4/8drOwbc7t</t>
  </si>
  <si>
    <t xml:space="preserve">BJ56B Graceful 22.5W+PD20W универсальный портативный аккумулятор (30000mAh)</t>
  </si>
  <si>
    <t xml:space="preserve">6941991116445</t>
  </si>
  <si>
    <t xml:space="preserve">17.5*9.7*5</t>
  </si>
  <si>
    <t xml:space="preserve">1, Ёмкость: 30000mAh 111Wh, номинальная ёмкость: 16500mAh
2. Вход: Type-C/Micro-USB: 18W
3. Выход: 
USB-A 1/2: 22.5W (QC/FCP/SCP/AFC).
Type-C: 20W (PD/QC/FCP/AFC).
Общий выход: 5V/2A
4. Индикация: LED индикатор уровня заряда
5. Материал: ABS+PC огнеупорный корпус+литий-полимерная батарея
6. Размер: 139*68*40mm. Вес: 595g</t>
  </si>
  <si>
    <t xml:space="preserve">http://gofile.me/649X4/4Qqj8gDVX</t>
  </si>
  <si>
    <t xml:space="preserve">BJ55 Graceful портативный аккумулятор (10000mAh)</t>
  </si>
  <si>
    <t xml:space="preserve">6941991111761</t>
  </si>
  <si>
    <t xml:space="preserve">19.6*8.7*2.2</t>
  </si>
  <si>
    <t xml:space="preserve">1, Емкость: 10000mAh 37Wh Номинальная емкость: 5500mAh
2, Вход: USB-C/Micro: 5V/2A
3, Выход: USB1/ 2:5V /2A; Общий выход: 5V/2A
4. Индикатор: LED индикатор
5. Материал: ABS+PC+ литий-полимерный аккумулятор
6. Размеры: 38*68*16mm; Вес: 224g</t>
  </si>
  <si>
    <t xml:space="preserve">http://gofile.me/649X4/BsgJZUVvB</t>
  </si>
  <si>
    <t xml:space="preserve">http://gofile.me/649X4/AwOU6bMTD</t>
  </si>
  <si>
    <t xml:space="preserve">6941991111778</t>
  </si>
  <si>
    <r>
      <rPr>
        <sz val="11"/>
        <color rgb="FF202020"/>
        <rFont val="Arial"/>
        <family val="0"/>
        <charset val="1"/>
      </rPr>
      <t xml:space="preserve">BJ55A Graceful портативный аккумулятор (20000mAh)
</t>
    </r>
    <r>
      <rPr>
        <sz val="11"/>
        <color rgb="FF202020"/>
        <rFont val="Noto Sans"/>
        <family val="2"/>
      </rPr>
      <t xml:space="preserve">「</t>
    </r>
    <r>
      <rPr>
        <sz val="11"/>
        <color rgb="FF202020"/>
        <rFont val="Arial"/>
        <family val="0"/>
        <charset val="1"/>
      </rPr>
      <t xml:space="preserve">Неопасные товары</t>
    </r>
    <r>
      <rPr>
        <sz val="11"/>
        <color rgb="FF202020"/>
        <rFont val="Noto Sans"/>
        <family val="2"/>
      </rPr>
      <t xml:space="preserve">」</t>
    </r>
  </si>
  <si>
    <t xml:space="preserve">6941991111785</t>
  </si>
  <si>
    <t xml:space="preserve">19.7*8.8*3.3</t>
  </si>
  <si>
    <t xml:space="preserve">1, Емкость: 20000mAh 74Wh Номинальная емкость: 11000mAh
2. Вход: USB-C/Micro: 5V/2A
3. выход: USB1/ 2:5V /2A; Общий выход: 5V/2A
4. Индикатор: LED индикатор
5. Материал: ABS+PC+ литий-полимерный аккумулятор
6. Размеры: 139*68*28mm; Вес: 405g</t>
  </si>
  <si>
    <t xml:space="preserve">http://gofile.me/649X4/JYOb7XlPN</t>
  </si>
  <si>
    <t xml:space="preserve">Аккумуляторы — перевозка</t>
  </si>
  <si>
    <t xml:space="preserve">С сертификатом перевозки опасных грузов</t>
  </si>
  <si>
    <t xml:space="preserve">BJ94 Origium PD20W магнитный пауэрбанк (10000mAh)(CCC)(UN)</t>
  </si>
  <si>
    <r>
      <rPr>
        <b val="true"/>
        <sz val="9"/>
        <color rgb="FFED752D"/>
        <rFont val="微软雅黑"/>
        <family val="0"/>
        <charset val="134"/>
      </rPr>
      <t xml:space="preserve">MOQ: один sku 200 шт
</t>
    </r>
    <r>
      <rPr>
        <sz val="9"/>
        <color theme="1" tint="0.25"/>
        <rFont val="微软雅黑"/>
        <family val="0"/>
        <charset val="134"/>
      </rPr>
      <t xml:space="preserve">1. Емкость: 10000mAh 38.5Wh. Номинальная емкость: 5300mAh.
2. Вход: Type-C: 18W.
3. Выход: 
Type-C: 20W (PD/QC/FCP/AFC). 
Выход беспроводной зарядки: 5W/7.5W/10W/15W.
Общий выход: 5V/3A.
4. Отображение: светодиодный индикатор уровня заряда.
5. Материал: трудновоспламеняемый корпус ABS+PC + литий-полимерный элемент.
6. Размеры: 101*65*19 мм. Вес: 190 г.</t>
    </r>
  </si>
  <si>
    <r>
      <rPr>
        <sz val="11"/>
        <color rgb="FF202020"/>
        <rFont val="Arial"/>
        <family val="0"/>
        <charset val="1"/>
      </rPr>
      <t xml:space="preserve">BJ91 Alba 22.5W+PD20W 4-cable+lighting power bank(40000mAh)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</si>
  <si>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t xml:space="preserve">black</t>
  </si>
  <si>
    <r>
      <rPr>
        <b val="true"/>
        <sz val="9"/>
        <color rgb="FFED752D"/>
        <rFont val="微软雅黑"/>
        <family val="0"/>
        <charset val="134"/>
      </rPr>
      <t xml:space="preserve">MOQ: один sku 200 шт
</t>
    </r>
    <r>
      <rPr>
        <sz val="9"/>
        <color theme="1" tint="0.25"/>
        <rFont val="微软雅黑"/>
        <family val="0"/>
        <charset val="134"/>
      </rPr>
      <t xml:space="preserve">1. Емкость: 40000mAh 128Wh. Номинальная мощность: 20000mAh.
2. Вход: Тип-C1: 18W. Кабель типа C2/USB-A: 5В/2А.
3. Выход: Тип-C1: 20 Вт (PD/QC/FCP/AFC). USB-A: 22,5 Вт (QC/FCP/SCP/AFC). USB-A2/Micro кабель/Type-C кабель/iP кабель: 5V/2A. Общая мощность: 5В / 2А.
4. Дисплей: светодиодный цифровой индикатор уровня батареи.
5.  Материал: негорючий корпус ABS+PC. Аккумулятор LiFePO</t>
    </r>
    <r>
      <rPr>
        <sz val="9"/>
        <color theme="1" tint="0.25"/>
        <rFont val="Times New Roman"/>
        <family val="0"/>
        <charset val="134"/>
      </rPr>
      <t xml:space="preserve">₄</t>
    </r>
    <r>
      <rPr>
        <sz val="9"/>
        <color theme="1" tint="0.25"/>
        <rFont val="微软雅黑"/>
        <family val="0"/>
        <charset val="134"/>
      </rPr>
      <t xml:space="preserve">.
6. Размеры: 81*66*145мм. Вес: 860г.</t>
    </r>
  </si>
  <si>
    <r>
      <rPr>
        <sz val="11"/>
        <color rgb="FF202020"/>
        <rFont val="Arial"/>
        <family val="0"/>
        <charset val="1"/>
      </rPr>
      <t xml:space="preserve">BJ91A Alba 22.5W+PD20W 4-cable+lighting power bank(60000mAh)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</si>
  <si>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5"/>
        <rFont val="微软雅黑"/>
        <family val="0"/>
        <charset val="134"/>
      </rPr>
      <t xml:space="preserve">1. Емкость: 60000mAh 192Wh; Номинальная мощность: 30000mAh
2. Вход: Тип-C1: 18W; Кабель типа C2/USB-A: 5В/2А
3. Выход: Тип-C1: 20W (PD/QC/FCC/AFC);
USB-A: 22,5 Вт (QC/FCP/SCP/AFC);
USB-A2/Micro кабель/Type-C кабель/IP кабель: 5V/2A; Общая мощность: 5V / 2A
4. Дисплей: светодиодный цифровой дисплей уровня батареи
5. Материал: негорючий корпус ABS+PC. Аккумулятор LiFePO</t>
    </r>
    <r>
      <rPr>
        <sz val="9"/>
        <color theme="1" tint="0.25"/>
        <rFont val="Times New Roman"/>
        <family val="0"/>
        <charset val="134"/>
      </rPr>
      <t xml:space="preserve">₄</t>
    </r>
    <r>
      <rPr>
        <sz val="9"/>
        <color theme="1" tint="0.25"/>
        <rFont val="微软雅黑"/>
        <family val="0"/>
        <charset val="134"/>
      </rPr>
      <t xml:space="preserve">.
6. Size: 81 * 91 * 145mm; Вес: 1150г</t>
    </r>
  </si>
  <si>
    <r>
      <rPr>
        <sz val="11"/>
        <color rgb="FF202020"/>
        <rFont val="Arial"/>
        <family val="0"/>
        <charset val="1"/>
      </rPr>
      <t xml:space="preserve">BJ90 Pasar пауэрбанк (10000mAh)(CCC)</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</si>
  <si>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t xml:space="preserve">обновление</t>
  </si>
  <si>
    <t xml:space="preserve">MOQ: один sku 200 шт
1. Ёмкость: 10000 мА·ч 37 Вт·ч; Номинальная ёмкость: 5300 мА·ч
2. Вход: Micro/Type-C: 5 В/2,1 А
3. Выход: USB1/USB2: 5 В/2,1 А; Общий выход: 5 В/2,1 А
4. Индикация: светодиодный индикатор уровня заряда
5. Материал: ABS+PC+литий-полимерный аккумуляторный элемент
6. Размер: 140 × 67,5 × 16 мм; Вес: 220 г</t>
  </si>
  <si>
    <r>
      <rPr>
        <sz val="11"/>
        <color rgb="FF202020"/>
        <rFont val="Arial"/>
        <family val="0"/>
        <charset val="1"/>
      </rPr>
      <t xml:space="preserve">BJ89 Salte PD20W портативный аккумулятор с лампой и 2 кабелями (10000mAh)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</si>
  <si>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1000 шт
</t>
    </r>
    <r>
      <rPr>
        <sz val="9"/>
        <color theme="1" tint="0.2499"/>
        <rFont val="微软雅黑"/>
        <family val="0"/>
        <charset val="134"/>
      </rPr>
      <t xml:space="preserve">1. Емкость: 10000mAh 38.5Wh; Номинальная емкость: 6000mAh
2. Вход: USB-C: 18W
3. Выход: USB-C/USB-C кабель: 20W (PD/QC/FCC/AFC);
IP кабель: 5V/2.4A; Общий выход: 5V/2A
4. Индикация: LED цифровой дисплей уровня заряда
5. Материал: PC+ABS огнеупорный+литий-полимерный аккумулятор
6. Размер: 98 * 50 * 30mm; вес: 185g“</t>
    </r>
  </si>
  <si>
    <r>
      <rPr>
        <sz val="11"/>
        <color rgb="FF202020"/>
        <rFont val="Arial"/>
        <family val="0"/>
        <charset val="1"/>
      </rPr>
      <t xml:space="preserve">BJ85 Myriad портативный аккумулятор 22.5W+PD20W+лампа (100000mAh)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</si>
  <si>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100000mAh 370Wh Номинальная емкость: 55000mAh
2. Вход: USB-C/Micro/IP: 18W
3. Выход: USB-C: 20W (PD/QC/FCC/AFC); USB-A1/A3</t>
    </r>
    <r>
      <rPr>
        <sz val="9"/>
        <color theme="1" tint="0.2499"/>
        <rFont val="Noto Sans"/>
        <family val="2"/>
      </rPr>
      <t xml:space="preserve">：</t>
    </r>
    <r>
      <rPr>
        <sz val="9"/>
        <color theme="1" tint="0.2499"/>
        <rFont val="微软雅黑"/>
        <family val="0"/>
        <charset val="134"/>
      </rPr>
      <t xml:space="preserve">22.5W</t>
    </r>
    <r>
      <rPr>
        <sz val="9"/>
        <color theme="1" tint="0.2499"/>
        <rFont val="Noto Sans"/>
        <family val="2"/>
      </rPr>
      <t xml:space="preserve">（</t>
    </r>
    <r>
      <rPr>
        <sz val="9"/>
        <color theme="1" tint="0.2499"/>
        <rFont val="微软雅黑"/>
        <family val="0"/>
        <charset val="134"/>
      </rPr>
      <t xml:space="preserve">QC/FCP/SCP/AFC</t>
    </r>
    <r>
      <rPr>
        <sz val="9"/>
        <color theme="1" tint="0.2499"/>
        <rFont val="Noto Sans"/>
        <family val="2"/>
      </rPr>
      <t xml:space="preserve">）； </t>
    </r>
    <r>
      <rPr>
        <sz val="9"/>
        <color theme="1" tint="0.2499"/>
        <rFont val="微软雅黑"/>
        <family val="0"/>
        <charset val="134"/>
      </rPr>
      <t xml:space="preserve">USB-A2/A4</t>
    </r>
    <r>
      <rPr>
        <sz val="9"/>
        <color theme="1" tint="0.2499"/>
        <rFont val="Noto Sans"/>
        <family val="2"/>
      </rPr>
      <t xml:space="preserve">：</t>
    </r>
    <r>
      <rPr>
        <sz val="9"/>
        <color theme="1" tint="0.2499"/>
        <rFont val="微软雅黑"/>
        <family val="0"/>
        <charset val="134"/>
      </rPr>
      <t xml:space="preserve">5V/3A</t>
    </r>
    <r>
      <rPr>
        <sz val="9"/>
        <color theme="1" tint="0.2499"/>
        <rFont val="Noto Sans"/>
        <family val="2"/>
      </rPr>
      <t xml:space="preserve">； </t>
    </r>
    <r>
      <rPr>
        <sz val="9"/>
        <color theme="1" tint="0.2499"/>
        <rFont val="微软雅黑"/>
        <family val="0"/>
        <charset val="134"/>
      </rPr>
      <t xml:space="preserve">Общий Выход: 5V/2A
4. Дисплей: LED цифровой уровня заряда
5. Материал: ABS+PC+литий-полимерный аккумулятор
6. Размер: 151 * 132 * 66mm; Вес: 1950g</t>
    </r>
  </si>
  <si>
    <r>
      <rPr>
        <sz val="11"/>
        <color rgb="FF202020"/>
        <rFont val="Arial"/>
        <family val="0"/>
        <charset val="1"/>
      </rPr>
      <t xml:space="preserve">BJ84 Smooth портативный аккумулятор с 4 кабелями (10000mAh)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</si>
  <si>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Ёмкость: 10000mAh 37Wh Номинальная ёмкость: 5500mAh
2. Вход: USB-C/USB-A кабель: 5V/2A
3. Выход: USB-A: 5V/2A; Micro USB кабель/USB-C кабель/IP кабель: 5V/2A; Общий выход: 5V/2A
4. Индикация: LED индикатор
5. Материал: ABS+PC+литий-полимерная батарея
6. Размер: 147 * 68 * 22mm; Вес: 248g</t>
    </r>
  </si>
  <si>
    <r>
      <rPr>
        <sz val="11"/>
        <color rgb="FF202020"/>
        <rFont val="Arial"/>
        <family val="0"/>
        <charset val="1"/>
      </rPr>
      <t xml:space="preserve">BJ82A Dawn PD20W магнитный портативный аккумулятор (10000mAh)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</si>
  <si>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10000mAh 38.5Wh Номинальная емкость: 5500mAh
2. Вход: USB-C: 18W
3. Выход: USB-C: 20W (PD/QC/FCC/AFC); Беспроводная зарядка: 5W/7.5W/10W/15W (MagSafe 7.5W); общий выход: 5V/2A
4. Дисплей: LED индикатор
5. Материал: ABS+PC+литий-полимерная батарея
6. Размер: 100 * 69 * 18mm; Вес: 200g</t>
    </r>
  </si>
  <si>
    <r>
      <rPr>
        <sz val="11"/>
        <color rgb="FF202020"/>
        <rFont val="Arial"/>
        <family val="0"/>
        <charset val="1"/>
      </rPr>
      <t xml:space="preserve">BJ80 Clever 22.5W+PD20W универсальный портативный аккумулятор (10000mAh)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</si>
  <si>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10000mAh 37Wh Номинальная емкость: 5500mAh
2. Вход: USB-C/Micro-USB: 18W
3. Выход: 
USB-A1/A2: 22.5W (QC/FCP/SCP/AFC).
USB-C: 20W (PD/QC/FCP/AFC).
Общий выход: 5V/2A
4. Индикация: LED индикатор уровня заряда.
5. Материал: ABS+PC+литий-полимерная батарея
6. Размер: 146 * 68 * 17mm; Вес: 230g</t>
    </r>
  </si>
  <si>
    <r>
      <rPr>
        <sz val="11"/>
        <color rgb="FF202020"/>
        <rFont val="Arial"/>
        <family val="0"/>
        <charset val="1"/>
      </rPr>
      <t xml:space="preserve">BJ80B Clever 22.5W+PD20W универсальный портативный аккумулятор (30000mAh)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</si>
  <si>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30000mAh 111Wh Номинальная емкость: 16500mAh
2. Вход: USB-C/Micro USB: 18W
3. Выход: 
USB-A1/A2:22.5W (QC/FCP/SCP/AFC). 
USB-C: 20W (PD/QC/FCP/AFC).
Общий выход: 5V/2A.
4. Индикация: LED индикатор уровня заряда.
5. Материал: ABS+PC+polymer electronics
6. Размер: 147 * 70 * 66mm Вес: 965г</t>
    </r>
  </si>
  <si>
    <r>
      <rPr>
        <sz val="11"/>
        <color rgb="FF202020"/>
        <rFont val="Arial"/>
        <family val="0"/>
        <charset val="1"/>
      </rPr>
      <t xml:space="preserve">BJ80C Clever 22.5W+PD20W универсальный портативный аккумулятор (50000mAh)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</si>
  <si>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50000mAh 185Wh Номинальная емкость: 27500mAh
2. Вход: USB-C/Micro-USB: 18W
3. Выход: 
USB-A1/A2: 22.5W (QC/FCP/SCP/AFC).
USB-C: 20W (PD/QC/FCP/AFC).
Общий выход: 5V/2A
4. Индикация: LED индикатор уровня заряда.
5. Материал: ABS+PC+литий-полимерная батарея
6. Размер: 147 * 70 * 66mm; Вес: 965g</t>
    </r>
  </si>
  <si>
    <r>
      <rPr>
        <sz val="11"/>
        <color rgb="FF202020"/>
        <rFont val="Arial"/>
        <family val="0"/>
        <charset val="1"/>
      </rPr>
      <t xml:space="preserve">BJ79 Clever портативный аккумулятор с 3 кабелями (10000mAh)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</si>
  <si>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10000mAh 37Wh Номинальная емкость: 5500mAh
2. Вход: USB-C/USB-A кабель: 5V/2A
3. Выход: 
USB-A: 5V/2A. 
USB-C/IP кабель: 5V/2A.
Общий выход: 5V/2A
4. Индикация: LED индикатор уровня заряда.
5. Материал: ABS+PC+литий-полимерная батарея
6. Размер: 146 * 68 * 17mm; Вес: 230g</t>
    </r>
  </si>
  <si>
    <r>
      <rPr>
        <sz val="11"/>
        <color rgb="FF202020"/>
        <rFont val="Arial"/>
        <family val="0"/>
        <charset val="1"/>
      </rPr>
      <t xml:space="preserve">BJ79B Clever портативный аккумулятор с 3 кабелями (30000mAh)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</si>
  <si>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30000mAh 111Wh Номинальная емкость: 16500mAh
2. Вход: USB-C/USB-A кабель: 5V/2A
3. Выход: 
USB-A: 5V/2A. 
USB-C/IP кабель: 5V/2A.
Общий выход: 5V/2A.
4. Индикация: LED индикатор уровня заряда.
5. Материал: ABS+PC+литий-полимерная батарея
6. Размер: 146 * 69 * 40mm; Вес: 605g</t>
    </r>
  </si>
  <si>
    <r>
      <rPr>
        <sz val="11"/>
        <color rgb="FF202020"/>
        <rFont val="Arial"/>
        <family val="0"/>
        <charset val="1"/>
      </rPr>
      <t xml:space="preserve">BJ79C Clever портативный аккумулятор с 3 кабелями (50000mAh)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</si>
  <si>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50000mAh 185Wh Номинальная емкость: 27500mAh
2. Вход: USB-C/USB-A кабель: 5V/2A
3. Выход: 
USB-A: 5V/2A. 
USB-C/IP кабель: 5V/2A.
Общий выход: 5V/2A.
4. Индикация: LED индикатор уровня заряда.
5. Материал: ABS+PC+литий-полимерная батарея
6. Размер: 147 * 70 * 66mm; Вес: 965g</t>
    </r>
  </si>
  <si>
    <r>
      <rPr>
        <sz val="11"/>
        <color rgb="FF202020"/>
        <rFont val="Arial"/>
        <family val="0"/>
        <charset val="1"/>
      </rPr>
      <t xml:space="preserve">BJ78 Clever портативный аккумулятор (10000mAh)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</si>
  <si>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10000mAh 37Wh Номинальная емкость: 5500mAh
2. Вход: USB-C/Micro-USB: 5V/2A
3. Выход: USB-A1/A2: 5V/2A; Общий выход: 5V/2A
4. Индикация: LED индикатор уровня заряда.
5. Материал: ABS+PC+ литий-полимерная батарея
6. Размер: 146*68*17mm; Вес: 225g</t>
    </r>
  </si>
  <si>
    <r>
      <rPr>
        <sz val="11"/>
        <color rgb="FF202020"/>
        <rFont val="Arial"/>
        <family val="0"/>
        <charset val="1"/>
      </rPr>
      <t xml:space="preserve">BJ76 Smart портативный аккумулятор с 4 кабелями (10000mAh)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</si>
  <si>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theme="5"/>
        <rFont val="微软雅黑"/>
        <family val="0"/>
        <charset val="134"/>
      </rPr>
      <t xml:space="preserve">MOQ: один sku 200 шт
</t>
    </r>
    <r>
      <rPr>
        <sz val="9"/>
        <color theme="1" tint="0.2499"/>
        <rFont val="微软雅黑"/>
        <family val="0"/>
        <charset val="134"/>
      </rPr>
      <t xml:space="preserve">1. Емкость: 10000mAh 37Wh Номинальная емкость: 5500mAh
2. Вход: Type-C/Micro/USB-A кабель: 5V/2A
3. Выход: Type-C кабель/Micro кабель/USB-A1/USB-A2/Lightning кабель: 5V/2A; общий выход: 5V/2A
4. Индикация: LED индикатор уровня заряда.
5. Материал: ABS+PC огнеупорный+литий-полимерная батарея
6. Размер: 147 * 70 * 20mm; вес: 260g</t>
    </r>
  </si>
  <si>
    <r>
      <rPr>
        <sz val="11"/>
        <color rgb="FF202020"/>
        <rFont val="Arial"/>
        <family val="0"/>
        <charset val="1"/>
      </rPr>
      <t xml:space="preserve">BJ66 Magnifico 22.5W+PD20W универсальный портативный аккумулятор(40000mAh)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</si>
  <si>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theme="5"/>
        <rFont val="微软雅黑"/>
        <family val="0"/>
        <charset val="134"/>
      </rPr>
      <t xml:space="preserve">MOQ: один sku 200 шт
</t>
    </r>
    <r>
      <rPr>
        <sz val="9"/>
        <color theme="1" tint="0.2499"/>
        <rFont val="微软雅黑"/>
        <family val="0"/>
        <charset val="134"/>
      </rPr>
      <t xml:space="preserve">1. Ёмкость: 40000mAh 148Wh. Номинальная ёмкость: 22000mAh
2. Вход: USB-C: 18W
3. Выход: 
USB-C: 20W (PD/QC/FCP/AFC). 
USB-A1/A2: 22.5W</t>
    </r>
    <r>
      <rPr>
        <sz val="9"/>
        <color theme="1" tint="0.2499"/>
        <rFont val="Noto Sans"/>
        <family val="2"/>
      </rPr>
      <t xml:space="preserve">（</t>
    </r>
    <r>
      <rPr>
        <sz val="9"/>
        <color theme="1" tint="0.2499"/>
        <rFont val="微软雅黑"/>
        <family val="0"/>
        <charset val="134"/>
      </rPr>
      <t xml:space="preserve">QC/FCP/SFC/AFC). 
Общий выход: 5V/3A
4. Дисплей: LED цифровой дисплей уровня заряда
5. Материал: ABS+PC+литий-полимерная батарея
6. Размер: 147*76.5*55mm. Вес: 830g</t>
    </r>
  </si>
  <si>
    <r>
      <rPr>
        <sz val="11"/>
        <color rgb="FF202020"/>
        <rFont val="Arial"/>
        <family val="0"/>
        <charset val="1"/>
      </rPr>
      <t xml:space="preserve">BJ66A Magnifico 22.5W+PD20W универсальный портативный аккумулятор(50000mAh)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</si>
  <si>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theme="5"/>
        <rFont val="微软雅黑"/>
        <family val="0"/>
        <charset val="134"/>
      </rPr>
      <t xml:space="preserve">MOQ: один sku 200 шт
</t>
    </r>
    <r>
      <rPr>
        <sz val="9"/>
        <color theme="1" tint="0.2499"/>
        <rFont val="微软雅黑"/>
        <family val="0"/>
        <charset val="134"/>
      </rPr>
      <t xml:space="preserve">1. Ёмкость: 50000mAh 185Wh. Номинальная ёмкость: 27500mAh
2. Вход: USB-C: 18W
3. Выход: 
USB-C: 20W (PD/QC/FCP/AFC). 
USB-A1/A2: 22.5W</t>
    </r>
    <r>
      <rPr>
        <sz val="9"/>
        <color theme="1" tint="0.2499"/>
        <rFont val="Noto Sans"/>
        <family val="2"/>
      </rPr>
      <t xml:space="preserve">（</t>
    </r>
    <r>
      <rPr>
        <sz val="9"/>
        <color theme="1" tint="0.2499"/>
        <rFont val="微软雅黑"/>
        <family val="0"/>
        <charset val="134"/>
      </rPr>
      <t xml:space="preserve">QC/FCP/SFC/AFC). 
Общий выход: 5V/3A
4. Дисплей: LED цифровой дисплей уровня заряда
5. Материал: ABS+PC+литий-полимерная батарея
6. Размер: 147*77*66mm. Вес: 1020g</t>
    </r>
  </si>
  <si>
    <r>
      <rPr>
        <sz val="11"/>
        <color rgb="FF202020"/>
        <rFont val="Arial"/>
        <family val="0"/>
        <charset val="1"/>
      </rPr>
      <t xml:space="preserve">BJ66B Magnifico 22.5W+PD20W универсальный портативный аккумулятор(60000mAh)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</si>
  <si>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theme="5"/>
        <rFont val="微软雅黑"/>
        <family val="0"/>
        <charset val="134"/>
      </rPr>
      <t xml:space="preserve">MOQ: один sku 200 шт
</t>
    </r>
    <r>
      <rPr>
        <sz val="9"/>
        <color theme="1" tint="0.2499"/>
        <rFont val="微软雅黑"/>
        <family val="0"/>
        <charset val="134"/>
      </rPr>
      <t xml:space="preserve">1. Ёмкость: 60000mAh 222Wh. Номинальная ёмкость: 33000mAh
2. Вход: USB-C: 18W
3. Выход: 
USB-C: 20W (PD/QC/FCP/AFC). 
USB-A1/A2: 22.5W</t>
    </r>
    <r>
      <rPr>
        <sz val="9"/>
        <color theme="1" tint="0.2499"/>
        <rFont val="Noto Sans"/>
        <family val="2"/>
      </rPr>
      <t xml:space="preserve">（</t>
    </r>
    <r>
      <rPr>
        <sz val="9"/>
        <color theme="1" tint="0.2499"/>
        <rFont val="微软雅黑"/>
        <family val="0"/>
        <charset val="134"/>
      </rPr>
      <t xml:space="preserve">QC/FCP/SFC/AFC). 
Общий выход: 5V/3A
4. Дисплей: LED цифровой дисплей уровня заряда
5. Материал: ABS+PC+литий-полимерная батарея
6. Размер: 147*78*68mm. Вес: 1192g</t>
    </r>
  </si>
  <si>
    <r>
      <rPr>
        <sz val="11"/>
        <color rgb="FF202020"/>
        <rFont val="Arial"/>
        <family val="0"/>
        <charset val="1"/>
      </rPr>
      <t xml:space="preserve">BJ65 High 22.5W+PD20W+4 кабеля портативный аккумулятор (30000mAh)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</si>
  <si>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30000mAh 111Wh Номинальная емкость: 18000mAh
2. Вход: USB-C/iP</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 </t>
    </r>
    <r>
      <rPr>
        <sz val="9"/>
        <color theme="1" tint="0.2499"/>
        <rFont val="微软雅黑"/>
        <family val="0"/>
        <charset val="134"/>
      </rPr>
      <t xml:space="preserve">USB-A кабель: 5V/2A
3. Выход: USB-C</t>
    </r>
    <r>
      <rPr>
        <sz val="9"/>
        <color theme="1" tint="0.2499"/>
        <rFont val="Noto Sans"/>
        <family val="2"/>
      </rPr>
      <t xml:space="preserve">：</t>
    </r>
    <r>
      <rPr>
        <sz val="9"/>
        <color theme="1" tint="0.2499"/>
        <rFont val="微软雅黑"/>
        <family val="0"/>
        <charset val="134"/>
      </rPr>
      <t xml:space="preserve">20W</t>
    </r>
    <r>
      <rPr>
        <sz val="9"/>
        <color theme="1" tint="0.2499"/>
        <rFont val="Noto Sans"/>
        <family val="2"/>
      </rPr>
      <t xml:space="preserve">（</t>
    </r>
    <r>
      <rPr>
        <sz val="9"/>
        <color theme="1" tint="0.2499"/>
        <rFont val="微软雅黑"/>
        <family val="0"/>
        <charset val="134"/>
      </rPr>
      <t xml:space="preserve">PD/QC/FCP/AFC</t>
    </r>
    <r>
      <rPr>
        <sz val="9"/>
        <color theme="1" tint="0.2499"/>
        <rFont val="Noto Sans"/>
        <family val="2"/>
      </rPr>
      <t xml:space="preserve">）； </t>
    </r>
    <r>
      <rPr>
        <sz val="9"/>
        <color theme="1" tint="0.2499"/>
        <rFont val="微软雅黑"/>
        <family val="0"/>
        <charset val="134"/>
      </rPr>
      <t xml:space="preserve">USB-C кабель: 22.5W (QC/SCP/FCC/AFC); USB-A1</t>
    </r>
    <r>
      <rPr>
        <sz val="9"/>
        <color theme="1" tint="0.2499"/>
        <rFont val="Noto Sans"/>
        <family val="2"/>
      </rPr>
      <t xml:space="preserve">：</t>
    </r>
    <r>
      <rPr>
        <sz val="9"/>
        <color theme="1" tint="0.2499"/>
        <rFont val="微软雅黑"/>
        <family val="0"/>
        <charset val="134"/>
      </rPr>
      <t xml:space="preserve">22.5W</t>
    </r>
    <r>
      <rPr>
        <sz val="9"/>
        <color theme="1" tint="0.2499"/>
        <rFont val="Noto Sans"/>
        <family val="2"/>
      </rPr>
      <t xml:space="preserve">（</t>
    </r>
    <r>
      <rPr>
        <sz val="9"/>
        <color theme="1" tint="0.2499"/>
        <rFont val="微软雅黑"/>
        <family val="0"/>
        <charset val="134"/>
      </rPr>
      <t xml:space="preserve">QC/SCP/FCP/AFC</t>
    </r>
    <r>
      <rPr>
        <sz val="9"/>
        <color theme="1" tint="0.2499"/>
        <rFont val="Noto Sans"/>
        <family val="2"/>
      </rPr>
      <t xml:space="preserve">）； </t>
    </r>
    <r>
      <rPr>
        <sz val="9"/>
        <color theme="1" tint="0.2499"/>
        <rFont val="微软雅黑"/>
        <family val="0"/>
        <charset val="134"/>
      </rPr>
      <t xml:space="preserve">USB-A2/IP кабель/Micro кабель: 5V/2A; Общий выход: 5V/2A
4. LED индикатор уровня заряда
5. Материал: ABS+PC огнеупорный корпус+литий-полимерная батарея
6. Размер: 70 * 46 * 152mm; Вес: 670g</t>
    </r>
  </si>
  <si>
    <r>
      <rPr>
        <sz val="11"/>
        <color rgb="FF202020"/>
        <rFont val="Arial"/>
        <family val="0"/>
        <charset val="1"/>
      </rPr>
      <t xml:space="preserve">BJ65A High 22.5W+PD20W+4 кабеля портативный аккумулятор (50000mAh)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</si>
  <si>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50000mAh 185Wh Номинальная емкость: 30000mAh
2. Вход: USB-C/iP</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 </t>
    </r>
    <r>
      <rPr>
        <sz val="9"/>
        <color theme="1" tint="0.2499"/>
        <rFont val="微软雅黑"/>
        <family val="0"/>
        <charset val="134"/>
      </rPr>
      <t xml:space="preserve">USB-A кабель: 5V/2A
3. Выход: USB-C</t>
    </r>
    <r>
      <rPr>
        <sz val="9"/>
        <color theme="1" tint="0.2499"/>
        <rFont val="Noto Sans"/>
        <family val="2"/>
      </rPr>
      <t xml:space="preserve">：</t>
    </r>
    <r>
      <rPr>
        <sz val="9"/>
        <color theme="1" tint="0.2499"/>
        <rFont val="微软雅黑"/>
        <family val="0"/>
        <charset val="134"/>
      </rPr>
      <t xml:space="preserve">20W</t>
    </r>
    <r>
      <rPr>
        <sz val="9"/>
        <color theme="1" tint="0.2499"/>
        <rFont val="Noto Sans"/>
        <family val="2"/>
      </rPr>
      <t xml:space="preserve">（</t>
    </r>
    <r>
      <rPr>
        <sz val="9"/>
        <color theme="1" tint="0.2499"/>
        <rFont val="微软雅黑"/>
        <family val="0"/>
        <charset val="134"/>
      </rPr>
      <t xml:space="preserve">PD/QC/FCP/AFC</t>
    </r>
    <r>
      <rPr>
        <sz val="9"/>
        <color theme="1" tint="0.2499"/>
        <rFont val="Noto Sans"/>
        <family val="2"/>
      </rPr>
      <t xml:space="preserve">）； </t>
    </r>
    <r>
      <rPr>
        <sz val="9"/>
        <color theme="1" tint="0.2499"/>
        <rFont val="微软雅黑"/>
        <family val="0"/>
        <charset val="134"/>
      </rPr>
      <t xml:space="preserve">USB-C кабель: 22.5W (QC/SCP/FCC/AFC); USB-A1</t>
    </r>
    <r>
      <rPr>
        <sz val="9"/>
        <color theme="1" tint="0.2499"/>
        <rFont val="Noto Sans"/>
        <family val="2"/>
      </rPr>
      <t xml:space="preserve">：</t>
    </r>
    <r>
      <rPr>
        <sz val="9"/>
        <color theme="1" tint="0.2499"/>
        <rFont val="微软雅黑"/>
        <family val="0"/>
        <charset val="134"/>
      </rPr>
      <t xml:space="preserve">22.5W</t>
    </r>
    <r>
      <rPr>
        <sz val="9"/>
        <color theme="1" tint="0.2499"/>
        <rFont val="Noto Sans"/>
        <family val="2"/>
      </rPr>
      <t xml:space="preserve">（</t>
    </r>
    <r>
      <rPr>
        <sz val="9"/>
        <color theme="1" tint="0.2499"/>
        <rFont val="微软雅黑"/>
        <family val="0"/>
        <charset val="134"/>
      </rPr>
      <t xml:space="preserve">QC/SCP/FCP/AFC</t>
    </r>
    <r>
      <rPr>
        <sz val="9"/>
        <color theme="1" tint="0.2499"/>
        <rFont val="Noto Sans"/>
        <family val="2"/>
      </rPr>
      <t xml:space="preserve">）； </t>
    </r>
    <r>
      <rPr>
        <sz val="9"/>
        <color theme="1" tint="0.2499"/>
        <rFont val="微软雅黑"/>
        <family val="0"/>
        <charset val="134"/>
      </rPr>
      <t xml:space="preserve">USB-A2/IP кабель/Micro кабель: 5V/2A; Общий выход: 5V/2A
4. LED индикатор уровня заряда
5. Материал: ABS+PC огнеупорный корпус+литий-полимерная батарея
6. Размер: 70 * 70 * 152mm; Вес: 1070g</t>
    </r>
  </si>
  <si>
    <r>
      <rPr>
        <sz val="11"/>
        <color rgb="FF202020"/>
        <rFont val="Arial"/>
        <family val="0"/>
        <charset val="1"/>
      </rPr>
      <t xml:space="preserve">BJ65B High 22.5W+PD20W+4 кабеля портативный аккумулятор (80000mAh)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</si>
  <si>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80000mAh 296Wh Номинальная емкость: 48000mAh
2. Вход: USB-C/iP</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 </t>
    </r>
    <r>
      <rPr>
        <sz val="9"/>
        <color theme="1" tint="0.2499"/>
        <rFont val="微软雅黑"/>
        <family val="0"/>
        <charset val="134"/>
      </rPr>
      <t xml:space="preserve">USB-A кабель: 5V/2A
3. Выход: USB-C</t>
    </r>
    <r>
      <rPr>
        <sz val="9"/>
        <color theme="1" tint="0.2499"/>
        <rFont val="Noto Sans"/>
        <family val="2"/>
      </rPr>
      <t xml:space="preserve">：</t>
    </r>
    <r>
      <rPr>
        <sz val="9"/>
        <color theme="1" tint="0.2499"/>
        <rFont val="微软雅黑"/>
        <family val="0"/>
        <charset val="134"/>
      </rPr>
      <t xml:space="preserve">20W</t>
    </r>
    <r>
      <rPr>
        <sz val="9"/>
        <color theme="1" tint="0.2499"/>
        <rFont val="Noto Sans"/>
        <family val="2"/>
      </rPr>
      <t xml:space="preserve">（</t>
    </r>
    <r>
      <rPr>
        <sz val="9"/>
        <color theme="1" tint="0.2499"/>
        <rFont val="微软雅黑"/>
        <family val="0"/>
        <charset val="134"/>
      </rPr>
      <t xml:space="preserve">PD/QC/FCP/AFC</t>
    </r>
    <r>
      <rPr>
        <sz val="9"/>
        <color theme="1" tint="0.2499"/>
        <rFont val="Noto Sans"/>
        <family val="2"/>
      </rPr>
      <t xml:space="preserve">）； </t>
    </r>
    <r>
      <rPr>
        <sz val="9"/>
        <color theme="1" tint="0.2499"/>
        <rFont val="微软雅黑"/>
        <family val="0"/>
        <charset val="134"/>
      </rPr>
      <t xml:space="preserve">USB-C кабель: 22.5W (QC/SCP/FCC/AFC); USB-A1</t>
    </r>
    <r>
      <rPr>
        <sz val="9"/>
        <color theme="1" tint="0.2499"/>
        <rFont val="Noto Sans"/>
        <family val="2"/>
      </rPr>
      <t xml:space="preserve">：</t>
    </r>
    <r>
      <rPr>
        <sz val="9"/>
        <color theme="1" tint="0.2499"/>
        <rFont val="微软雅黑"/>
        <family val="0"/>
        <charset val="134"/>
      </rPr>
      <t xml:space="preserve">22.5W</t>
    </r>
    <r>
      <rPr>
        <sz val="9"/>
        <color theme="1" tint="0.2499"/>
        <rFont val="Noto Sans"/>
        <family val="2"/>
      </rPr>
      <t xml:space="preserve">（</t>
    </r>
    <r>
      <rPr>
        <sz val="9"/>
        <color theme="1" tint="0.2499"/>
        <rFont val="微软雅黑"/>
        <family val="0"/>
        <charset val="134"/>
      </rPr>
      <t xml:space="preserve">QC/SCP/FCP/AFC</t>
    </r>
    <r>
      <rPr>
        <sz val="9"/>
        <color theme="1" tint="0.2499"/>
        <rFont val="Noto Sans"/>
        <family val="2"/>
      </rPr>
      <t xml:space="preserve">）； </t>
    </r>
    <r>
      <rPr>
        <sz val="9"/>
        <color theme="1" tint="0.2499"/>
        <rFont val="微软雅黑"/>
        <family val="0"/>
        <charset val="134"/>
      </rPr>
      <t xml:space="preserve">USB-A2/IP кабель/Micro кабель: 5V/2A; Общий выход: 5V/2A
4. LED индикатор уровня заряда
5. Материал: ABS+PC огнеупорный корпус+литий-полимерная батарея
6. Размер: 174 * 85 * 85mm; Вес: 1750g</t>
    </r>
  </si>
  <si>
    <r>
      <rPr>
        <sz val="11"/>
        <color rgb="FF202020"/>
        <rFont val="Arial"/>
        <family val="0"/>
        <charset val="1"/>
      </rPr>
      <t xml:space="preserve">BJ57 Graceful 22.5W+PD20W универсальный портативный аккумулятор с кабелем (10000mAh)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</si>
  <si>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10000mAh 37Wh Номинальная емкость: 5500mAh
2. Вход Type-C/Micro: 18W
3. Выход: USB1/ 2:22.5W (QC/FCP/SCP/AFC);
Type-C/Type-C кабель: 20W (PD/QC/FCP/AFC);
Lightning кабель: 5V/2.4A; общий выход: 5V/2A
4. Индикатор: LED индикатор
5. Материал: ABS+PC+ литий-полимерный аккумулятор
6. Размеры: 138*68*20mm; Вес: 241g</t>
    </r>
  </si>
  <si>
    <r>
      <rPr>
        <sz val="11"/>
        <color rgb="FF202020"/>
        <rFont val="Arial"/>
        <family val="0"/>
        <charset val="1"/>
      </rPr>
      <t xml:space="preserve">BJ57B Graceful 22.5W+PD20W универсальный портативный аккумулятор с кабелем (30000mAh)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</si>
  <si>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theme="5"/>
        <rFont val="微软雅黑"/>
        <family val="0"/>
        <charset val="134"/>
      </rPr>
      <t xml:space="preserve">MOQ: один sku 200 шт
</t>
    </r>
    <r>
      <rPr>
        <sz val="9"/>
        <color theme="1" tint="0.2499"/>
        <rFont val="微软雅黑"/>
        <family val="0"/>
        <charset val="134"/>
      </rPr>
      <t xml:space="preserve">1, Ёмкость: 30000mAh 111Wh, номинальная ёмкость: 16500mAh
2. Вход: Type-C/Micro-USB: 18W
3. Выход: USB-A 1/2: 22.5W (QC/FCP/SCP/AFC).
Type-C/Type-C кабель: 20W (PD/QC/FCP/AFC).
Lightning кабель: 5V/2.4A. Общий выход: 5V/2A
4. Индикация: LED индикатор уровня заряда
5. Материал: ABS+PC огнеупорный корпус+литий-полимерная батарея
6. Размер: 143*68*42.5mm. Вес: 605g</t>
    </r>
  </si>
  <si>
    <r>
      <rPr>
        <sz val="11"/>
        <color rgb="FF202020"/>
        <rFont val="Arial"/>
        <family val="0"/>
        <charset val="1"/>
      </rPr>
      <t xml:space="preserve">BJ56 Graceful 22.5W+PD20W универсальный портативный аккумулятор(10000mAh)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</si>
  <si>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10000mAh 37Wh Номинальная емкость: 5500mAh
2. Вход: Type-C/Micro: 18W
3. выход: USB1/ 2:22.5W (QC/FCP/SCP/AFC);
Type-C: 20W (PD/QC/FCP/AFC); Общий выход: 5V/2A
4. Индикатор: LED индикатор
5. Материал: ABS+PC+ литий-полимерный аккумулятор
6. Размеры: 138*68*16mm; Вес: 226g</t>
    </r>
  </si>
  <si>
    <r>
      <rPr>
        <sz val="11"/>
        <color rgb="FF202020"/>
        <rFont val="Arial"/>
        <family val="0"/>
        <charset val="1"/>
      </rPr>
      <t xml:space="preserve">BJ56B Graceful 22.5W+PD20W универсальный портативный аккумулятор (30000mAh)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</si>
  <si>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theme="5"/>
        <rFont val="微软雅黑"/>
        <family val="0"/>
        <charset val="134"/>
      </rPr>
      <t xml:space="preserve">MOQ: один sku 200 шт
</t>
    </r>
    <r>
      <rPr>
        <sz val="9"/>
        <color theme="1" tint="0.2499"/>
        <rFont val="微软雅黑"/>
        <family val="0"/>
        <charset val="134"/>
      </rPr>
      <t xml:space="preserve">1, Ёмкость: 30000mAh 111Wh, номинальная ёмкость: 16500mAh
2. Вход: Type-C/Micro-USB: 18W
3. Выход: 
USB-A 1/2: 22.5W (QC/FCP/SCP/AFC).
Type-C: 20W (PD/QC/FCP/AFC).
Общий выход: 5V/2A
4. Индикация: LED индикатор уровня заряда
5. Материал: ABS+PC огнеупорный корпус+литий-полимерная батарея
6. Размер: 139*68*40mm. Вес: 595g</t>
    </r>
  </si>
  <si>
    <r>
      <rPr>
        <sz val="11"/>
        <color rgb="FF202020"/>
        <rFont val="Arial"/>
        <family val="0"/>
        <charset val="1"/>
      </rPr>
      <t xml:space="preserve">BJ55 Graceful портативный аккумулятор (10000mAh)</t>
    </r>
    <r>
      <rPr>
        <sz val="11"/>
        <color rgb="FF202020"/>
        <rFont val="Noto Sans"/>
        <family val="2"/>
      </rPr>
      <t xml:space="preserve">（</t>
    </r>
    <r>
      <rPr>
        <sz val="11"/>
        <color rgb="FF202020"/>
        <rFont val="Arial"/>
        <family val="0"/>
        <charset val="1"/>
      </rPr>
      <t xml:space="preserve">UN</t>
    </r>
    <r>
      <rPr>
        <sz val="11"/>
        <color rgb="FF202020"/>
        <rFont val="Noto Sans"/>
        <family val="2"/>
      </rPr>
      <t xml:space="preserve">）</t>
    </r>
  </si>
  <si>
    <r>
      <rPr>
        <b val="true"/>
        <sz val="9"/>
        <color rgb="FFED752D"/>
        <rFont val="微软雅黑"/>
        <family val="0"/>
        <charset val="134"/>
      </rPr>
      <t xml:space="preserve">MOQ: один sku 200 шт
</t>
    </r>
    <r>
      <rPr>
        <sz val="9"/>
        <color theme="1" tint="0.2499"/>
        <rFont val="微软雅黑"/>
        <family val="0"/>
        <charset val="134"/>
      </rPr>
      <t xml:space="preserve">1, Емкость: 10000mAh 37Wh Номинальная емкость: 5500mAh
2, Вход: USB-C/Micro: 5V/2A
3, Выход: USB1/ 2:5V /2A; Общий выход: 5V/2A
4. Индикатор: LED индикатор
5. Материал: ABS+PC+ литий-полимерный аккумулятор
6. Размеры: 38*68*16mm; Вес: 224g</t>
    </r>
  </si>
  <si>
    <t xml:space="preserve">Зарядные устройства EU</t>
  </si>
  <si>
    <t xml:space="preserve">BN35 Mini PD30W+QC3.0 зарядное устройство(EU)</t>
  </si>
  <si>
    <t xml:space="preserve">6941991128363</t>
  </si>
  <si>
    <t xml:space="preserve">18.3*9.1*3.4</t>
  </si>
  <si>
    <r>
      <rPr>
        <sz val="9"/>
        <color theme="1" tint="0.25"/>
        <rFont val="微软雅黑"/>
        <family val="0"/>
        <charset val="134"/>
      </rPr>
      <t xml:space="preserve">1. Материал: PC огнеупорный корпус
2. Выход: USB-C: 30W (PD/QC/FCC/AFC); USB-A</t>
    </r>
    <r>
      <rPr>
        <sz val="9"/>
        <color theme="1" tint="0.25"/>
        <rFont val="Noto Sans"/>
        <family val="2"/>
      </rPr>
      <t xml:space="preserve">：</t>
    </r>
    <r>
      <rPr>
        <sz val="9"/>
        <color theme="1" tint="0.25"/>
        <rFont val="微软雅黑"/>
        <family val="0"/>
        <charset val="134"/>
      </rPr>
      <t xml:space="preserve">18W</t>
    </r>
    <r>
      <rPr>
        <sz val="9"/>
        <color theme="1" tint="0.25"/>
        <rFont val="Noto Sans"/>
        <family val="2"/>
      </rPr>
      <t xml:space="preserve">（</t>
    </r>
    <r>
      <rPr>
        <sz val="9"/>
        <color theme="1" tint="0.25"/>
        <rFont val="微软雅黑"/>
        <family val="0"/>
        <charset val="134"/>
      </rPr>
      <t xml:space="preserve">QC/FCP/AFC</t>
    </r>
    <r>
      <rPr>
        <sz val="9"/>
        <color theme="1" tint="0.25"/>
        <rFont val="Noto Sans"/>
        <family val="2"/>
      </rPr>
      <t xml:space="preserve">）； </t>
    </r>
    <r>
      <rPr>
        <sz val="9"/>
        <color theme="1" tint="0.25"/>
        <rFont val="微软雅黑"/>
        <family val="0"/>
        <charset val="134"/>
      </rPr>
      <t xml:space="preserve">USB-C+USB-A</t>
    </r>
    <r>
      <rPr>
        <sz val="9"/>
        <color theme="1" tint="0.25"/>
        <rFont val="Noto Sans"/>
        <family val="2"/>
      </rPr>
      <t xml:space="preserve">：</t>
    </r>
    <r>
      <rPr>
        <sz val="9"/>
        <color theme="1" tint="0.25"/>
        <rFont val="微软雅黑"/>
        <family val="0"/>
        <charset val="134"/>
      </rPr>
      <t xml:space="preserve">5V/3A
3. Штекер EU
4. Размер: 76.5 * 36 * 33mm; Вес: 55g</t>
    </r>
  </si>
  <si>
    <t xml:space="preserve">http://gofile.me/649X4/GxqSyKx5O</t>
  </si>
  <si>
    <t xml:space="preserve">BN35 Mini PD30W+QC3.0 зарядное устройство набор (C to C)(EU)</t>
  </si>
  <si>
    <t xml:space="preserve">6941991128370</t>
  </si>
  <si>
    <r>
      <rPr>
        <sz val="9"/>
        <color theme="1" tint="0.25"/>
        <rFont val="微软雅黑"/>
        <family val="0"/>
        <charset val="134"/>
      </rPr>
      <t xml:space="preserve">1. Материал: PC огнеупорный корпус
2. Выход: USB-C: 30W (PD/QC/FCC/AFC); USB-A</t>
    </r>
    <r>
      <rPr>
        <sz val="9"/>
        <color theme="1" tint="0.25"/>
        <rFont val="Noto Sans"/>
        <family val="2"/>
      </rPr>
      <t xml:space="preserve">：</t>
    </r>
    <r>
      <rPr>
        <sz val="9"/>
        <color theme="1" tint="0.25"/>
        <rFont val="微软雅黑"/>
        <family val="0"/>
        <charset val="134"/>
      </rPr>
      <t xml:space="preserve">18W</t>
    </r>
    <r>
      <rPr>
        <sz val="9"/>
        <color theme="1" tint="0.25"/>
        <rFont val="Noto Sans"/>
        <family val="2"/>
      </rPr>
      <t xml:space="preserve">（</t>
    </r>
    <r>
      <rPr>
        <sz val="9"/>
        <color theme="1" tint="0.25"/>
        <rFont val="微软雅黑"/>
        <family val="0"/>
        <charset val="134"/>
      </rPr>
      <t xml:space="preserve">QC/FCP/AFC</t>
    </r>
    <r>
      <rPr>
        <sz val="9"/>
        <color theme="1" tint="0.25"/>
        <rFont val="Noto Sans"/>
        <family val="2"/>
      </rPr>
      <t xml:space="preserve">）； </t>
    </r>
    <r>
      <rPr>
        <sz val="9"/>
        <color theme="1" tint="0.25"/>
        <rFont val="微软雅黑"/>
        <family val="0"/>
        <charset val="134"/>
      </rPr>
      <t xml:space="preserve">USB-C+USB-A</t>
    </r>
    <r>
      <rPr>
        <sz val="9"/>
        <color theme="1" tint="0.25"/>
        <rFont val="Noto Sans"/>
        <family val="2"/>
      </rPr>
      <t xml:space="preserve">：</t>
    </r>
    <r>
      <rPr>
        <sz val="9"/>
        <color theme="1" tint="0.25"/>
        <rFont val="微软雅黑"/>
        <family val="0"/>
        <charset val="134"/>
      </rPr>
      <t xml:space="preserve">5V/3A
3. Штекер EU
4. Размер: 76.5 * 36 * 33mm; Общий Вес: 75g
5. Набор с кабелем 1m C на C 60W</t>
    </r>
  </si>
  <si>
    <t xml:space="preserve">http://gofile.me/649X4/YAMTA7PlP</t>
  </si>
  <si>
    <t xml:space="preserve">BN34 Mini single port PD30W зарядное устройство(EU)</t>
  </si>
  <si>
    <t xml:space="preserve">6941991128349</t>
  </si>
  <si>
    <t xml:space="preserve">1. Материал: PC огнеупорный корпус
2. Выход: USB-C: 30W (PD/QC/FCC/AFC)
3. Штекер EU
4. Размер: 76.5 * 36 * 33mm; Вес: 52g</t>
  </si>
  <si>
    <t xml:space="preserve">http://gofile.me/649X4/yflxbb65k</t>
  </si>
  <si>
    <t xml:space="preserve">BN34 Mini single port PD30W зарядное устройство набор (C to C)(EU)</t>
  </si>
  <si>
    <t xml:space="preserve">6941991128356</t>
  </si>
  <si>
    <t xml:space="preserve">1. Материал: PC огнеупорный корпус
2. Выход: USB-C: 30W (PD/QC/FCC/AFC)
3. Штекер EU
4. Размер: 76.5 * 36 * 33mm; Общий Вес: 72g
5. Набор с кабелем 1m C на C 60W</t>
  </si>
  <si>
    <t xml:space="preserve">http://gofile.me/649X4/gFQucowI7</t>
  </si>
  <si>
    <t xml:space="preserve">BN33 Fuente зарядное устройство с одним выходом PD40W (EU)</t>
  </si>
  <si>
    <t xml:space="preserve">6941991127113</t>
  </si>
  <si>
    <t xml:space="preserve">1. Материал: PC огнеупорный корпус
2. Выход: USB-C: 40W (поддержка PD3.2, AVS 9-20V/2A (DPS 3A), PPS: 5-21V/2A); Выход до 60W
3. EU штекер
4. Размер: 83 * 45 * 31mm; Вес: 76g</t>
  </si>
  <si>
    <t xml:space="preserve">http://gofile.me/649X4/wADtslEz1</t>
  </si>
  <si>
    <t xml:space="preserve">BN33 Fuente зарядное устройство с одним выходом PD40W набор (C на C)(EU)</t>
  </si>
  <si>
    <t xml:space="preserve">6941991127120</t>
  </si>
  <si>
    <t xml:space="preserve">1. Материал: PC огнеупорный корпус
2. Выход: USB-C: 40W (поддержка PD3.2, AVS  9-20V/2A (DPS 3A), PPS: 5-21V/2A); Выход до 60W
3. EU штекер
4. Размер: 83 * 45 * 31mm; Общий Вес: 96g
5. Набор с кабелем 1m C на C 60W</t>
  </si>
  <si>
    <t xml:space="preserve">http://gofile.me/649X4/uXCKJU42X</t>
  </si>
  <si>
    <t xml:space="preserve">BN32 Cargador PD65W (2C1A) зарядное устройство (EU)</t>
  </si>
  <si>
    <t xml:space="preserve">6941991124716</t>
  </si>
  <si>
    <r>
      <rPr>
        <sz val="9"/>
        <color theme="1" tint="0.2499"/>
        <rFont val="微软雅黑"/>
        <family val="0"/>
        <charset val="134"/>
      </rPr>
      <t xml:space="preserve">1. Материал: PC огнеупорный корпус
2. Выход: USB-C1:65W (PD/QC/FCC/AFC); USB-C2</t>
    </r>
    <r>
      <rPr>
        <sz val="9"/>
        <color theme="1" tint="0.2499"/>
        <rFont val="Noto Sans"/>
        <family val="2"/>
      </rPr>
      <t xml:space="preserve">：</t>
    </r>
    <r>
      <rPr>
        <sz val="9"/>
        <color theme="1" tint="0.2499"/>
        <rFont val="微软雅黑"/>
        <family val="0"/>
        <charset val="134"/>
      </rPr>
      <t xml:space="preserve">20W</t>
    </r>
    <r>
      <rPr>
        <sz val="9"/>
        <color theme="1" tint="0.2499"/>
        <rFont val="Noto Sans"/>
        <family val="2"/>
      </rPr>
      <t xml:space="preserve">（</t>
    </r>
    <r>
      <rPr>
        <sz val="9"/>
        <color theme="1" tint="0.2499"/>
        <rFont val="微软雅黑"/>
        <family val="0"/>
        <charset val="134"/>
      </rPr>
      <t xml:space="preserve">PD/QC/FCP/AFC</t>
    </r>
    <r>
      <rPr>
        <sz val="9"/>
        <color theme="1" tint="0.2499"/>
        <rFont val="Noto Sans"/>
        <family val="2"/>
      </rPr>
      <t xml:space="preserve">）； </t>
    </r>
    <r>
      <rPr>
        <sz val="9"/>
        <color theme="1" tint="0.2499"/>
        <rFont val="微软雅黑"/>
        <family val="0"/>
        <charset val="134"/>
      </rPr>
      <t xml:space="preserve">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USB-C1+USB-C2</t>
    </r>
    <r>
      <rPr>
        <sz val="9"/>
        <color theme="1" tint="0.2499"/>
        <rFont val="Noto Sans"/>
        <family val="2"/>
      </rPr>
      <t xml:space="preserve">：</t>
    </r>
    <r>
      <rPr>
        <sz val="9"/>
        <color theme="1" tint="0.2499"/>
        <rFont val="微软雅黑"/>
        <family val="0"/>
        <charset val="134"/>
      </rPr>
      <t xml:space="preserve">65W</t>
    </r>
    <r>
      <rPr>
        <sz val="9"/>
        <color theme="1" tint="0.2499"/>
        <rFont val="Noto Sans"/>
        <family val="2"/>
      </rPr>
      <t xml:space="preserve">； </t>
    </r>
    <r>
      <rPr>
        <sz val="9"/>
        <color theme="1" tint="0.2499"/>
        <rFont val="微软雅黑"/>
        <family val="0"/>
        <charset val="134"/>
      </rPr>
      <t xml:space="preserve">USB-C1+USB-A</t>
    </r>
    <r>
      <rPr>
        <sz val="9"/>
        <color theme="1" tint="0.2499"/>
        <rFont val="Noto Sans"/>
        <family val="2"/>
      </rPr>
      <t xml:space="preserve">：</t>
    </r>
    <r>
      <rPr>
        <sz val="9"/>
        <color theme="1" tint="0.2499"/>
        <rFont val="微软雅黑"/>
        <family val="0"/>
        <charset val="134"/>
      </rPr>
      <t xml:space="preserve">63W</t>
    </r>
    <r>
      <rPr>
        <sz val="9"/>
        <color theme="1" tint="0.2499"/>
        <rFont val="Noto Sans"/>
        <family val="2"/>
      </rPr>
      <t xml:space="preserve">；
</t>
    </r>
    <r>
      <rPr>
        <sz val="9"/>
        <color theme="1" tint="0.2499"/>
        <rFont val="微软雅黑"/>
        <family val="0"/>
        <charset val="134"/>
      </rPr>
      <t xml:space="preserve">USB-C1+(USB-C2+USB-A)</t>
    </r>
    <r>
      <rPr>
        <sz val="9"/>
        <color theme="1" tint="0.2499"/>
        <rFont val="Noto Sans"/>
        <family val="2"/>
      </rPr>
      <t xml:space="preserve">：</t>
    </r>
    <r>
      <rPr>
        <sz val="9"/>
        <color theme="1" tint="0.2499"/>
        <rFont val="微软雅黑"/>
        <family val="0"/>
        <charset val="134"/>
      </rPr>
      <t xml:space="preserve">45W+15W
3. EU штекер
4. Размер: 89 * 45 * 31mm; Вес: 137g</t>
    </r>
  </si>
  <si>
    <t xml:space="preserve">http://gofile.me/649X4/6qB91T5Jk</t>
  </si>
  <si>
    <t xml:space="preserve">BN31 Cargador PD45W(2C) зарядное устройство (EU)</t>
  </si>
  <si>
    <t xml:space="preserve">6941991124693</t>
  </si>
  <si>
    <t xml:space="preserve">18.3*9.1*3.3</t>
  </si>
  <si>
    <r>
      <rPr>
        <sz val="9"/>
        <color theme="1" tint="0.2499"/>
        <rFont val="微软雅黑"/>
        <family val="0"/>
        <charset val="134"/>
      </rPr>
      <t xml:space="preserve">1. Материал: PC огнеупорный корпус
2. Выход: USB-C1/C2:45W (PD/QC/FCC/AFC);
USB-C1+USB-C2</t>
    </r>
    <r>
      <rPr>
        <sz val="9"/>
        <color theme="1" tint="0.2499"/>
        <rFont val="Noto Sans"/>
        <family val="2"/>
      </rPr>
      <t xml:space="preserve">：</t>
    </r>
    <r>
      <rPr>
        <sz val="9"/>
        <color theme="1" tint="0.2499"/>
        <rFont val="微软雅黑"/>
        <family val="0"/>
        <charset val="134"/>
      </rPr>
      <t xml:space="preserve">25W+20W
3. EU штекер
4. Размер: 83 * 45 * 31mm; Вес: 125g</t>
    </r>
  </si>
  <si>
    <t xml:space="preserve">http://gofile.me/649X4/PN8BV2nP7</t>
  </si>
  <si>
    <t xml:space="preserve">BN30 Cargador PD45W (1C1A) зарядное устройство (EU)</t>
  </si>
  <si>
    <t xml:space="preserve">6941991124679</t>
  </si>
  <si>
    <r>
      <rPr>
        <sz val="9"/>
        <color theme="1" tint="0.2499"/>
        <rFont val="微软雅黑"/>
        <family val="0"/>
        <charset val="134"/>
      </rPr>
      <t xml:space="preserve">1. Материал: PC огнеупорный корпус
2. Выход: USB-C1/C2:45W (PD/QC/FCC/AFC);
USB-C1+USB-C2</t>
    </r>
    <r>
      <rPr>
        <sz val="9"/>
        <color theme="1" tint="0.2499"/>
        <rFont val="Noto Sans"/>
        <family val="2"/>
      </rPr>
      <t xml:space="preserve">：</t>
    </r>
    <r>
      <rPr>
        <sz val="9"/>
        <color theme="1" tint="0.2499"/>
        <rFont val="微软雅黑"/>
        <family val="0"/>
        <charset val="134"/>
      </rPr>
      <t xml:space="preserve">25W+20W
3. EU штекер
4. Размер: 83 * 45 * 31mm; Total Вес: 145g
5. Набор с кабелем 1м C на C 60W</t>
    </r>
  </si>
  <si>
    <t xml:space="preserve">http://gofile.me/649X4/q8lSlxWbf</t>
  </si>
  <si>
    <t xml:space="preserve">BN29 Fuente PD30W+QC3.0 зарядное устройство (EU)</t>
  </si>
  <si>
    <t xml:space="preserve">6941991120329</t>
  </si>
  <si>
    <t xml:space="preserve">18.2*9.2*3.4</t>
  </si>
  <si>
    <r>
      <rPr>
        <sz val="9"/>
        <color theme="1" tint="0.2499"/>
        <rFont val="微软雅黑"/>
        <family val="0"/>
        <charset val="134"/>
      </rPr>
      <t xml:space="preserve">1. Материал: PC огнеупорный
2. Выход: USB-C: 30W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USB-C+USB-A=5V/3A
3. EU штекер
4. Размер: 80.5 * 40 * 28mm; вес: 54g</t>
    </r>
  </si>
  <si>
    <t xml:space="preserve">http://gofile.me/649X4/fWDDqscvl</t>
  </si>
  <si>
    <t xml:space="preserve">http://gofile.me/649X4/Gw0lKFe6n</t>
  </si>
  <si>
    <t xml:space="preserve">BN28 Fuente зарядное устройство с одним портом PD30W (EU)</t>
  </si>
  <si>
    <t xml:space="preserve">6941991120299</t>
  </si>
  <si>
    <t xml:space="preserve">18.3*9*3.4</t>
  </si>
  <si>
    <t xml:space="preserve">1. Материал: PC огнеупорный
2. Выход: USB-C: 30W (PD/QC/FCC/AFC)
3. EU штекер
4. Размер: 80.5 * 40 * 28mm; вес: 54g</t>
  </si>
  <si>
    <t xml:space="preserve">http://gofile.me/649X4/sZo8OAizC</t>
  </si>
  <si>
    <t xml:space="preserve">http://gofile.me/649X4/ygxmII6pw</t>
  </si>
  <si>
    <t xml:space="preserve">BN27 Fuente PD20W+QC3.0 зарядное устройство (EU)</t>
  </si>
  <si>
    <t xml:space="preserve">6941991120268</t>
  </si>
  <si>
    <t xml:space="preserve">18.4*9.1*3.4</t>
  </si>
  <si>
    <r>
      <rPr>
        <sz val="9"/>
        <color theme="1" tint="0.2499"/>
        <rFont val="微软雅黑"/>
        <family val="0"/>
        <charset val="134"/>
      </rPr>
      <t xml:space="preserve">1. Материал: PC огнеупорный
2. Выход: USB-C: 20W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USB-C+USB-A=5V/3A
3. EU штекер
4. Размер: 80.5 * 40 * 28mm; вес: 51g</t>
    </r>
  </si>
  <si>
    <t xml:space="preserve">http://gofile.me/649X4/uJPFCIYmp</t>
  </si>
  <si>
    <t xml:space="preserve">http://gofile.me/649X4/E8ky9Qq0f</t>
  </si>
  <si>
    <t xml:space="preserve">BN19 Intenso PD20W+QC 3.0 зарядное устройство (EU)</t>
  </si>
  <si>
    <t xml:space="preserve">6941991120848</t>
  </si>
  <si>
    <t xml:space="preserve">18.2*9*4.3</t>
  </si>
  <si>
    <r>
      <rPr>
        <sz val="9"/>
        <color theme="1" tint="0.2499"/>
        <rFont val="微软雅黑"/>
        <family val="0"/>
        <charset val="134"/>
      </rPr>
      <t xml:space="preserve">1. Материал: PC огнеупорный
2. Выход: USB-C: 20W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Общий выход: 5V/3A
3. EU штекер
4. Размер: 79.3 * 40 * 38mm, Вес: 61g</t>
    </r>
  </si>
  <si>
    <t xml:space="preserve">http://gofile.me/649X4/UFCVtgn3T</t>
  </si>
  <si>
    <t xml:space="preserve">BN13 Safety PD30W зарядное устройство с одним портом   набор (C на iP)(EU)</t>
  </si>
  <si>
    <t xml:space="preserve">6941991106811</t>
  </si>
  <si>
    <t xml:space="preserve">1. Материал: огнеупорный материал РС.
2, Выход: Type-C: 30W(PD/PPS/QC/FCP/AFC)
3, EU штекер.
4, Размер: 77*33*29mm; Total Вес: 72g
5, Набор с кабелем 1м C на Lightning.</t>
  </si>
  <si>
    <t xml:space="preserve">http://gofile.me/649X4/VvePyw2yZ</t>
  </si>
  <si>
    <t xml:space="preserve">BN13 Safety PD30W зарядное устройство с одним портом   набор (Type-C на Type-C)(EU)</t>
  </si>
  <si>
    <t xml:space="preserve">6941991106828</t>
  </si>
  <si>
    <t xml:space="preserve">1. Материал: огнеупорный материал РС.
2, Выход: Type-C: 30W(PD/PPS/QC/FCP/AFC)
3, EU штекер.
4, Размер: 77*33*29mm; Total Вес: 72g
5, Набор с кабелем 1м C на С.</t>
  </si>
  <si>
    <t xml:space="preserve">http://gofile.me/649X4/axjwetjx3</t>
  </si>
  <si>
    <t xml:space="preserve">BN9 Reacher PD35W зарядное устройство с двумя портами (2C) набор (C на iP)(EU)</t>
  </si>
  <si>
    <t xml:space="preserve">6974443388176</t>
  </si>
  <si>
    <t xml:space="preserve">18.5*9*3.3</t>
  </si>
  <si>
    <t xml:space="preserve">1. Материал: огнеупорный PC.
2. Выход: Type-C 1/2:35W (PD/PPS/QC/AFC/FCP);
Type-C1+Type-C2=17.5W+17.5W
3. EU штекер.
4. Размер: 85 * 40 * 31мм, Общий Вес: 89г
5. Набор с кабелем 1м C на L.</t>
  </si>
  <si>
    <t xml:space="preserve">http://gofile.me/649X4/hbGBMAe4H</t>
  </si>
  <si>
    <t xml:space="preserve">BN9 Reacher PD35W зарядное устройство с двумя портами (2C) набор (Type-C на Type-C)(EU)</t>
  </si>
  <si>
    <t xml:space="preserve">6974443388183</t>
  </si>
  <si>
    <t xml:space="preserve">1. Материал: огнеупорный PC.
2. Выход: Type-C 1/2:35W (PD/PPS/QC/AFC/FCP);
Type-C1+Type-C2=17.5W+17.5W
3. EU штекер.
4. Размер: 85 * 40 * 31мм, Общий Вес: 89г
5. Набор с кабелем 1м C на C.</t>
  </si>
  <si>
    <t xml:space="preserve">http://gofile.me/649X4/0UMaRiI5y</t>
  </si>
  <si>
    <r>
      <rPr>
        <b val="true"/>
        <i val="true"/>
        <sz val="11"/>
        <color rgb="FF171717"/>
        <rFont val="Arial"/>
        <family val="0"/>
        <charset val="1"/>
      </rPr>
      <t xml:space="preserve">EU штекер</t>
    </r>
    <r>
      <rPr>
        <b val="true"/>
        <i val="true"/>
        <sz val="11"/>
        <color rgb="FF171717"/>
        <rFont val="Noto Sans"/>
        <family val="2"/>
      </rPr>
      <t xml:space="preserve">（</t>
    </r>
    <r>
      <rPr>
        <b val="true"/>
        <i val="true"/>
        <sz val="11"/>
        <color rgb="FF171717"/>
        <rFont val="Arial"/>
        <family val="0"/>
        <charset val="1"/>
      </rPr>
      <t xml:space="preserve">Частная модельная серия</t>
    </r>
    <r>
      <rPr>
        <b val="true"/>
        <i val="true"/>
        <sz val="11"/>
        <color rgb="FF171717"/>
        <rFont val="Noto Sans"/>
        <family val="2"/>
      </rPr>
      <t xml:space="preserve">）</t>
    </r>
  </si>
  <si>
    <t xml:space="preserve">BAS93A Cloud PD30W+QC3.0 зарядное устройство (EU)</t>
  </si>
  <si>
    <t xml:space="preserve">6941991129209</t>
  </si>
  <si>
    <t xml:space="preserve">15.2*10.1*4</t>
  </si>
  <si>
    <t xml:space="preserve">1. Материал: ABS  
2. Выход: 
USB-C - 30 Вт (PD/QC/FCC/AFC); 
USB-A - 18 Вт (QC/FCP/AFC); 
USB-C + USB-A - 5В/3А  
3. Европейская вилка
4. Размер: 83 × 38,5 × 21мм; Вес: 37г</t>
  </si>
  <si>
    <t xml:space="preserve">http://gofile.me/649X4/vXMSp8Zjg</t>
  </si>
  <si>
    <t xml:space="preserve">BAS93A Cloud PD30W+QC3.0 зарядное  устройство набор (C на C)(EU)</t>
  </si>
  <si>
    <t xml:space="preserve">6941991129216</t>
  </si>
  <si>
    <t xml:space="preserve">1. Материал: ABS  
2. Выход: 
USB-C - 30 Вт (PD/QC/FCC/AFC); 
USB-A - 18 Вт (QC/FCP/AFC); 
USB-C + USB-A одновременно - 5В/3А  
3. Европейская вилка
4. Размер: 83 × 38,5 × 21мм; Общий вес: 62г  
5. Набор с кабелем USB-C - USB-C длиной 1 м, поддерживает быструю зарядку до 60 Вт</t>
  </si>
  <si>
    <t xml:space="preserve">http://gofile.me/649X4/Tmt7eokZN</t>
  </si>
  <si>
    <t xml:space="preserve">BAS92A Cloud PD25W зарядное устройство (EU)</t>
  </si>
  <si>
    <t xml:space="preserve">6941991129186</t>
  </si>
  <si>
    <t xml:space="preserve">1. Материал: ABS  
2. Выход: USB-C - 25Вт (PD/QC/FCC/AFC)  
3. Европейская вилка
4. Размер: 83 × 38,5 × 21мм; Вес: 36г</t>
  </si>
  <si>
    <t xml:space="preserve">http://gofile.me/649X4/V69DxRmnz</t>
  </si>
  <si>
    <t xml:space="preserve">BAS92A Cloud PD25W зарядное  устройство набор (C на C)(EU)</t>
  </si>
  <si>
    <t xml:space="preserve">6941991129193</t>
  </si>
  <si>
    <t xml:space="preserve">1. Материал: ABS  
2. Выход: USB-C - 25Вт (PD/QC/FCC/AFC)  
3. Европейская вилка
4. Размер: 83 × 38,5 × 21мм; Общий вес: 61г  
5. Набор с кабелем USB-C - USB-C длиной 1 м, поддерживает быструю зарядку до 60 Вт</t>
  </si>
  <si>
    <t xml:space="preserve">http://gofile.me/649X4/L2evwGiQX</t>
  </si>
  <si>
    <t xml:space="preserve">BAS91A Cloud 22.5W зарядное устройство (EU)</t>
  </si>
  <si>
    <t xml:space="preserve">6941991129162</t>
  </si>
  <si>
    <t xml:space="preserve">1. Материал: ABS  
2. Выход: USB-A - 22,5Вт (QC/FCP/SCP/AFC)  
3. Европейская вилка
4. Размер: 83 × 38,5 × 21мм; Вес: 35г</t>
  </si>
  <si>
    <t xml:space="preserve">http://gofile.me/649X4/frBBxw5C4</t>
  </si>
  <si>
    <t xml:space="preserve">BAS91A Cloud 22.5W зарядное  устройство набор (Type-C)(EU)</t>
  </si>
  <si>
    <t xml:space="preserve">6941991129179</t>
  </si>
  <si>
    <t xml:space="preserve">1. Материал: ABS  
2. Выход: USB-A - 22,5Вт (QC/FCP/SCP/AFC)  
3. Европейская вилка
4. Размер: 83 × 38,5 × 21мм; Общий вес: 60г  
5. Набор с кабелем Type-C длиной 1 м для зарядки</t>
  </si>
  <si>
    <t xml:space="preserve">http://gofile.me/649X4/bzncuDkUi</t>
  </si>
  <si>
    <t xml:space="preserve">BAS86A Star PD40W зарядное устройство (EU)</t>
  </si>
  <si>
    <t xml:space="preserve">6941991131004</t>
  </si>
  <si>
    <t xml:space="preserve">1. Материал: ABS.
2. Выход: USB-C: 40W (PD/PPS/QC/FCP/AFC).
3. Штекер EU.
4. Размеры: 81*36.5*33 мм. Вес: 59 г.</t>
  </si>
  <si>
    <t xml:space="preserve">http://gofile.me/649X4/p7Y73rsLA</t>
  </si>
  <si>
    <t xml:space="preserve">BAS86A Star PD40W зарядное устройство  набор (C на C)(EU)</t>
  </si>
  <si>
    <t xml:space="preserve">6941991131011</t>
  </si>
  <si>
    <t xml:space="preserve">1. Материал: ABS.
2. Выход: USB-C: 40W (PD/PPS/QC/FCP/AFC).
3. Штекер EU.
4. Размеры: 81*36.5*33 мм. Общий вес: 84 г.
5. В комплекте кабель C to C 60W быстрой зарядки длиной 1 м.</t>
  </si>
  <si>
    <t xml:space="preserve">http://gofile.me/649X4/NDV5LbtCh</t>
  </si>
  <si>
    <t xml:space="preserve">BAS85A Star PD30W+QC3.0 зарядное устройство (EU)</t>
  </si>
  <si>
    <t xml:space="preserve">6941991126840</t>
  </si>
  <si>
    <r>
      <rPr>
        <sz val="9"/>
        <color theme="1" tint="0.2499"/>
        <rFont val="微软雅黑"/>
        <family val="0"/>
        <charset val="134"/>
      </rPr>
      <t xml:space="preserve">1. Материал: ABS
2. Выход: USB-C: 30W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USB-C+USB-A</t>
    </r>
    <r>
      <rPr>
        <sz val="9"/>
        <color theme="1" tint="0.2499"/>
        <rFont val="Noto Sans"/>
        <family val="2"/>
      </rPr>
      <t xml:space="preserve">：</t>
    </r>
    <r>
      <rPr>
        <sz val="9"/>
        <color theme="1" tint="0.2499"/>
        <rFont val="微软雅黑"/>
        <family val="0"/>
        <charset val="134"/>
      </rPr>
      <t xml:space="preserve">5V/3A
3. EU штекер
4. Размер: 81 * 36.5 * 33mm, Вес: 51g</t>
    </r>
  </si>
  <si>
    <t xml:space="preserve">http://gofile.me/649X4/EPrQLfsas</t>
  </si>
  <si>
    <t xml:space="preserve">BAS84A Star single port PD25W зарядное устройство (EU)</t>
  </si>
  <si>
    <t xml:space="preserve">6941991126826</t>
  </si>
  <si>
    <t xml:space="preserve">1. Материал: ABS
2. Выход: USB-C: 25W (PD/QC/FCC/AFC)
3. EU штекер
4. Размер: 81 * 36.5 * 33mm, Вес: 57g</t>
  </si>
  <si>
    <t xml:space="preserve">http://gofile.me/649X4/uKjM3067K</t>
  </si>
  <si>
    <t xml:space="preserve">BAS83A Star PD20W+QC3.0 зарядное устройство (EU)</t>
  </si>
  <si>
    <t xml:space="preserve">6941991126765</t>
  </si>
  <si>
    <r>
      <rPr>
        <sz val="9"/>
        <color theme="1" tint="0.2499"/>
        <rFont val="微软雅黑"/>
        <family val="0"/>
        <charset val="134"/>
      </rPr>
      <t xml:space="preserve">1. Материал: ABS
2. Выход: USB-C: 20W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USB-C+USB-A</t>
    </r>
    <r>
      <rPr>
        <sz val="9"/>
        <color theme="1" tint="0.2499"/>
        <rFont val="Noto Sans"/>
        <family val="2"/>
      </rPr>
      <t xml:space="preserve">：</t>
    </r>
    <r>
      <rPr>
        <sz val="9"/>
        <color theme="1" tint="0.2499"/>
        <rFont val="微软雅黑"/>
        <family val="0"/>
        <charset val="134"/>
      </rPr>
      <t xml:space="preserve">5V/3A
3. EU штекер
4. Размер: 81 * 36.5 * 33mm, Вес: 40g</t>
    </r>
  </si>
  <si>
    <t xml:space="preserve">http://gofile.me/649X4/cyDy0hrFW</t>
  </si>
  <si>
    <t xml:space="preserve">6941991126772</t>
  </si>
  <si>
    <t xml:space="preserve">BAS81A Star зарядное устройство набор (iP)(EU)</t>
  </si>
  <si>
    <t xml:space="preserve">6941991126642</t>
  </si>
  <si>
    <t xml:space="preserve">1. Материал: ABS
2. Выход: USB-A1/A2:5V/2.1A; Общий выход: 5V/2.1A
3. EU штекер
4. Размер: 81 * 36.5 * 33mm, total Вес: 62g
5. Набор с кабелем 1м iP</t>
  </si>
  <si>
    <t xml:space="preserve">http://gofile.me/649X4/RMfsiVxZC</t>
  </si>
  <si>
    <t xml:space="preserve">6941991126659</t>
  </si>
  <si>
    <t xml:space="preserve">BAS76A Source PD30W+QC3.0 зарядное устройство (EU)</t>
  </si>
  <si>
    <t xml:space="preserve">6941991122873</t>
  </si>
  <si>
    <t xml:space="preserve">15.1*10.1*3.9</t>
  </si>
  <si>
    <t xml:space="preserve">1. Материал: ABS
2. Выход: USB-C: 30W (PD/QC/FCP/AFC). 
USB-A: 18W (QC/FCP/AFC).  USB-C+USB-A=5V/3A
3. EU штекер
4. Размер: 88 * 41.5 * 26mm, вес: 46g</t>
  </si>
  <si>
    <t xml:space="preserve">http://gofile.me/649X4/QoG9FIXFk</t>
  </si>
  <si>
    <t xml:space="preserve">http://gofile.me/649X4/3HMcoD5vc</t>
  </si>
  <si>
    <t xml:space="preserve">6941991122880</t>
  </si>
  <si>
    <t xml:space="preserve">BAS76A Source PD30W+QC3.0 зарядное устройство набор (C на iP)(EU)</t>
  </si>
  <si>
    <t xml:space="preserve">6941991122897</t>
  </si>
  <si>
    <t xml:space="preserve">1. Материал: ABS
2. Выход: USB-C: 30W (PD/QC/FCP/AFC). 
USB-A: 18W (QC/FCP/AFC).  USB-C+USB-A=5V/3A
3. EU штекер
4. Размер: 88 * 41.5 * 26mm, общий вес: 71g
5. Набор с кабелем 1м C на iP</t>
  </si>
  <si>
    <t xml:space="preserve">http://gofile.me/649X4/iCmfP6gJc</t>
  </si>
  <si>
    <t xml:space="preserve">6941991122903</t>
  </si>
  <si>
    <t xml:space="preserve">BAS76A Source PD30W+QC3.0 зарядное устройство набор (C на C)(EU)</t>
  </si>
  <si>
    <t xml:space="preserve">6941991122910</t>
  </si>
  <si>
    <t xml:space="preserve">1. Материал: ABS
2. Выход: USB-C: 30W (PD/QC/FCP/AFC). 
USB-A: 18W (QC/FCP/AFC).  USB-C+USB-A=5V/3A
3. EU штекер
4. Размер: 88 * 41.5 * 26mm, общий вес: 71g
5. Набор с кабелем 1м C на C 60W</t>
  </si>
  <si>
    <t xml:space="preserve">http://gofile.me/649X4/5VkobJrzs</t>
  </si>
  <si>
    <t xml:space="preserve">6941991122927</t>
  </si>
  <si>
    <t xml:space="preserve">BAS75A Source PD30W зарядное устройство (EU)</t>
  </si>
  <si>
    <t xml:space="preserve">6941991122811</t>
  </si>
  <si>
    <r>
      <rPr>
        <sz val="9"/>
        <color theme="1" tint="0.2499"/>
        <rFont val="微软雅黑"/>
        <family val="0"/>
        <charset val="134"/>
      </rPr>
      <t xml:space="preserve">1. Материал: ABS
2. Выход: USB-C: 30W (PD/QC/FCP/AFC</t>
    </r>
    <r>
      <rPr>
        <sz val="9"/>
        <color theme="1" tint="0.2499"/>
        <rFont val="Noto Sans"/>
        <family val="2"/>
      </rPr>
      <t xml:space="preserve">）
</t>
    </r>
    <r>
      <rPr>
        <sz val="9"/>
        <color theme="1" tint="0.2499"/>
        <rFont val="微软雅黑"/>
        <family val="0"/>
        <charset val="134"/>
      </rPr>
      <t xml:space="preserve">3. EU штекер
4. Размер: 88 * 41.5 * 26mm, вес: 45g</t>
    </r>
  </si>
  <si>
    <t xml:space="preserve">http://gofile.me/649X4/OuTwSOFS3</t>
  </si>
  <si>
    <t xml:space="preserve">http://gofile.me/649X4/VdAZM0ZgM</t>
  </si>
  <si>
    <t xml:space="preserve">6941991122828</t>
  </si>
  <si>
    <t xml:space="preserve">BAS75A Source PD30W зарядное устройство набор (C на iP)(EU)</t>
  </si>
  <si>
    <t xml:space="preserve">6941991122835</t>
  </si>
  <si>
    <r>
      <rPr>
        <sz val="9"/>
        <color theme="1" tint="0.2499"/>
        <rFont val="微软雅黑"/>
        <family val="0"/>
        <charset val="134"/>
      </rPr>
      <t xml:space="preserve">1. Материал: ABS
2. Выход: USB-C: 30W (PD/QC/FCP/AFC</t>
    </r>
    <r>
      <rPr>
        <sz val="9"/>
        <color theme="1" tint="0.2499"/>
        <rFont val="Noto Sans"/>
        <family val="2"/>
      </rPr>
      <t xml:space="preserve">）
</t>
    </r>
    <r>
      <rPr>
        <sz val="9"/>
        <color theme="1" tint="0.2499"/>
        <rFont val="微软雅黑"/>
        <family val="0"/>
        <charset val="134"/>
      </rPr>
      <t xml:space="preserve">3. EU штекер
4. Размер: 88 * 41.5 * 26mm, общий вес: 70g
5. Набор с кабелем 1м C на iP</t>
    </r>
  </si>
  <si>
    <t xml:space="preserve">http://gofile.me/649X4/leG7dRbJ0</t>
  </si>
  <si>
    <t xml:space="preserve">6941991122842</t>
  </si>
  <si>
    <t xml:space="preserve">BAS75A Source PD30W зарядное устройство набор (C на C)(EU)</t>
  </si>
  <si>
    <t xml:space="preserve">6941991122859</t>
  </si>
  <si>
    <r>
      <rPr>
        <sz val="9"/>
        <color theme="1" tint="0.2499"/>
        <rFont val="微软雅黑"/>
        <family val="0"/>
        <charset val="134"/>
      </rPr>
      <t xml:space="preserve">1. Материал: ABS
2. Выход: USB-C: 30W (PD/QC/FCP/AFC</t>
    </r>
    <r>
      <rPr>
        <sz val="9"/>
        <color theme="1" tint="0.2499"/>
        <rFont val="Noto Sans"/>
        <family val="2"/>
      </rPr>
      <t xml:space="preserve">）
</t>
    </r>
    <r>
      <rPr>
        <sz val="9"/>
        <color theme="1" tint="0.2499"/>
        <rFont val="微软雅黑"/>
        <family val="0"/>
        <charset val="134"/>
      </rPr>
      <t xml:space="preserve">3. EU штекер
4. Размер: 88 * 41.5 * 26mm, общий вес: 70g
5. Набор с кабелем 1м C на C 60W</t>
    </r>
  </si>
  <si>
    <t xml:space="preserve">http://gofile.me/649X4/8N1zBC3Tt</t>
  </si>
  <si>
    <t xml:space="preserve">6941991122866</t>
  </si>
  <si>
    <t xml:space="preserve">BAS74A Source PD20W+QC3.0 зарядное устройство (EU)</t>
  </si>
  <si>
    <t xml:space="preserve">6941991122750</t>
  </si>
  <si>
    <t xml:space="preserve">1. Материал: ABS
2. Выход: USB-C: 20W (PD/QC/FCP/AFC). 
USB-A: 18W (QC/FCP/AFC).  USB-C+USB-A=5V/3A
3. EU штекер
4. Размер: 88 * 41.5 * 26mm, вес: 42g</t>
  </si>
  <si>
    <t xml:space="preserve">http://gofile.me/649X4/vhhB7swvr</t>
  </si>
  <si>
    <t xml:space="preserve">http://gofile.me/649X4/L81sFvbCQ</t>
  </si>
  <si>
    <t xml:space="preserve">6941991122767</t>
  </si>
  <si>
    <t xml:space="preserve">BAS74A Source PD20W+QC3.0 зарядное устройство набор (C на iP)(EU)</t>
  </si>
  <si>
    <t xml:space="preserve">6941991122781</t>
  </si>
  <si>
    <t xml:space="preserve">1. Материал: ABS
2. Выход: USB-C: 20W (PD/QC/FCP/AFC). 
USB-A: 18W (QC/FCP/AFC).  USB-C+USB-A=5V/3A
3. EU штекер
4. Размер: 88 * 41.5 * 26mm, общий вес: 67g
5. Набор с кабелем 1м C на iP</t>
  </si>
  <si>
    <t xml:space="preserve">http://gofile.me/649X4/MiRvuTQTP</t>
  </si>
  <si>
    <t xml:space="preserve">BAS73A Source PD20W зарядное устройство (EU)</t>
  </si>
  <si>
    <t xml:space="preserve">6941991122699</t>
  </si>
  <si>
    <r>
      <rPr>
        <sz val="9"/>
        <color theme="1" tint="0.2499"/>
        <rFont val="微软雅黑"/>
        <family val="0"/>
        <charset val="134"/>
      </rPr>
      <t xml:space="preserve">1. Материал: ABS
2. Выход: USB-C: 20W (PD/QC/FCP/AFC</t>
    </r>
    <r>
      <rPr>
        <sz val="9"/>
        <color theme="1" tint="0.2499"/>
        <rFont val="Noto Sans"/>
        <family val="2"/>
      </rPr>
      <t xml:space="preserve">）
</t>
    </r>
    <r>
      <rPr>
        <sz val="9"/>
        <color theme="1" tint="0.2499"/>
        <rFont val="微软雅黑"/>
        <family val="0"/>
        <charset val="134"/>
      </rPr>
      <t xml:space="preserve">3. EU штекер
4. Размер: 88 * 41.5 * 26mm, вес: 39g</t>
    </r>
  </si>
  <si>
    <t xml:space="preserve">http://gofile.me/649X4/Wm0aZNRuj</t>
  </si>
  <si>
    <t xml:space="preserve">http://gofile.me/649X4/zEUsA1sG6</t>
  </si>
  <si>
    <t xml:space="preserve">6941991122705</t>
  </si>
  <si>
    <t xml:space="preserve">BAS73A Source PD20W зарядное устройство набор (C на iP)(EU)</t>
  </si>
  <si>
    <t xml:space="preserve">6941991122712</t>
  </si>
  <si>
    <r>
      <rPr>
        <sz val="9"/>
        <color theme="1" tint="0.2499"/>
        <rFont val="微软雅黑"/>
        <family val="0"/>
        <charset val="134"/>
      </rPr>
      <t xml:space="preserve">1. Материал: ABS
2. Выход: USB-C: 20W (PD/QC/FCP/AFC</t>
    </r>
    <r>
      <rPr>
        <sz val="9"/>
        <color theme="1" tint="0.2499"/>
        <rFont val="Noto Sans"/>
        <family val="2"/>
      </rPr>
      <t xml:space="preserve">）
</t>
    </r>
    <r>
      <rPr>
        <sz val="9"/>
        <color theme="1" tint="0.2499"/>
        <rFont val="微软雅黑"/>
        <family val="0"/>
        <charset val="134"/>
      </rPr>
      <t xml:space="preserve">3. EU штекер
4. Размер: 88 * 41.5 * 26mm, общий вес: 64g
5. Набор с кабелем 1м C на iP</t>
    </r>
  </si>
  <si>
    <t xml:space="preserve">http://gofile.me/649X4/Tq8shr5S5</t>
  </si>
  <si>
    <t xml:space="preserve">6941991122729</t>
  </si>
  <si>
    <t xml:space="preserve">BAS73A Source PD20W зарядное устройство набор (C на C)(EU)</t>
  </si>
  <si>
    <t xml:space="preserve">6941991122736</t>
  </si>
  <si>
    <r>
      <rPr>
        <sz val="9"/>
        <color theme="1" tint="0.2499"/>
        <rFont val="微软雅黑"/>
        <family val="0"/>
        <charset val="134"/>
      </rPr>
      <t xml:space="preserve">1. Материал: ABS
2. Выход: USB-C: 20W (PD/QC/FCP/AFC</t>
    </r>
    <r>
      <rPr>
        <sz val="9"/>
        <color theme="1" tint="0.2499"/>
        <rFont val="Noto Sans"/>
        <family val="2"/>
      </rPr>
      <t xml:space="preserve">）
</t>
    </r>
    <r>
      <rPr>
        <sz val="9"/>
        <color theme="1" tint="0.2499"/>
        <rFont val="微软雅黑"/>
        <family val="0"/>
        <charset val="134"/>
      </rPr>
      <t xml:space="preserve">3. EU штекер
4. Размер: 88 * 41.5 * 26mm, общий вес: 64g
5. Набор с кабелем 1м C на C 60W</t>
    </r>
  </si>
  <si>
    <t xml:space="preserve">http://gofile.me/649X4/Gvs7OO8KO</t>
  </si>
  <si>
    <t xml:space="preserve">6941991122743</t>
  </si>
  <si>
    <t xml:space="preserve">BAS72A Source QC3.0 зарядное устройство (EU)</t>
  </si>
  <si>
    <t xml:space="preserve">6941991122637</t>
  </si>
  <si>
    <t xml:space="preserve">15.1*10.1*4</t>
  </si>
  <si>
    <r>
      <rPr>
        <sz val="9"/>
        <color theme="1" tint="0.2499"/>
        <rFont val="微软雅黑"/>
        <family val="0"/>
        <charset val="134"/>
      </rPr>
      <t xml:space="preserve">1. Материал: ABS
2. Выход: USB-A: 18W (QC/FCP/AFC</t>
    </r>
    <r>
      <rPr>
        <sz val="9"/>
        <color theme="1" tint="0.2499"/>
        <rFont val="Noto Sans"/>
        <family val="2"/>
      </rPr>
      <t xml:space="preserve">）
</t>
    </r>
    <r>
      <rPr>
        <sz val="9"/>
        <color theme="1" tint="0.2499"/>
        <rFont val="微软雅黑"/>
        <family val="0"/>
        <charset val="134"/>
      </rPr>
      <t xml:space="preserve">3. EU штекер
4. Размер: 88 * 41.5 * 26mm, вес: 40g</t>
    </r>
  </si>
  <si>
    <t xml:space="preserve">http://gofile.me/649X4/vnGFj4CpQ</t>
  </si>
  <si>
    <t xml:space="preserve">http://gofile.me/649X4/SKNBMz7kM</t>
  </si>
  <si>
    <t xml:space="preserve">6941991122644</t>
  </si>
  <si>
    <t xml:space="preserve">BAS72A Source QC3.0 зарядное устройство набор (Micro)(EU)</t>
  </si>
  <si>
    <t xml:space="preserve">6941991122651</t>
  </si>
  <si>
    <r>
      <rPr>
        <sz val="9"/>
        <color theme="1" tint="0.2499"/>
        <rFont val="微软雅黑"/>
        <family val="0"/>
        <charset val="134"/>
      </rPr>
      <t xml:space="preserve">1. Материал: ABS
2. Выход: USB-A: 18W (QC/FCP/AFC</t>
    </r>
    <r>
      <rPr>
        <sz val="9"/>
        <color theme="1" tint="0.2499"/>
        <rFont val="Noto Sans"/>
        <family val="2"/>
      </rPr>
      <t xml:space="preserve">）
</t>
    </r>
    <r>
      <rPr>
        <sz val="9"/>
        <color theme="1" tint="0.2499"/>
        <rFont val="微软雅黑"/>
        <family val="0"/>
        <charset val="134"/>
      </rPr>
      <t xml:space="preserve">3. EU штекер
4. Размер: 88 * 41.5 * 26mm, общий вес: 65g
5. Набор с кабелем 1м Micro charging cable</t>
    </r>
  </si>
  <si>
    <t xml:space="preserve">http://gofile.me/649X4/Zr6MSu5MB</t>
  </si>
  <si>
    <t xml:space="preserve">6941991122668</t>
  </si>
  <si>
    <t xml:space="preserve">BAS72A Source QC3.0 зарядное устройство набор (Type-C)(EU)</t>
  </si>
  <si>
    <t xml:space="preserve">6941991122675</t>
  </si>
  <si>
    <r>
      <rPr>
        <sz val="9"/>
        <color theme="1" tint="0.2499"/>
        <rFont val="微软雅黑"/>
        <family val="0"/>
        <charset val="134"/>
      </rPr>
      <t xml:space="preserve">1. Материал: ABS
2. Выход: USB-A: 18W (QC/FCP/AFC</t>
    </r>
    <r>
      <rPr>
        <sz val="9"/>
        <color theme="1" tint="0.2499"/>
        <rFont val="Noto Sans"/>
        <family val="2"/>
      </rPr>
      <t xml:space="preserve">）
</t>
    </r>
    <r>
      <rPr>
        <sz val="9"/>
        <color theme="1" tint="0.2499"/>
        <rFont val="微软雅黑"/>
        <family val="0"/>
        <charset val="134"/>
      </rPr>
      <t xml:space="preserve">3. EU штекер
4. Размер: 88 * 41.5 * 26mm, общий вес: 65g
5. Набор с кабелем 1м Type-C charging cable</t>
    </r>
  </si>
  <si>
    <t xml:space="preserve">http://gofile.me/649X4/eNsYjsPun</t>
  </si>
  <si>
    <t xml:space="preserve">6941991122682</t>
  </si>
  <si>
    <t xml:space="preserve">BAS71A Source зарядное устройство (EU)</t>
  </si>
  <si>
    <t xml:space="preserve">6941991122552</t>
  </si>
  <si>
    <t xml:space="preserve">1. Материал: ABS
2. Выход: USB-A: 5V/2.1A
3. EU штекер
4. Размер: 77.5 * 38.5 * 24.5mm, вес: 32g</t>
  </si>
  <si>
    <t xml:space="preserve">http://gofile.me/649X4/f1mjAaUrs</t>
  </si>
  <si>
    <t xml:space="preserve">http://gofile.me/649X4/gstqc79gJ</t>
  </si>
  <si>
    <t xml:space="preserve">6941991122569</t>
  </si>
  <si>
    <t xml:space="preserve">BAS71A Source зарядное устройство набор (iP)(EU)</t>
  </si>
  <si>
    <t xml:space="preserve">6941991122576</t>
  </si>
  <si>
    <t xml:space="preserve">1. Материал: ABS
2. Выход: USB-A: 5V/2.1A
3. EU штекер
4. Размер: 77.5 * 38.5 * 24.5mm, общий вес: 57g
5. Набор с кабелем 1м Lightning</t>
  </si>
  <si>
    <t xml:space="preserve">http://gofile.me/649X4/pr7bjtPgl</t>
  </si>
  <si>
    <t xml:space="preserve">6941991122583</t>
  </si>
  <si>
    <t xml:space="preserve">BAS71A Source зарядное устройство набор (Micro)(EU)</t>
  </si>
  <si>
    <t xml:space="preserve">6941991122590</t>
  </si>
  <si>
    <t xml:space="preserve">1. Материал: ABS
2. Выход: USB-A: 5V/2.1A
3. EU штекер
4. Размер: 77.5 * 38.5 * 24.5mm, общий вес: 57g
5. Набор с кабелем 1м Micro</t>
  </si>
  <si>
    <t xml:space="preserve">http://gofile.me/649X4/20jSs0q21</t>
  </si>
  <si>
    <t xml:space="preserve">6941991122606</t>
  </si>
  <si>
    <t xml:space="preserve">BAS71A Source зарядное устройство набор (Type-C)(EU)</t>
  </si>
  <si>
    <t xml:space="preserve">6941991122613</t>
  </si>
  <si>
    <t xml:space="preserve">1. Материал: ABS
2. Выход: USB-A: 5V/2.1A
3. EU штекер
4. Размер: 77.5 * 38.5 * 24.5mm, общий вес: 57g
5. Набор с кабелем 1м Type-C</t>
  </si>
  <si>
    <t xml:space="preserve">http://gofile.me/649X4/3vDeS2lQ6</t>
  </si>
  <si>
    <t xml:space="preserve">6941991122620</t>
  </si>
  <si>
    <t xml:space="preserve">BAS45A Potential PD30W+QC3.0 зарядное устройство (EU)</t>
  </si>
  <si>
    <t xml:space="preserve">6941991113871</t>
  </si>
  <si>
    <t xml:space="preserve">18.6*8.1*3</t>
  </si>
  <si>
    <t xml:space="preserve">57.8*37.7*49</t>
  </si>
  <si>
    <r>
      <rPr>
        <sz val="9"/>
        <color theme="1" tint="0.2499"/>
        <rFont val="微软雅黑"/>
        <family val="0"/>
        <charset val="134"/>
      </rPr>
      <t xml:space="preserve">1. Материал: ABS
2. Выход: Type-C: 30W (PD/QC/FCP/AFC);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Type-C+USB-A</t>
    </r>
    <r>
      <rPr>
        <sz val="9"/>
        <color theme="1" tint="0.2499"/>
        <rFont val="Noto Sans"/>
        <family val="2"/>
      </rPr>
      <t xml:space="preserve">：</t>
    </r>
    <r>
      <rPr>
        <sz val="9"/>
        <color theme="1" tint="0.2499"/>
        <rFont val="微软雅黑"/>
        <family val="0"/>
        <charset val="134"/>
      </rPr>
      <t xml:space="preserve">5V/3A
3. EU штекер.
4. Размер: 76.4*44*29mm; Вес: 49g</t>
    </r>
  </si>
  <si>
    <t xml:space="preserve">http://gofile.me/649X4/CXRbbFX4v</t>
  </si>
  <si>
    <t xml:space="preserve">BAS44A Potential PD20W+QC3.0 зарядное устройство (EU)</t>
  </si>
  <si>
    <t xml:space="preserve">6941991113840</t>
  </si>
  <si>
    <r>
      <rPr>
        <sz val="9"/>
        <color theme="1" tint="0.2499"/>
        <rFont val="微软雅黑"/>
        <family val="0"/>
        <charset val="134"/>
      </rPr>
      <t xml:space="preserve">1. Материал: ABS
2. Выход: Type-C: 20W (PD/QC/FCP/AFC);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Type-C+USB-A</t>
    </r>
    <r>
      <rPr>
        <sz val="9"/>
        <color theme="1" tint="0.2499"/>
        <rFont val="Noto Sans"/>
        <family val="2"/>
      </rPr>
      <t xml:space="preserve">：</t>
    </r>
    <r>
      <rPr>
        <sz val="9"/>
        <color theme="1" tint="0.2499"/>
        <rFont val="微软雅黑"/>
        <family val="0"/>
        <charset val="134"/>
      </rPr>
      <t xml:space="preserve">5V/3A
3. EU штекер.
4. Размер: 76.4*44*29mm; Вес: 40g</t>
    </r>
  </si>
  <si>
    <t xml:space="preserve">http://gofile.me/649X4/NqAcCkhlp</t>
  </si>
  <si>
    <t xml:space="preserve">BAS43A Potential зарядное устройство с одним портом PD20W (EU)</t>
  </si>
  <si>
    <t xml:space="preserve">6941991113819</t>
  </si>
  <si>
    <t xml:space="preserve">1. Материал: ABS
2. Выход: Type-C: 20W (PD/QC/FCP/AFC)
3. EU штекер.
4. Размер: 76.4*44*29mm; Вес: 39g</t>
  </si>
  <si>
    <t xml:space="preserve">http://gofile.me/649X4/bGaQys0Xy</t>
  </si>
  <si>
    <t xml:space="preserve">BAS42A Potential зарядное устройство с одним портом QC3.0 (EU)</t>
  </si>
  <si>
    <t xml:space="preserve">6941991113789</t>
  </si>
  <si>
    <t xml:space="preserve">1. Материал: ABS
2. Выход: USB-A: 18W (QC/FCP/AFC)
3. EU штекер.
4. Размер: 74.5*41*29mm; Вес: 37g</t>
  </si>
  <si>
    <t xml:space="preserve">http://gofile.me/649X4/Zv26AsRrb</t>
  </si>
  <si>
    <t xml:space="preserve">http://gofile.me/649X4/abznmFobj</t>
  </si>
  <si>
    <t xml:space="preserve">BAS42A Potential зарядное устройство с одним портом QC3.0 набор (Micro)(EU)</t>
  </si>
  <si>
    <t xml:space="preserve">6941991113796</t>
  </si>
  <si>
    <t xml:space="preserve">18.5*8.1*3.2</t>
  </si>
  <si>
    <t xml:space="preserve">1. Материал: ABS
2. Выход: USB-A: 18W (QC/FCP/AFC)
3. EU штекер.
4. Размер: 74.5*41*29mm; Общий вес: 57g
5. Набор с кабелем 1м Micro</t>
  </si>
  <si>
    <t xml:space="preserve">http://gofile.me/649X4/oN1hw29rI</t>
  </si>
  <si>
    <t xml:space="preserve">BAS42A Potential зарядное устройство с одним портом QC3.0 набор (Type-C)(EU)</t>
  </si>
  <si>
    <t xml:space="preserve">6941991113802</t>
  </si>
  <si>
    <t xml:space="preserve">1. Материал: ABS
2. Выход: USB-A: 18W (QC/FCP/AFC)
3. EU штекер.
4. Размер: 74.5*41*29mm; Общий вес: 57g
5. Набор с кабелем 1м Type-C</t>
  </si>
  <si>
    <t xml:space="preserve">http://gofile.me/649X4/CCpnOYglw</t>
  </si>
  <si>
    <t xml:space="preserve">BAS41A Potential зарядное устройство с двумя портами (EU)</t>
  </si>
  <si>
    <t xml:space="preserve">6941991113741</t>
  </si>
  <si>
    <t xml:space="preserve">1. Материал: ABS
2. Выход: USB-A1/A2: 5V/2A; Общий выход: 5V/2A
3. EU штекер.
4. Размер: 74.5*41*29mm; Вес: 33g</t>
  </si>
  <si>
    <t xml:space="preserve">http://gofile.me/649X4/Fn4UVaCow</t>
  </si>
  <si>
    <t xml:space="preserve">EU штекер</t>
  </si>
  <si>
    <t xml:space="preserve">BA114A Energy single port PD35W charger(EU)</t>
  </si>
  <si>
    <t xml:space="preserve">6941991129698</t>
  </si>
  <si>
    <t xml:space="preserve">15.2*10*4</t>
  </si>
  <si>
    <t xml:space="preserve">1. Материал: ABS
2. Выход: USB-C: 35W (PD/QC/FCC/AFC)
3. EU штекер
4. Размер: 82.5 * 50 * 30mm.Вес: 57g</t>
  </si>
  <si>
    <t xml:space="preserve">http://gofile.me/649X4/G3hOyGhpP</t>
  </si>
  <si>
    <t xml:space="preserve">BA114A Energy single port PD35W charger set(C to C)(EU)</t>
  </si>
  <si>
    <t xml:space="preserve">6941991129704</t>
  </si>
  <si>
    <t xml:space="preserve">1. Материал: ABS
2. Выход: USB-C: 35W (PD/QC/FCC/AFC)
3. EU штекер
4. Размер: 82.5 * 50 * 30mm.Общий вес: 82g
5. Набор с кабелем 1м C на C 60W</t>
  </si>
  <si>
    <t xml:space="preserve">http://gofile.me/649X4/YY7rXsGCq</t>
  </si>
  <si>
    <t xml:space="preserve">BA113A Energy PD30W+QC3.0 charger(EU)</t>
  </si>
  <si>
    <t xml:space="preserve">6941991129674</t>
  </si>
  <si>
    <r>
      <rPr>
        <sz val="9"/>
        <color theme="1" tint="0.2499"/>
        <rFont val="微软雅黑"/>
        <family val="0"/>
        <charset val="134"/>
      </rPr>
      <t xml:space="preserve">1. Материал: ABS
2. Выход: 
USB-C: 30W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t>
    </r>
    <r>
      <rPr>
        <sz val="9"/>
        <color theme="1" tint="0.2499"/>
        <rFont val="微软雅黑"/>
        <family val="0"/>
        <charset val="134"/>
      </rPr>
      <t xml:space="preserve">.
USB-C+USB-A</t>
    </r>
    <r>
      <rPr>
        <sz val="9"/>
        <color theme="1" tint="0.2499"/>
        <rFont val="Noto Sans"/>
        <family val="2"/>
      </rPr>
      <t xml:space="preserve">：</t>
    </r>
    <r>
      <rPr>
        <sz val="9"/>
        <color theme="1" tint="0.2499"/>
        <rFont val="微软雅黑"/>
        <family val="0"/>
        <charset val="134"/>
      </rPr>
      <t xml:space="preserve">5V/3A
3. EU штекер
4. Размер: 82.5 * 50 * 30mm.Вес: 52g</t>
    </r>
  </si>
  <si>
    <t xml:space="preserve">http://gofile.me/649X4/gN1FVp6ug</t>
  </si>
  <si>
    <t xml:space="preserve">BA113A Energy PD30W+QC3.0 charger set(C to C)(EU)</t>
  </si>
  <si>
    <t xml:space="preserve">6941991129681</t>
  </si>
  <si>
    <r>
      <rPr>
        <sz val="9"/>
        <color theme="1" tint="0.2499"/>
        <rFont val="微软雅黑"/>
        <family val="0"/>
        <charset val="134"/>
      </rPr>
      <t xml:space="preserve">1. Материал: ABS
2. Выход:  
USB-C: 30W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t>
    </r>
    <r>
      <rPr>
        <sz val="9"/>
        <color theme="1" tint="0.2499"/>
        <rFont val="微软雅黑"/>
        <family val="0"/>
        <charset val="134"/>
      </rPr>
      <t xml:space="preserve">.
USB-C+USB-A</t>
    </r>
    <r>
      <rPr>
        <sz val="9"/>
        <color theme="1" tint="0.2499"/>
        <rFont val="Noto Sans"/>
        <family val="2"/>
      </rPr>
      <t xml:space="preserve">：</t>
    </r>
    <r>
      <rPr>
        <sz val="9"/>
        <color theme="1" tint="0.2499"/>
        <rFont val="微软雅黑"/>
        <family val="0"/>
        <charset val="134"/>
      </rPr>
      <t xml:space="preserve">5V/3A
3. EU штекер
4. Размер: 82.5 * 50 * 30mm.Общий вес: 77g
5. Набор с кабелем 1м C на C 60W</t>
    </r>
  </si>
  <si>
    <t xml:space="preserve">http://gofile.me/649X4/sBcBwxNQO</t>
  </si>
  <si>
    <t xml:space="preserve">BA112A Star PD20W зарядное устройство (EU)</t>
  </si>
  <si>
    <t xml:space="preserve">6941991127618</t>
  </si>
  <si>
    <t xml:space="preserve">10.5*7.1*2.5</t>
  </si>
  <si>
    <t xml:space="preserve">1. Материал: ABS
2. Выход: USB-C: 20W (PD)
3. EU штекер
4. Размер: 80 * 39 * 23mm; Вес: 38g</t>
  </si>
  <si>
    <t xml:space="preserve">http://gofile.me/649X4/JLGJONFgO</t>
  </si>
  <si>
    <t xml:space="preserve">BA112A Star PD20W зарядное устройство набор (C на C)(EU)</t>
  </si>
  <si>
    <t xml:space="preserve">6941991127625</t>
  </si>
  <si>
    <t xml:space="preserve">1. Материал: ABS
2. Выход: USB-C: 20W (PD)
3. EU штекер
4. Размер: 80 * 39 * 23mm; Total Вес: 63g
5. Набор с кабелем 1m C на C 60W</t>
  </si>
  <si>
    <t xml:space="preserve">http://gofile.me/649X4/4IVxEOzbs</t>
  </si>
  <si>
    <t xml:space="preserve">BA111A Star QC3.0 зарядное устройство (EU)</t>
  </si>
  <si>
    <t xml:space="preserve">6941991127588</t>
  </si>
  <si>
    <t xml:space="preserve">10.4*7*2.5</t>
  </si>
  <si>
    <t xml:space="preserve">1. Материал: ABS
2. Выход: USB-A: 15W (QC)
3. EU штекер
4. Размер: 80 * 39 * 23mm; Вес: 33g</t>
  </si>
  <si>
    <t xml:space="preserve">http://gofile.me/649X4/97NoRlJF1</t>
  </si>
  <si>
    <t xml:space="preserve">BA111A Star QC3.0 зарядное устройство  набор (Micro)(EU)</t>
  </si>
  <si>
    <t xml:space="preserve">6941991127595</t>
  </si>
  <si>
    <t xml:space="preserve">1. Материал: ABS
2. Выход: USB-A: 15W (QC)
3. EU штекер
4. Размер: 80 * 39 * 23mm; Total Вес: 58g
5. Набор с кабелем 1m Micro</t>
  </si>
  <si>
    <t xml:space="preserve">http://gofile.me/649X4/owTe5cMWf</t>
  </si>
  <si>
    <t xml:space="preserve">BA111A Star QC3.0 зарядное устройство  набор (Type-C)(EU)</t>
  </si>
  <si>
    <t xml:space="preserve">6941991127601</t>
  </si>
  <si>
    <t xml:space="preserve">1. Материал: ABS
2. Выход: USB-A: 15W (QC)
3. EU штекер
4. Размер: 80 * 39 * 23mm; Total Вес: 58g
5. Набор с кабелем 1m Type-C</t>
  </si>
  <si>
    <t xml:space="preserve">http://gofile.me/649X4/p7rM5qPN2</t>
  </si>
  <si>
    <t xml:space="preserve">BA110A Lemi зарядное устройство (EU)</t>
  </si>
  <si>
    <t xml:space="preserve">6941991126949</t>
  </si>
  <si>
    <t xml:space="preserve">10.4*7.1*2.5</t>
  </si>
  <si>
    <t xml:space="preserve">1. Материал: ABS
2. Выход: USB-A: 5V/1.5A
3. EU штекер
4. Размер: 80 * 39 * 23mm; Вес: 32g</t>
  </si>
  <si>
    <t xml:space="preserve">http://gofile.me/649X4/eUf3l0mrK</t>
  </si>
  <si>
    <t xml:space="preserve">BA110A Lemi зарядное устройство  набор (Micro)(EU)</t>
  </si>
  <si>
    <t xml:space="preserve">6941991126956</t>
  </si>
  <si>
    <t xml:space="preserve">1. Материал: ABS
2. Выход: USB-A: 5V/1.5A
3. EU штекер
4. Размер: 80 * 39 * 23mm; Общий вес: 57g
5. Набор с кабелем 1м Micro</t>
  </si>
  <si>
    <t xml:space="preserve">http://gofile.me/649X4/VCijRkC9G</t>
  </si>
  <si>
    <t xml:space="preserve">BA110A Lemi зарядное устройство  набор (Type-C)(EU)</t>
  </si>
  <si>
    <t xml:space="preserve">6941991126963</t>
  </si>
  <si>
    <t xml:space="preserve">1. Материал: ABS
2. Выход: USB-A: 5V/1.5A
3. EU штекер
4. Размер: 80 * 39 * 23mm; Общий вес: 57g
5. Набор с кабелем 1m Type-C</t>
  </si>
  <si>
    <t xml:space="preserve">http://gofile.me/649X4/HxDQ36Je2</t>
  </si>
  <si>
    <t xml:space="preserve">BA109A Star PD40W зарядное устройство (EU)</t>
  </si>
  <si>
    <t xml:space="preserve">6941991126888</t>
  </si>
  <si>
    <t xml:space="preserve">14.7*8.6*3.5</t>
  </si>
  <si>
    <t xml:space="preserve">1. Материал: ABS.
2. Выход: USB-C: номинально 40W, максимально 60W  (Поддерживает протокол PD3.2, AVS 9-20V/2A (DPS 3A), PPS 5-11V/4.5A)
3. EU штекер
4. Размер: 90 * 47 * 28mm; вес: 59g</t>
  </si>
  <si>
    <t xml:space="preserve">http://gofile.me/649X4/EgEK5pt8v</t>
  </si>
  <si>
    <t xml:space="preserve">BA109A Star PD40W зарядное устройство набор (C на C)(EU)</t>
  </si>
  <si>
    <t xml:space="preserve">6941991126895</t>
  </si>
  <si>
    <t xml:space="preserve">1. Материал: ABS.
2. Выход: USB-C: номинально 40W, максимально 60W  (Поддерживает протокол PD3.2, AVS 9-20V/2A (DPS 3A), PPS 5-11V/4.5A)
3. EU штекер
4. Размер: 90 * 47 * 28mm; Общий вес: 84g
5. Набор с кабелем 1м C на C 60W</t>
  </si>
  <si>
    <t xml:space="preserve">http://gofile.me/649X4/Buz9qoHJi</t>
  </si>
  <si>
    <t xml:space="preserve">BA108A Stellar PD30W+QC3.0 зарядное устройство (EU)</t>
  </si>
  <si>
    <t xml:space="preserve">6941991125379</t>
  </si>
  <si>
    <r>
      <rPr>
        <sz val="9"/>
        <color theme="1" tint="0.2499"/>
        <rFont val="微软雅黑"/>
        <family val="0"/>
        <charset val="134"/>
      </rPr>
      <t xml:space="preserve">1. Материал: ABS 
2. Выход: 
USB-C: 30W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 
USB-C+USB-A</t>
    </r>
    <r>
      <rPr>
        <sz val="9"/>
        <color theme="1" tint="0.2499"/>
        <rFont val="Noto Sans"/>
        <family val="2"/>
      </rPr>
      <t xml:space="preserve">：</t>
    </r>
    <r>
      <rPr>
        <sz val="9"/>
        <color theme="1" tint="0.2499"/>
        <rFont val="微软雅黑"/>
        <family val="0"/>
        <charset val="134"/>
      </rPr>
      <t xml:space="preserve">5V/3A
3. EU штекер
4. Размер: 89.5 * 47 * 28mm, Вес: 53g</t>
    </r>
  </si>
  <si>
    <t xml:space="preserve">http://gofile.me/649X4/Z0uaEUPnK</t>
  </si>
  <si>
    <t xml:space="preserve">BA108A Stellar PD30W+QC3.0 зарядное устройство  набор (C на iP)(EU)</t>
  </si>
  <si>
    <t xml:space="preserve">6941991125386</t>
  </si>
  <si>
    <r>
      <rPr>
        <sz val="9"/>
        <color theme="1" tint="0.2499"/>
        <rFont val="微软雅黑"/>
        <family val="0"/>
        <charset val="134"/>
      </rPr>
      <t xml:space="preserve">1. Материал: ABS 
2. Выход: 
USB-C: 30W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USB-C+USB-A</t>
    </r>
    <r>
      <rPr>
        <sz val="9"/>
        <color theme="1" tint="0.2499"/>
        <rFont val="Noto Sans"/>
        <family val="2"/>
      </rPr>
      <t xml:space="preserve">：</t>
    </r>
    <r>
      <rPr>
        <sz val="9"/>
        <color theme="1" tint="0.2499"/>
        <rFont val="微软雅黑"/>
        <family val="0"/>
        <charset val="134"/>
      </rPr>
      <t xml:space="preserve">5V/3A
3. EU штекер
4. Размер: 89.5 * 47 * 28mm, общий вес: 78g
5. Набор с кабелем 1м C на iP</t>
    </r>
  </si>
  <si>
    <t xml:space="preserve">http://gofile.me/649X4/bx3dN658y</t>
  </si>
  <si>
    <t xml:space="preserve">BA108A Stellar PD30W+QC3.0 зарядное устройство  набор (C на C)(EU)</t>
  </si>
  <si>
    <t xml:space="preserve">6941991125393</t>
  </si>
  <si>
    <r>
      <rPr>
        <sz val="9"/>
        <color theme="1" tint="0.2499"/>
        <rFont val="微软雅黑"/>
        <family val="0"/>
        <charset val="134"/>
      </rPr>
      <t xml:space="preserve">1. Материал: ABS 
2. Выход: 
USB-C: 30W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USB-C+USB-A</t>
    </r>
    <r>
      <rPr>
        <sz val="9"/>
        <color theme="1" tint="0.2499"/>
        <rFont val="Noto Sans"/>
        <family val="2"/>
      </rPr>
      <t xml:space="preserve">：</t>
    </r>
    <r>
      <rPr>
        <sz val="9"/>
        <color theme="1" tint="0.2499"/>
        <rFont val="微软雅黑"/>
        <family val="0"/>
        <charset val="134"/>
      </rPr>
      <t xml:space="preserve">5V/3A
3. EU штекер
4. Размер: 89.5 * 47 * 28mm, общий вес: 78g
5. Набор с кабелем 1м C на C 60W</t>
    </r>
  </si>
  <si>
    <t xml:space="preserve">http://gofile.me/649X4/OBCsBsoej</t>
  </si>
  <si>
    <t xml:space="preserve">BA107A Stellar PD30W зарядное устройство (EU)</t>
  </si>
  <si>
    <t xml:space="preserve">6941991125348</t>
  </si>
  <si>
    <t xml:space="preserve">1. Материал: ABS 
2. Выход: USB-C: 30W (PD/QC/FCC/AFC)
3. EU штекер
4. Размер: 89.5 * 47 * 28mm, Вес: 52g</t>
  </si>
  <si>
    <t xml:space="preserve">http://gofile.me/649X4/Bkudc6e6H</t>
  </si>
  <si>
    <t xml:space="preserve">BA105A Stellar зарядное устройство  набор (Micro)(EU)</t>
  </si>
  <si>
    <t xml:space="preserve">6941991125294</t>
  </si>
  <si>
    <r>
      <rPr>
        <sz val="9"/>
        <color theme="1" tint="0.2499"/>
        <rFont val="微软雅黑"/>
        <family val="0"/>
        <charset val="134"/>
      </rPr>
      <t xml:space="preserve">1. Материал: ABS 
2. Выход: 
USB-C: 5V/3A; 
USB-A1/A2</t>
    </r>
    <r>
      <rPr>
        <sz val="9"/>
        <color theme="1" tint="0.2499"/>
        <rFont val="Noto Sans"/>
        <family val="2"/>
      </rPr>
      <t xml:space="preserve">：</t>
    </r>
    <r>
      <rPr>
        <sz val="9"/>
        <color theme="1" tint="0.2499"/>
        <rFont val="微软雅黑"/>
        <family val="0"/>
        <charset val="134"/>
      </rPr>
      <t xml:space="preserve">5V/2.4A</t>
    </r>
    <r>
      <rPr>
        <sz val="9"/>
        <color theme="1" tint="0.2499"/>
        <rFont val="Noto Sans"/>
        <family val="2"/>
      </rPr>
      <t xml:space="preserve">；
</t>
    </r>
    <r>
      <rPr>
        <sz val="9"/>
        <color theme="1" tint="0.2499"/>
        <rFont val="微软雅黑"/>
        <family val="0"/>
        <charset val="134"/>
      </rPr>
      <t xml:space="preserve">USB-C+USB-A1+USB-A2</t>
    </r>
    <r>
      <rPr>
        <sz val="9"/>
        <color theme="1" tint="0.2499"/>
        <rFont val="Noto Sans"/>
        <family val="2"/>
      </rPr>
      <t xml:space="preserve">：</t>
    </r>
    <r>
      <rPr>
        <sz val="9"/>
        <color theme="1" tint="0.2499"/>
        <rFont val="微软雅黑"/>
        <family val="0"/>
        <charset val="134"/>
      </rPr>
      <t xml:space="preserve">5V/3A
3. EU штекер
4. Размер: 89.5 * 47 * 28mm, общий вес: 70g
5. Набор с кабелем 1м Micro</t>
    </r>
  </si>
  <si>
    <t xml:space="preserve">http://gofile.me/649X4/fF5PiEald</t>
  </si>
  <si>
    <t xml:space="preserve">BA104A Pudding PD20W+QC3.0 зарядное устройство (EU)</t>
  </si>
  <si>
    <t xml:space="preserve">6941991124112</t>
  </si>
  <si>
    <t xml:space="preserve">1. Материал: ABS
2. Выход: 
USB-C: 20W (PD/QC/FCP/AFC).
USB-A: 18W (QC/FCP/AFC). 
USB-C+USB-A: 5V/3A
3. EU штекер
4. Размер: 76 * 34 * 34mm, Вес: 44g</t>
  </si>
  <si>
    <t xml:space="preserve">http://gofile.me/649X4/bFqzHP3Fn</t>
  </si>
  <si>
    <t xml:space="preserve">BA103A Pudding PD20W зарядное устройство (EU)</t>
  </si>
  <si>
    <t xml:space="preserve">6941991124082</t>
  </si>
  <si>
    <t xml:space="preserve">1. Материал: ABS
2. Выход: USB-C: 20W (PD/QC/FCP/AFC)
3. EU штекер
4. Размер: 76 * 34 * 34mm, Вес: 34g</t>
  </si>
  <si>
    <t xml:space="preserve">http://gofile.me/649X4/R3gjWMUDN</t>
  </si>
  <si>
    <t xml:space="preserve">BA103A Pudding PD20W зарядное устройство набор (C на iP)(EU)</t>
  </si>
  <si>
    <t xml:space="preserve">6941991124099</t>
  </si>
  <si>
    <t xml:space="preserve">1. Материал: ABS
2. Выход: USB-C: 20W (PD/QC/FCP/AFC)
3. EU штекер
4. Размер: 76 * 34 * 34mm, общий вес: 60g
5. Набор с кабелем 1м С на iP.</t>
  </si>
  <si>
    <t xml:space="preserve">http://gofile.me/649X4/qkRug2Gyi</t>
  </si>
  <si>
    <t xml:space="preserve">BA103A Pudding PD20W зарядное устройство набор (C на C)(EU)</t>
  </si>
  <si>
    <t xml:space="preserve">6941991124105</t>
  </si>
  <si>
    <t xml:space="preserve">1. Материал: ABS
2. Выход: USB-C: 20W (PD/QC/FCP/AFC).
3. EU штекер
4. Размер: 76 * 34 * 34mm, общий вес: 60g
5. Набор с кабелем 1м С на C 60W</t>
  </si>
  <si>
    <t xml:space="preserve">http://gofile.me/649X4/49hrh0ouL</t>
  </si>
  <si>
    <t xml:space="preserve">BA102A Pudding QC3.0 зарядное устройство (EU)</t>
  </si>
  <si>
    <t xml:space="preserve">6941991124051</t>
  </si>
  <si>
    <t xml:space="preserve">1. Материал: ABS
2. Выход: USB-A: 18W (QC/FCP/AFC)
3. EU штекер
4. Размер: 76 * 34 * 34mm, Вес: 35g</t>
  </si>
  <si>
    <t xml:space="preserve">http://gofile.me/649X4/zH9osNaxu</t>
  </si>
  <si>
    <t xml:space="preserve">BA102A Pudding QC3.0 зарядное устройство набор (Micro)(EU)</t>
  </si>
  <si>
    <t xml:space="preserve">6941991124068</t>
  </si>
  <si>
    <t xml:space="preserve">1. Материал: ABS
2. Выход: USB-A: 18W (QC/FCP/AFC)
3. EU штекер
4. Размер: 76 * 34 * 34mm, общий вес: 60g
5. Набор с кабелем 1м Micro.</t>
  </si>
  <si>
    <t xml:space="preserve">http://gofile.me/649X4/oJZLe96ww</t>
  </si>
  <si>
    <t xml:space="preserve">BA102A Pudding QC3.0 зарядное устройство набор (Type-C)(EU)</t>
  </si>
  <si>
    <t xml:space="preserve">6941991124075</t>
  </si>
  <si>
    <t xml:space="preserve">1. Материал: ABS
2. Выход: USB-A: 18W (QC/FCP/AFC)
3. EU штекер
4. Размер: 76 * 34 * 34mm, общий вес: 60g
5. Набор с кабелем 1м Type-C</t>
  </si>
  <si>
    <t xml:space="preserve">http://gofile.me/649X4/EOiyd1Q0J</t>
  </si>
  <si>
    <t xml:space="preserve">BA101A Pudding зарядное устройство (EU)</t>
  </si>
  <si>
    <t xml:space="preserve">6941991124013</t>
  </si>
  <si>
    <t xml:space="preserve">1. Материал: ABS
2. Выход: USB-A: 5V/2.1A
3. EU штекер
4. Размер: 76 * 34 * 34mm, Вес: 32g</t>
  </si>
  <si>
    <t xml:space="preserve">http://gofile.me/649X4/SLVNHw2CW</t>
  </si>
  <si>
    <t xml:space="preserve">BA101A Pudding зарядное устройство набор (iP)(EU)</t>
  </si>
  <si>
    <t xml:space="preserve">6941991124020</t>
  </si>
  <si>
    <t xml:space="preserve">1. Материал: ABS
2. Выход: USB-A: 5V/2.1A
3. EU штекер
4. Размер: 76 * 34 * 34mm, общий вес: 57g
5. Набор с кабелем 1м Lightning</t>
  </si>
  <si>
    <t xml:space="preserve">http://gofile.me/649X4/nxrDKXANI</t>
  </si>
  <si>
    <t xml:space="preserve">BA101A Pudding зарядное устройство набор (Mciro)(EU)</t>
  </si>
  <si>
    <t xml:space="preserve">6941991124037</t>
  </si>
  <si>
    <t xml:space="preserve">1. Материал: ABS
2. Выход: USB-A: 5V/2.1A
3. EU штекер
4. Размер: 76 * 34 * 34mm, общий вес: 57g
5. Набор с кабелем 1м Micro.</t>
  </si>
  <si>
    <t xml:space="preserve">http://gofile.me/649X4/J2AmsQqdJ</t>
  </si>
  <si>
    <t xml:space="preserve">BA101A Pudding зарядное устройство набор (Type-C)(EU)</t>
  </si>
  <si>
    <t xml:space="preserve">6941991124044</t>
  </si>
  <si>
    <t xml:space="preserve">1. Материал: ABS
2. Выход: USB-A: 5V/2.1A
3. EU штекер
4. Размер: 76 * 34 * 34mm, общий вес: 57g
5. Набор с кабелем 1м Type-C</t>
  </si>
  <si>
    <t xml:space="preserve">http://gofile.me/649X4/PFyyZpfHK</t>
  </si>
  <si>
    <t xml:space="preserve">BA100A Original single port PD20W charger(EU)</t>
  </si>
  <si>
    <t xml:space="preserve">6941991124488</t>
  </si>
  <si>
    <t xml:space="preserve">10.6*6.9*3</t>
  </si>
  <si>
    <t xml:space="preserve">1. Материал: ABS
2. Выход: USB-C: 20W (PD/QC/FCC/AFC)
3. EU штекер
4. Размер: 73.5 * 45 * 24.5mm; Вес: 56g</t>
  </si>
  <si>
    <t xml:space="preserve">http://gofile.me/649X4/R8LN8TOHT</t>
  </si>
  <si>
    <t xml:space="preserve">BA99A Breeze PD20W зарядное устройство (EU)</t>
  </si>
  <si>
    <t xml:space="preserve">6941991121357</t>
  </si>
  <si>
    <t xml:space="preserve">18.6*8.2*2.7</t>
  </si>
  <si>
    <r>
      <rPr>
        <sz val="9"/>
        <color theme="1" tint="0.2499"/>
        <rFont val="微软雅黑"/>
        <family val="0"/>
        <charset val="134"/>
      </rPr>
      <t xml:space="preserve">1. Материал: ABS.
2. Выход: USB-C</t>
    </r>
    <r>
      <rPr>
        <sz val="9"/>
        <color theme="1" tint="0.2499"/>
        <rFont val="Noto Sans"/>
        <family val="2"/>
      </rPr>
      <t xml:space="preserve">：</t>
    </r>
    <r>
      <rPr>
        <sz val="9"/>
        <color theme="1" tint="0.2499"/>
        <rFont val="微软雅黑"/>
        <family val="0"/>
        <charset val="134"/>
      </rPr>
      <t xml:space="preserve">20W</t>
    </r>
    <r>
      <rPr>
        <sz val="9"/>
        <color theme="1" tint="0.2499"/>
        <rFont val="Noto Sans"/>
        <family val="2"/>
      </rPr>
      <t xml:space="preserve">（</t>
    </r>
    <r>
      <rPr>
        <sz val="9"/>
        <color theme="1" tint="0.2499"/>
        <rFont val="微软雅黑"/>
        <family val="0"/>
        <charset val="134"/>
      </rPr>
      <t xml:space="preserve">PD/QC/FCP/AFC</t>
    </r>
    <r>
      <rPr>
        <sz val="9"/>
        <color theme="1" tint="0.2499"/>
        <rFont val="Noto Sans"/>
        <family val="2"/>
      </rPr>
      <t xml:space="preserve">）
</t>
    </r>
    <r>
      <rPr>
        <sz val="9"/>
        <color theme="1" tint="0.2499"/>
        <rFont val="微软雅黑"/>
        <family val="0"/>
        <charset val="134"/>
      </rPr>
      <t xml:space="preserve">3. Штекер EU
4. Размер: 79 * 42.5 * 27mm, Вес: 47g</t>
    </r>
  </si>
  <si>
    <t xml:space="preserve">http://gofile.me/649X4/M7ifwgAMF</t>
  </si>
  <si>
    <t xml:space="preserve">http://gofile.me/649X4/ZV9vOpbXb</t>
  </si>
  <si>
    <t xml:space="preserve">BA99A Breeze PD20W зарядное устройство набор (C на iP)(EU)</t>
  </si>
  <si>
    <t xml:space="preserve">6941991121364</t>
  </si>
  <si>
    <t xml:space="preserve">18.6*8.2*3</t>
  </si>
  <si>
    <r>
      <rPr>
        <sz val="9"/>
        <color theme="1" tint="0.2499"/>
        <rFont val="微软雅黑"/>
        <family val="0"/>
        <charset val="134"/>
      </rPr>
      <t xml:space="preserve">1. Материал: ABS.
2. Выход: USB-C</t>
    </r>
    <r>
      <rPr>
        <sz val="9"/>
        <color theme="1" tint="0.2499"/>
        <rFont val="Noto Sans"/>
        <family val="2"/>
      </rPr>
      <t xml:space="preserve">：</t>
    </r>
    <r>
      <rPr>
        <sz val="9"/>
        <color theme="1" tint="0.2499"/>
        <rFont val="微软雅黑"/>
        <family val="0"/>
        <charset val="134"/>
      </rPr>
      <t xml:space="preserve">20W</t>
    </r>
    <r>
      <rPr>
        <sz val="9"/>
        <color theme="1" tint="0.2499"/>
        <rFont val="Noto Sans"/>
        <family val="2"/>
      </rPr>
      <t xml:space="preserve">（</t>
    </r>
    <r>
      <rPr>
        <sz val="9"/>
        <color theme="1" tint="0.2499"/>
        <rFont val="微软雅黑"/>
        <family val="0"/>
        <charset val="134"/>
      </rPr>
      <t xml:space="preserve">PD/QC/FCP/AFC</t>
    </r>
    <r>
      <rPr>
        <sz val="9"/>
        <color theme="1" tint="0.2499"/>
        <rFont val="Noto Sans"/>
        <family val="2"/>
      </rPr>
      <t xml:space="preserve">）
</t>
    </r>
    <r>
      <rPr>
        <sz val="9"/>
        <color theme="1" tint="0.2499"/>
        <rFont val="微软雅黑"/>
        <family val="0"/>
        <charset val="134"/>
      </rPr>
      <t xml:space="preserve">3. Штекер EU
4. Размер: 79 * 42.5 * 27mm, total Вес: 72g
5. Набор с кабелем С на iP</t>
    </r>
  </si>
  <si>
    <t xml:space="preserve">http://gofile.me/649X4/P7NdhFZq8</t>
  </si>
  <si>
    <t xml:space="preserve">BA99A Breeze PD20W зарядное устройство набор (C на C)(EU)</t>
  </si>
  <si>
    <t xml:space="preserve">6941991121371</t>
  </si>
  <si>
    <r>
      <rPr>
        <sz val="9"/>
        <color theme="1" tint="0.2499"/>
        <rFont val="微软雅黑"/>
        <family val="0"/>
        <charset val="134"/>
      </rPr>
      <t xml:space="preserve">1. Материал: ABS.
2. Выход: USB-C</t>
    </r>
    <r>
      <rPr>
        <sz val="9"/>
        <color theme="1" tint="0.2499"/>
        <rFont val="Noto Sans"/>
        <family val="2"/>
      </rPr>
      <t xml:space="preserve">：</t>
    </r>
    <r>
      <rPr>
        <sz val="9"/>
        <color theme="1" tint="0.2499"/>
        <rFont val="微软雅黑"/>
        <family val="0"/>
        <charset val="134"/>
      </rPr>
      <t xml:space="preserve">20W</t>
    </r>
    <r>
      <rPr>
        <sz val="9"/>
        <color theme="1" tint="0.2499"/>
        <rFont val="Noto Sans"/>
        <family val="2"/>
      </rPr>
      <t xml:space="preserve">（</t>
    </r>
    <r>
      <rPr>
        <sz val="9"/>
        <color theme="1" tint="0.2499"/>
        <rFont val="微软雅黑"/>
        <family val="0"/>
        <charset val="134"/>
      </rPr>
      <t xml:space="preserve">PD/QC/FCP/AFC</t>
    </r>
    <r>
      <rPr>
        <sz val="9"/>
        <color theme="1" tint="0.2499"/>
        <rFont val="Noto Sans"/>
        <family val="2"/>
      </rPr>
      <t xml:space="preserve">）
</t>
    </r>
    <r>
      <rPr>
        <sz val="9"/>
        <color theme="1" tint="0.2499"/>
        <rFont val="微软雅黑"/>
        <family val="0"/>
        <charset val="134"/>
      </rPr>
      <t xml:space="preserve">3. Штекер EU
4. Размер: 79 * 42.5 * 27mm, total Вес: 72g
5. Набор с кабелем C на C 60W</t>
    </r>
  </si>
  <si>
    <t xml:space="preserve">http://gofile.me/649X4/P9kjqI24T</t>
  </si>
  <si>
    <t xml:space="preserve">BA98A Ilustre PD30W (2C1A) зарядное устройство  с цифровым дисплеем (EU)</t>
  </si>
  <si>
    <t xml:space="preserve">6941991120510</t>
  </si>
  <si>
    <t xml:space="preserve">14.7*8.6*3.3</t>
  </si>
  <si>
    <r>
      <rPr>
        <sz val="9"/>
        <color theme="1" tint="0.2499"/>
        <rFont val="微软雅黑"/>
        <family val="0"/>
        <charset val="134"/>
      </rPr>
      <t xml:space="preserve">1. Материал: ABS
2. Выход: USB-C1/C2:30W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USB-C1/C2+USB-A=5V/3A</t>
    </r>
    <r>
      <rPr>
        <sz val="9"/>
        <color theme="1" tint="0.2499"/>
        <rFont val="Noto Sans"/>
        <family val="2"/>
      </rPr>
      <t xml:space="preserve">；
</t>
    </r>
    <r>
      <rPr>
        <sz val="9"/>
        <color theme="1" tint="0.2499"/>
        <rFont val="微软雅黑"/>
        <family val="0"/>
        <charset val="134"/>
      </rPr>
      <t xml:space="preserve">Общий выход: 5V/3A
3. EU штекер
4. Размер: 82.5 * 44.5 * 27.5mm, Вес: 63g</t>
    </r>
  </si>
  <si>
    <t xml:space="preserve">http://gofile.me/649X4/g8pvXizr1</t>
  </si>
  <si>
    <t xml:space="preserve">BA97A Ilustre PD30W зарядное устройство  с цифровым дисплеем (EU)</t>
  </si>
  <si>
    <t xml:space="preserve">6941991120480</t>
  </si>
  <si>
    <t xml:space="preserve">1. Материал: ABS
2. Выход: USB-C: 30W (PD/QC/FCC/AFC);
3. EU штекер
4. Размер: 82.5 * 44.5 * 27.5mm, Вес: 61g</t>
  </si>
  <si>
    <t xml:space="preserve">http://gofile.me/649X4/IqdoZumCt</t>
  </si>
  <si>
    <t xml:space="preserve">BA96A Ilustre PD20W+QC3.0 зарядное устройство  с цифровым дисплеем (EU)</t>
  </si>
  <si>
    <t xml:space="preserve">6941991120459</t>
  </si>
  <si>
    <r>
      <rPr>
        <sz val="9"/>
        <color theme="1" tint="0.2499"/>
        <rFont val="微软雅黑"/>
        <family val="0"/>
        <charset val="134"/>
      </rPr>
      <t xml:space="preserve">1. Материал: ABS
2. Выход: USB-C: 20W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Общий выход: 5V/3A
3. EU штекер
4. Размер: 82.5 * 44.5 * 27.5mm, Вес: 55g</t>
    </r>
  </si>
  <si>
    <t xml:space="preserve">http://gofile.me/649X4/MYLv3cYCg</t>
  </si>
  <si>
    <t xml:space="preserve">BA95A Ilustre QC3.0 зарядное устройство  с цифровым дисплеем (EU)</t>
  </si>
  <si>
    <t xml:space="preserve">6941991120428</t>
  </si>
  <si>
    <t xml:space="preserve">1. Материал: ABS
2. Выход: USB-A: 18W (QC/FCC/AFC)
3. EU штекер
4. Размер: 82.5 * 44.5 * 27.5mm, Вес: 51g</t>
  </si>
  <si>
    <t xml:space="preserve">http://gofile.me/649X4/ebUkVpNOy</t>
  </si>
  <si>
    <t xml:space="preserve">BA94A Lustrous PD30W+QC3.0 зарядное устройство набор (C на iP)(EU)</t>
  </si>
  <si>
    <t xml:space="preserve">6941991120008</t>
  </si>
  <si>
    <t xml:space="preserve">16.2*9*4.4</t>
  </si>
  <si>
    <r>
      <rPr>
        <sz val="9"/>
        <color theme="1" tint="0.2499"/>
        <rFont val="微软雅黑"/>
        <family val="0"/>
        <charset val="134"/>
      </rPr>
      <t xml:space="preserve">1. Материал: PC+ABS.
2. Выход: 
USB-C: 30W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
USB-C+USB-A=5V/3A.
3. EU штекер.
4. Размер: 77.7 * 41mm; общий вес: 83g
5. Набор с кабелем 1м С на iP.</t>
    </r>
  </si>
  <si>
    <t xml:space="preserve">http://gofile.me/649X4/SYblPbBLx</t>
  </si>
  <si>
    <t xml:space="preserve">BA94A Lustrous PD30W+QC3.0 зарядное устройство набор (C на C)(EU)</t>
  </si>
  <si>
    <t xml:space="preserve">6941991120039</t>
  </si>
  <si>
    <t xml:space="preserve">синий</t>
  </si>
  <si>
    <r>
      <rPr>
        <sz val="9"/>
        <color theme="1" tint="0.2499"/>
        <rFont val="微软雅黑"/>
        <family val="0"/>
        <charset val="134"/>
      </rPr>
      <t xml:space="preserve">1. Материал: PC+ABS.
2. Выход: 
USB-C: 30W (PD/QC/FCC/AFC).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
USB-C+USB-A=5V/3A.
3. EU штекер.
4. Размер: 77.7 * 41mm; общий вес: 83g
5. Набор с кабелем 1м 60W С на С.</t>
    </r>
  </si>
  <si>
    <t xml:space="preserve">http://gofile.me/649X4/b60TtuaYx</t>
  </si>
  <si>
    <t xml:space="preserve">BA82A Platinum single port PD25W зарядное устройство (EU)</t>
  </si>
  <si>
    <t xml:space="preserve">6941991112256</t>
  </si>
  <si>
    <t xml:space="preserve">14.8*8.6*3.4</t>
  </si>
  <si>
    <t xml:space="preserve">1. Материал: огнеупорный РС+ABS
2. Выход: Type-C: 25W (PD/QC/FCP/AFC)
3. EU штекер
4. Размер: 78*41*26mm, Вес: 46g</t>
  </si>
  <si>
    <t xml:space="preserve">http://gofile.me/649X4/IOkxH15eQ</t>
  </si>
  <si>
    <t xml:space="preserve">BA82A Platinum  PD25W зарядное устройство  набор (C на iP)(EU)</t>
  </si>
  <si>
    <t xml:space="preserve">6941991112263</t>
  </si>
  <si>
    <t xml:space="preserve">1. Материал: огнеупорный РС+ABS
2. Выход: Type-C: 25W (PD/QC/FCP/AFC)
3. EU штекер
4. Размер: 78*41*26mm, Общий вес: 66g
5. Набор с кабелем 1м Type-C на Lightning</t>
  </si>
  <si>
    <t xml:space="preserve">http://gofile.me/649X4/SYv83pL7j</t>
  </si>
  <si>
    <t xml:space="preserve">BA82A Platinum PD25W зарядное устройство  набор (C на C)(EU)</t>
  </si>
  <si>
    <t xml:space="preserve">6941991112270</t>
  </si>
  <si>
    <t xml:space="preserve">1. Материал: огнеупорный РС+ABS
2. Выход: Type-C: 25W (PD/QC/FCP/AFC)
3. EU штекер
4. Размер: 78*41*26mm, Общий вес: 66g
5. Assemble a 1m Type-C на Type-C</t>
  </si>
  <si>
    <t xml:space="preserve">http://gofile.me/649X4/9JBazxz6V</t>
  </si>
  <si>
    <t xml:space="preserve">BA81A зарядное устройство с одним портом PD20W(EU)</t>
  </si>
  <si>
    <t xml:space="preserve">6941991108181</t>
  </si>
  <si>
    <t xml:space="preserve">16.3*9.2*3</t>
  </si>
  <si>
    <t xml:space="preserve">1. Материал: огнеупорный РС+ABS.
2. Выход: Type-C: 20W(PD/QC/FCP/AFC)
3, EU штекер.
4, Размер: 81*42*27mm, Вес: 43g</t>
  </si>
  <si>
    <t xml:space="preserve">http://gofile.me/649X4/CZFf9ZLWf</t>
  </si>
  <si>
    <t xml:space="preserve">BA81A зарядное устройство с одним портом PD20W набор (C на iP)(EU)</t>
  </si>
  <si>
    <t xml:space="preserve">6941991108198</t>
  </si>
  <si>
    <t xml:space="preserve">1. Материал: огнеупорный РС+ABS.
2. Выход: Type-C: 20W(PD/QC/FCP/AFC)
3, EU штекер.
4, Размер: 81*42*27mm, Вес: 43g
5, Набор с кабелем 1м Type-C на Lightning.</t>
  </si>
  <si>
    <t xml:space="preserve">http://gofile.me/649X4/CID0ULzbP</t>
  </si>
  <si>
    <t xml:space="preserve">BA81A зарядное устройство с одним портом PD20W набор (Type-C на Type-C)(EU)</t>
  </si>
  <si>
    <t xml:space="preserve">6941991108204</t>
  </si>
  <si>
    <t xml:space="preserve">1. Материал: огнеупорный РС+ABS.
2. Выход: Type-C: 20W(PD/QC/FCP/AFC)
3, EU штекер.
4, Размер: 81*42*27mm, Вес: 43g
5. Набор с кабелем 1м Type-C на Type-C.</t>
  </si>
  <si>
    <t xml:space="preserve">http://gofile.me/649X4/Lvf7FksvE</t>
  </si>
  <si>
    <t xml:space="preserve">BA74A Aspirer зарядное устройство с 1 портом набор (Type-C)(EU)</t>
  </si>
  <si>
    <t xml:space="preserve">6974443388671</t>
  </si>
  <si>
    <t xml:space="preserve">18.1*8.6*2.6</t>
  </si>
  <si>
    <t xml:space="preserve">1. Материал: огнеупорный ABS+PC
2. Выход: 5V/2.1A
3. EU штекер.
4. Размер: 84 * 39 * 22mm, общий вес: 54g
5. Набор с кабелем 1м.</t>
  </si>
  <si>
    <t xml:space="preserve">http://gofile.me/649X4/d7HWVw4PY</t>
  </si>
  <si>
    <t xml:space="preserve">BA72A Spring зарядное устройство с одним портом QC3.0 (EU)</t>
  </si>
  <si>
    <t xml:space="preserve">6974443388541</t>
  </si>
  <si>
    <t xml:space="preserve">18*7*2.8</t>
  </si>
  <si>
    <t xml:space="preserve">1. Материал: огнеупорный ABS+PC
2. Выход: USB-A: 18W (QC/AFC/FCP)
3. EU штекер.
4. Размер: 79 * 41 * 26мм, Вес: 40г</t>
  </si>
  <si>
    <t xml:space="preserve">http://gofile.me/649X4/9zjJSOkp6</t>
  </si>
  <si>
    <t xml:space="preserve">6974443388558</t>
  </si>
  <si>
    <t xml:space="preserve">BA72A Spring зарядное устройство с одним портом QC3.0  набор (Type-C)(EU)</t>
  </si>
  <si>
    <t xml:space="preserve">6974443388589</t>
  </si>
  <si>
    <t xml:space="preserve">18*8.5*3</t>
  </si>
  <si>
    <t xml:space="preserve">1. Материал: огнеупорный ABS+PC
2. Выход: USB-A: 18W (QC/AFC/FCP)
3. EU штекер.
4. Размер: 79 * 41 * 26мм, Общий Вес: 64г
5. Набор с кабелем 1м.</t>
  </si>
  <si>
    <t xml:space="preserve">http://gofile.me/649X4/CvE3nSlzq</t>
  </si>
  <si>
    <t xml:space="preserve">6974443388596</t>
  </si>
  <si>
    <t xml:space="preserve">BA53A Powerway зарядное устройство с двумя портами набор (Type-C) (EU)</t>
  </si>
  <si>
    <t xml:space="preserve">6931474739209</t>
  </si>
  <si>
    <t xml:space="preserve">18.1*8.5*2.5</t>
  </si>
  <si>
    <t xml:space="preserve">1. Материал: огнестойкий материал ABS + PC.
2. Размер:80*38*23 мм, вес: 44г.
3. Выход: общий выход: 5V/2.1A, максимум для одного порта 5V/2.1A.
4. EU штекер. 
5. Набор с кабелем BX14 1м.</t>
  </si>
  <si>
    <t xml:space="preserve">http://hoco.i234.me:8000/sharing/y4BNcAS04</t>
  </si>
  <si>
    <t xml:space="preserve">BA46A Premium PD+QC3.0 зарядный адаптер (EU)</t>
  </si>
  <si>
    <t xml:space="preserve">6931474727336</t>
  </si>
  <si>
    <t xml:space="preserve">16.2*9.1*3.5</t>
  </si>
  <si>
    <t xml:space="preserve">1. Вход: AC100-240V, 50 / 60Hz, 0.6A.
2. Выход:
USB-A: 3.6V-6.5V / 3A, 6.6-9V / 2A, 9.1V-12V / 1.5A, 18W.
USB-C: 5V / 3A (PD), 9V / 2A (PD), 12V / 1.5A (PD), 18W.
3. Вилка стандарта EU, огнестойкий материал PC.
4. Поддержка быстрой зарядки PD3.0, QC3.0 / QC2.0, быстрой зарядки для Huawei FCP, быстрой зарядки для Samsung AFC и других.
5. Смарт баланс для одновременного выхода 5V / 3A на два порта.
6. Размер: 91 * 52 * 38мм, вес: 39г.</t>
  </si>
  <si>
    <t xml:space="preserve">http://hoco.i234.me:8000/sharing/5BqnecLVo</t>
  </si>
  <si>
    <t xml:space="preserve">6931474727343</t>
  </si>
  <si>
    <t xml:space="preserve">BA38A Plus Speedy PD20W зарядное устройство (EU)</t>
  </si>
  <si>
    <t xml:space="preserve">6931474746870</t>
  </si>
  <si>
    <t xml:space="preserve">16.3*9*3</t>
  </si>
  <si>
    <t xml:space="preserve">1. Материал: огнестойкий PC.
2. Размер: 79 * 42 * 37 мм. Вес: 39г.
3. Выход: Type-C 9V/2.22A, 12V/1.67A (PD 20W).
4. Поддержка PD3.0, QC3.0/QC2.0, Huawei fast charge FCP/SCP, Samsung fast charge AFC и других протоколов быстрой зарядки.
5. EU штекер.</t>
  </si>
  <si>
    <t xml:space="preserve">http://hoco.i234.me:8000/sharing/G4xcUPUgy</t>
  </si>
  <si>
    <t xml:space="preserve">BA21A Long journey один выход QC3.0 зарядный адаптер (EU)</t>
  </si>
  <si>
    <t xml:space="preserve">6931474702067</t>
  </si>
  <si>
    <t xml:space="preserve">18.1*7.1*2.7</t>
  </si>
  <si>
    <t xml:space="preserve">57.8*50*49</t>
  </si>
  <si>
    <t xml:space="preserve">1. Вход: AC100-240V 50 / 60Hz 0.5A.
2. Выход: 3.6V-6.5V/3A 6.6V-9V/2A 9.1V-12V/1.5A 18W.
3. EU стандартный штекер.
4. Материал: огнестойкий PC.
5. Многоуровневая защита, интеллектуальная идентификация IC.
6. Размер: 67*41*26мм, общий вес: 40г.
7. Поддержка быстрой зарядки QC3.0 / QC2.0, Huawei FCP, Samsung AFC быстрой зарядки и других протоколов быстрой зарядки.</t>
  </si>
  <si>
    <t xml:space="preserve">http://hoco.i234.me:8000/sharing/qgigPJxge</t>
  </si>
  <si>
    <t xml:space="preserve">http://gofile.me/649X4/ASEq325nA</t>
  </si>
  <si>
    <t xml:space="preserve">BA21A Long journey один выход QC3.0 зарядный адаптер  набор (Micro-USB)(EU)</t>
  </si>
  <si>
    <t xml:space="preserve">6931474702470</t>
  </si>
  <si>
    <t xml:space="preserve">19*8.1*2.7</t>
  </si>
  <si>
    <t xml:space="preserve">1. Вход: AC100-240V 50 / 60Hz 0.5A.
2. Выход: 3.6V-6.5V/3A 6.6V-9V/2A 9.1V-12V/1.5A 18W.
3. EU стандартный штекер.
4. Материал: огнестойкий PC.
5. Многоуровневая защита, интеллектуальная идентификация IC.
6. Набор с кабелем BX17 1м.
7. Размер: 67*41*26мм, общий вес: 66г.
8. Поддержка быстрой зарядки QC3.0 / QC2.0, Huawei FCP, Samsung AFC быстрой зарядки и других протоколов быстрой зарядки.</t>
  </si>
  <si>
    <t xml:space="preserve">http://hoco.i234.me:8000/sharing/rrwZ43CUh</t>
  </si>
  <si>
    <t xml:space="preserve">http://gofile.me/649X4/pSzGlBzy5</t>
  </si>
  <si>
    <t xml:space="preserve">BA21A Long journey один выход QC3.0 зарядный адаптер  набор (Type-C)(EU)</t>
  </si>
  <si>
    <t xml:space="preserve">6931474702487</t>
  </si>
  <si>
    <t xml:space="preserve">http://hoco.i234.me:8000/sharing/B9mWLCGpf</t>
  </si>
  <si>
    <t xml:space="preserve">BA21A Pro Long journey зарядное устройство с одним портом PD20W (EU)</t>
  </si>
  <si>
    <t xml:space="preserve">6941991111402</t>
  </si>
  <si>
    <t xml:space="preserve">18.6*8.2*3.1</t>
  </si>
  <si>
    <t xml:space="preserve">1. Материал: огнеупорный PC+ABS
2. Выход: Type-C: 20W (PD/QC/FCP/AFC)
3. EU штекер
4. Размеры: 77*45*32mm, Вес: 46g</t>
  </si>
  <si>
    <t xml:space="preserve">http://gofile.me/649X4/CgGRylgYn</t>
  </si>
  <si>
    <t xml:space="preserve">BA21A Pro Long journey зарядное устройство с одним портом набор (C на iP)(EU)</t>
  </si>
  <si>
    <t xml:space="preserve">6941991111419</t>
  </si>
  <si>
    <t xml:space="preserve">18.6*8.1*2.9</t>
  </si>
  <si>
    <t xml:space="preserve">1. Материал: огнеупорный PC+ABS
2. Выход: Type-C: 20W (PD/QC/FCP/AFC)
3. EU штекер
4. Размеры: 77*45*32mm; общий вес: 62g
5. Набор с кабелем 1м C на Lightning</t>
  </si>
  <si>
    <t xml:space="preserve">http://gofile.me/649X4/plrAyfhvB</t>
  </si>
  <si>
    <t xml:space="preserve">BA21A Pro Long journey зарядное устройство с одним портом набор (C на C)(EU)</t>
  </si>
  <si>
    <t xml:space="preserve">6941991111426</t>
  </si>
  <si>
    <t xml:space="preserve">1. Материал: огнеупорный PC+ABS
2. Выход: Type-C: 20W (PD/QC/FCP/AFC)
3. EU штекер
4. Размеры: 77*45*32mm; общий вес: 62g
5. Набор с кабелем 1м C на C</t>
  </si>
  <si>
    <t xml:space="preserve">http://gofile.me/649X4/BNBZ5volZ</t>
  </si>
  <si>
    <t xml:space="preserve">BA20A Sharpодин выход зарядный адаптер (EU)</t>
  </si>
  <si>
    <t xml:space="preserve">6931474700681</t>
  </si>
  <si>
    <t xml:space="preserve">18.1*7*3</t>
  </si>
  <si>
    <t xml:space="preserve">1. Вход: AC100-240V 50/60Hz 0.3A.
2. Выход: USB: DC5V/2.1A макс.
3.  EU штекер.
4. Материал: ABS+PC огнеупорный Материал
5. Многоуровневая защита, интеллектуальная идентификация IC.
6. Размер: 79*38*24мм, вес: 28г.</t>
  </si>
  <si>
    <t xml:space="preserve">http://hoco.i234.me:8000/sharing/HTUNd3trE</t>
  </si>
  <si>
    <t xml:space="preserve">http://gofile.me/649X4/2uZ6BxNAk</t>
  </si>
  <si>
    <t xml:space="preserve">6931474702081</t>
  </si>
  <si>
    <t xml:space="preserve">BA20A Sharp один выход зарядный адаптер  набор (iP)(EU)</t>
  </si>
  <si>
    <t xml:space="preserve">6931474700728</t>
  </si>
  <si>
    <t xml:space="preserve">18*8*2.5</t>
  </si>
  <si>
    <t xml:space="preserve">1. Вход: AC100-240V 50/60Hz 0.3A.
2. Выход: USB: DC5V/2.1A макс.
3.  EU штекер.
4. Материал: ABS+PC огнеупорный Материал
5. Многоуровневая защита, интеллектуальная идентификация IC.
6. Набор с кабелем BX17 (iP) 1м.
7. Размер: 79*38*24мм, Общий вес: 56г.</t>
  </si>
  <si>
    <t xml:space="preserve">http://gofile.me/649X4/yO9c4PpHw</t>
  </si>
  <si>
    <t xml:space="preserve">6931474702128</t>
  </si>
  <si>
    <t xml:space="preserve">BA20A Sharp один выход зарядный адаптер  набор (Micro-USB)(EU)</t>
  </si>
  <si>
    <t xml:space="preserve">6931474700735</t>
  </si>
  <si>
    <t xml:space="preserve">1. Вход: AC100-240V 50/60Hz 0.3A.
2. Выход: USB: DC5V/2.1A макс.
3.  EU штекер.
4. Материал: ABS+PC огнеупорный Материал
5. Многоуровневая защита, интеллектуальная идентификация IC.
6. Набор с кабелем BX17 (Micro-USB) 1м.
7. Размер: 79*38*24мм, Общий вес: 56г.</t>
  </si>
  <si>
    <t xml:space="preserve">http://hoco.i234.me:8000/sharing/0Omyhnuea</t>
  </si>
  <si>
    <t xml:space="preserve">http://gofile.me/649X4/Vr67zJcJy</t>
  </si>
  <si>
    <t xml:space="preserve">6931474702135</t>
  </si>
  <si>
    <t xml:space="preserve">BA20A Sharp один выход зарядный адаптер  набор 
(Type-C)(EU)</t>
  </si>
  <si>
    <t xml:space="preserve">6931474700742</t>
  </si>
  <si>
    <t xml:space="preserve">1. Вход: AC100-240V 50/60Hz 0.3A.
2. Выход: USB: DC5V/2.1A макс.
3.  EU штекер.
4. Материал: ABS+PC огнеупорный Материал
5. Многоуровневая защита, интеллектуальная идентификация IC.
6. Набор с кабелем BX17 (Type-C) 1м.
7. Размер: 79*38*24мм, Общий вес: 56г.</t>
  </si>
  <si>
    <t xml:space="preserve">http://hoco.i234.me:8000/sharing/Y6XGH2i7k</t>
  </si>
  <si>
    <t xml:space="preserve">6931474702142</t>
  </si>
  <si>
    <t xml:space="preserve">Розетки и сетевые адаптеры</t>
  </si>
  <si>
    <t xml:space="preserve">Фото</t>
  </si>
  <si>
    <t xml:space="preserve">EAN код</t>
  </si>
  <si>
    <t xml:space="preserve">Беспроводные ЗУ и подставки</t>
  </si>
  <si>
    <t xml:space="preserve">BQ43 Adelanto 25W магнитное беспроводное ЗУ</t>
  </si>
  <si>
    <t xml:space="preserve">6941991128646</t>
  </si>
  <si>
    <t xml:space="preserve">15.6*8.5*2.2</t>
  </si>
  <si>
    <t xml:space="preserve">1. Вход Type-C: PPS 16-21 В / 2 А.
2. Выход: 5 Вт / 7.5 Вт / 15 Вт / 25 Вт (поддержка протокола Qi2).
3. Необходимо собственное зарядное устройство PD (с поддержкой PPS).
4. Материал: пластиковый корпус ABS + панель PC.
5. Диаметр x толщина: 57 x 7 мм; вес: 40 г; длина кабеля: 1.2 м.</t>
  </si>
  <si>
    <t xml:space="preserve">http://gofile.me/649X4/QMqJQEF4y</t>
  </si>
  <si>
    <t xml:space="preserve">BQ42 беспроводное зарядное устройство для iWatch</t>
  </si>
  <si>
    <t xml:space="preserve">6941991129476</t>
  </si>
  <si>
    <t xml:space="preserve">12*9.9*2.5</t>
  </si>
  <si>
    <t xml:space="preserve">1. Type-C вход: 5V/1A
2. Выход: 2.5W (Совместим со всей серией iWatch).
3. Материал: ABS корпус
4. Размер: 3.2 * 3.2 * 1cm. Вес: 11g</t>
  </si>
  <si>
    <t xml:space="preserve">http://gofile.me/649X4/u9PtRU0OI</t>
  </si>
  <si>
    <t xml:space="preserve">BQ40 Crown настольное беспроводное зарядное устройство</t>
  </si>
  <si>
    <t xml:space="preserve">6941991123740</t>
  </si>
  <si>
    <t xml:space="preserve">16.2*12.2*2.5</t>
  </si>
  <si>
    <t xml:space="preserve">1. USB-C input: 5V-2A, 9V-2A
2. Выход: 5W/7.5W/10W/15W (15W только для некоторый телефонов LG )
3. Зарядное устройство PD/QC требуется и не входит в комплект
4. Материал: ABS+PC
5. Размер: 102 (диаметр) * 14mm, вес: 42g</t>
  </si>
  <si>
    <t xml:space="preserve">http://gofile.me/649X4/orsCHzTde</t>
  </si>
  <si>
    <t xml:space="preserve">BQ3 Pro 15W беспроводное зарядное устройство</t>
  </si>
  <si>
    <t xml:space="preserve">6974443380583</t>
  </si>
  <si>
    <t xml:space="preserve">20.3*11*2.5</t>
  </si>
  <si>
    <t xml:space="preserve">1. Вход Type-C: V/2A, 9V/2A, 12V/1.5A.
2. Беспроводной выход: 5W/7.5W/10W/15W, iP поддерживает 7,5 Вт.
3. Необходимо использовать собственное зарядное устройство QC / PD.
4. Материал: алюминиевый сплав.
5. Размер: 100 * 8 мм (диаметр * высота), длина кабеля 1 м.
6. Вес: 60 г.
7. Мерцающий индикатор по краю.</t>
  </si>
  <si>
    <t xml:space="preserve">http://hoco.i234.me:8000/sharing/OSm7Ysn5G</t>
  </si>
  <si>
    <t xml:space="preserve">BH150 Victory настольная подставка</t>
  </si>
  <si>
    <t xml:space="preserve">6941991131028</t>
  </si>
  <si>
    <t xml:space="preserve">57.8*37.8*49</t>
  </si>
  <si>
    <t xml:space="preserve">1. Материал: ABS.
2. Отделка поверхности: текстура напылением.
3. Размеры: 80*28*243 мм (в сложенном состоянии).
4. Вес: 83 г.
5. Подходит для ноутбуков до 16.9 дюймов.
6. Место использования: офис, стол.</t>
  </si>
  <si>
    <t xml:space="preserve">http://gofile.me/649X4/m0obZBnXk</t>
  </si>
  <si>
    <t xml:space="preserve">BH138 Fit металлический складной настольный держатель</t>
  </si>
  <si>
    <t xml:space="preserve">6941991124501</t>
  </si>
  <si>
    <t xml:space="preserve">18.8*14*3.5</t>
  </si>
  <si>
    <r>
      <rPr>
        <b val="true"/>
        <sz val="9"/>
        <color theme="5"/>
        <rFont val="微软雅黑"/>
        <family val="0"/>
        <charset val="134"/>
      </rPr>
      <t xml:space="preserve">MOQ: заказать целую коробку
</t>
    </r>
    <r>
      <rPr>
        <sz val="9"/>
        <color theme="1" tint="0.2499"/>
        <rFont val="微软雅黑"/>
        <family val="0"/>
        <charset val="134"/>
      </rPr>
      <t xml:space="preserve">1. Материал: Углеродистая сталь+силикон
2. Поверхность: пульверизация
3. Размер: 95 * 85 * 36mm (в сложенном виде); Вес: 133g
4. Для телефонов 4.5-7.0 дюймов
5. Применение: офис, конференция, прямая трансляция, просмотр кино</t>
    </r>
  </si>
  <si>
    <t xml:space="preserve">http://gofile.me/649X4/hfqUBZDQJ</t>
  </si>
  <si>
    <t xml:space="preserve">BH128 Admirado вращающийся настольный держатель</t>
  </si>
  <si>
    <t xml:space="preserve">6941991120589</t>
  </si>
  <si>
    <t xml:space="preserve">15.6*11*6.4</t>
  </si>
  <si>
    <t xml:space="preserve">1. Материал: ABS
2. Поверхность: текстурирование
3. Размер: 123 * 105 * 56mm (в сложенном виде)
4. Вес: 182g
5. Для телефонов 4.5-7.0 дюймов
6. Тип крепленияs: любые столы и плоские поверхности</t>
  </si>
  <si>
    <t xml:space="preserve">http://gofile.me/649X4/33GiW7iJX</t>
  </si>
  <si>
    <t xml:space="preserve">BH24 Bright shell подставка для планшетов</t>
  </si>
  <si>
    <t xml:space="preserve">6931474719522</t>
  </si>
  <si>
    <t xml:space="preserve">26.3*10.9*8.2</t>
  </si>
  <si>
    <t xml:space="preserve">54.2*42.8*35.5</t>
  </si>
  <si>
    <t xml:space="preserve">1. Материал изготовления: ABS + силикон + алюминиево-магниевый сплав.
2. Обработка поверхности: литье под давлением – окисление.
3. Размер: 70 см. Вес: 304 г.
4. Ширина зажима: 122-200 мм, для телефонов и планшетов с диагональю 4-10.6 дюймов.
5. Применение: спальня, гостиная, кухня, ресторан и т. д.
6. Разъемы для наушников и зарядки доступны на обеих сторонах зажима.</t>
  </si>
  <si>
    <t xml:space="preserve">http://hoco.i234.me:8000/sharing/Rnp3hZvnX</t>
  </si>
  <si>
    <t xml:space="preserve">BH23 Bright shell подставка для телефонов</t>
  </si>
  <si>
    <t xml:space="preserve">6931474719515</t>
  </si>
  <si>
    <t xml:space="preserve">26.3*10.9*8.3</t>
  </si>
  <si>
    <t xml:space="preserve">1. Материал изготовления: ABS + силикон + алюминиево-магниевый сплав.
2. Обработка поверхности: текстурирование.
3. Размер: 70 см. Вес: 224 г.
4. Ширина зажима: 52-90 мм, подходит для мобильных телефонов с диагональю 4.5-6.5 дюймов.
5. Применение: спальня, гостиная, кухня, ресторан и т. д.</t>
  </si>
  <si>
    <t xml:space="preserve">http://hoco.i234.me:8000/sharing/q3TxUumJK</t>
  </si>
  <si>
    <t xml:space="preserve">BY15 Throne держатель для стримов</t>
  </si>
  <si>
    <t xml:space="preserve">6941991127632</t>
  </si>
  <si>
    <t xml:space="preserve">26.4*9*6.6</t>
  </si>
  <si>
    <t xml:space="preserve">47*41*50</t>
  </si>
  <si>
    <t xml:space="preserve">1. Материал: ABS+нержавеющая сталь
2. Поверхность: текстурирование
3. Размер: 56 * 34 * 221 мм (высота в разложенном виде 1,28 м); вес: 215 г
4. Поддержка мобильных телефонов с диагональю экрана 4,5-7,0 дюймов (ширина зажима: 60-90 мм)
5. Дистанционное управление: подключение Bluetooth 5.2 для фотосъемки; Емкость аккумулятора: 120 мАч
6. Сценарии применения: прямая трансляция на открытом воздухе и в помещении, фотосъемка, селфи и т.д</t>
  </si>
  <si>
    <t xml:space="preserve">http://gofile.me/649X4/ftDGzvRlf</t>
  </si>
  <si>
    <t xml:space="preserve">BY14 Graceful мини держатель для стрима</t>
  </si>
  <si>
    <t xml:space="preserve">6941991122958</t>
  </si>
  <si>
    <t xml:space="preserve">18.2*5.5*3.6</t>
  </si>
  <si>
    <t xml:space="preserve">1. Материал: ABS+нержавеющая сталь
2. Поверхность: текстурирование
3. Размер: 32.547.5 * 160mm (в сложенном виде 0.62m); Вес: 108g
4. Поддержка телефонов 4.5-7.0 дюймов ширина зажима: 60-90mm)
5. Дистанционное управление: Bluetooth 5.2 для фото; Емкость батареи: 120mAh
6. Применение: стримы в помещении и на улице, фото, селфи, и т.д.</t>
  </si>
  <si>
    <t xml:space="preserve">http://gofile.me/649X4/oUtQtmZUA</t>
  </si>
  <si>
    <t xml:space="preserve">BY13 Nube держатель для стримов</t>
  </si>
  <si>
    <t xml:space="preserve">6941991119415</t>
  </si>
  <si>
    <t xml:space="preserve">21.2*5.2*3.5</t>
  </si>
  <si>
    <t xml:space="preserve">1. Материал: ABS+нержавеющая сталь
2. Поверхность: текстурирование+окрашивание
3. Размер: 33 * 48 * 183mm (высота в разложенном виде 0.7m); Вес: 125g
4. Для телефонов 4.5-7.0 дюймов (ширина зажима 63-90mm)
5. Пульт ДУ: Bluetooth 5.2; Ёмкость батареи: 120mAh
6. Применение: прямая трансляция на открытом воздухе и в помещении, фотосъемка, селфи и т.д</t>
  </si>
  <si>
    <t xml:space="preserve">http://gofile.me/649X4/AougNRbf0</t>
  </si>
  <si>
    <t xml:space="preserve">BY11 Happy держатель для стрима</t>
  </si>
  <si>
    <t xml:space="preserve">6941991104329</t>
  </si>
  <si>
    <t xml:space="preserve">22.4*8.1*4</t>
  </si>
  <si>
    <t xml:space="preserve">1, Материал: нержавеющая сталь + ABS
2, Поверхность: текстурирование.
3, Размер: 46*32*185мм; вес: 135g
4. Максимальная высота 0.7м
5. Поддержка телефонов 4.5-7.0 дюймов (ширина: 62-85мм)
6, Bluetooth 4.0 соединение для фото.
7.Емкость аккумулятора: 70 мАч
8. Применение: стримы, видео в помещении и на улице, фото, селфи и т.д.</t>
  </si>
  <si>
    <t xml:space="preserve">http://gofile.me/649X4/2Y2fvrLo0</t>
  </si>
  <si>
    <t xml:space="preserve">Автомобильные держатели</t>
  </si>
  <si>
    <t xml:space="preserve">Автодержатели с беспроводной зарядкой</t>
  </si>
  <si>
    <t xml:space="preserve">BH224 Flash автомобильное магнитное беспроводное зарядное устройство (воздуховод)</t>
  </si>
  <si>
    <t xml:space="preserve">6941991126918</t>
  </si>
  <si>
    <t xml:space="preserve">18.2*9.1*3.3</t>
  </si>
  <si>
    <t xml:space="preserve">1. Материал: ABS+PC
2. Поверхность: текстурирование
3. Размер: 61 * 61 * 84.5mm; Вес: 60g
4. Выход: 5W/7.5W/10W/15W (MagSafe 7.5W)
5. Для телефонов 4.5-7.0 дюймов (iPhone 12-17 series)
6. Тип крепления: воздуховод</t>
  </si>
  <si>
    <t xml:space="preserve">http://gofile.me/649X4/gFmuj5zlu</t>
  </si>
  <si>
    <t xml:space="preserve">BH223 Follower автомобильный держатель с беспроводной зарядкой (панель приборов)</t>
  </si>
  <si>
    <t xml:space="preserve">6941991121319</t>
  </si>
  <si>
    <t xml:space="preserve">15.5*11.8*8.9</t>
  </si>
  <si>
    <t xml:space="preserve">1. Материал: ABS+силикон
2. Поверхность: текстурирование
3. Размер: 157 * 68 * 124mm; Вес: 196g
4. Выход: 5W/7.5W/10W/15W (15W только для LG телефонов)
5. Совместимость 4.5-7.0 дюйма (ширина зажима: 58-90mm)
6. Тип крепления: панель приборов</t>
  </si>
  <si>
    <t xml:space="preserve">http://gofile.me/649X4/u91IqEspl</t>
  </si>
  <si>
    <t xml:space="preserve">BH222 Leading автомобильный держатель с беспроводной зарядкой (панель приборов)</t>
  </si>
  <si>
    <t xml:space="preserve">6941991119019</t>
  </si>
  <si>
    <t xml:space="preserve">чёрный металлик</t>
  </si>
  <si>
    <t xml:space="preserve">17.7*11.8*8.8</t>
  </si>
  <si>
    <t xml:space="preserve">1. Материал: ABS
2. Поверхность: текстурирование + окрашивание
3. Размер: 162*95*106mm; Вес: 187g
4. Выход: 5W/7.5W/10W/15W (15W только для некторых LG телефонов)
5. Для телефонов 4.5-7.0 дюйма (ширина зажима: 58-83mm)
6. Тип крепления: панель приборов.</t>
  </si>
  <si>
    <t xml:space="preserve">http://gofile.me/649X4/ngI8h521L</t>
  </si>
  <si>
    <t xml:space="preserve">BH221 Path автомобильный держатель с беспроводной зарядкой (воздуховод)</t>
  </si>
  <si>
    <t xml:space="preserve">6941991119002</t>
  </si>
  <si>
    <t xml:space="preserve">14.7*9.4*7.4</t>
  </si>
  <si>
    <t xml:space="preserve">1. Материал: ABS
2. Поверхность: текстурирование + окрашивание
3. Размер: 114*95*106mm; Вес: 103g
4. Выход: 5W/7.5W/10W/15W (15W только для некторых LG телефонов)
5. Для телефонов 4.5-7.0 дюйма (ширина зажима: 58-83mm)
6. Тип крепления: панель приборов.</t>
  </si>
  <si>
    <t xml:space="preserve">http://gofile.me/649X4/4jl5XAE00</t>
  </si>
  <si>
    <t xml:space="preserve">BH148 Vizion автомобильный держатель для панели приборов</t>
  </si>
  <si>
    <t xml:space="preserve">6941991130250</t>
  </si>
  <si>
    <t xml:space="preserve">12.4*10.2*6.5</t>
  </si>
  <si>
    <t xml:space="preserve">1. Материал: ABS + силикон.
2. Отделка поверхности: текстура напылением + полировка.
3. Размеры: 98*98*61 мм. Вес: 82 г.
4. Подходит для телефонов с диагональю 4,5–7 дюймов (толщина: 7–15 мм).
5. Место использования: приборная панель автомобиля.</t>
  </si>
  <si>
    <t xml:space="preserve">http://gofile.me/649X4/ldRRTA5qu</t>
  </si>
  <si>
    <t xml:space="preserve">BH147 Glide магнитный держатель (универсальный)</t>
  </si>
  <si>
    <t xml:space="preserve">6941991129667</t>
  </si>
  <si>
    <t xml:space="preserve">чёрный серый</t>
  </si>
  <si>
    <t xml:space="preserve">12.8*8.8*2</t>
  </si>
  <si>
    <t xml:space="preserve">1. Материал: ABS + силикон.
2. Отделка поверхности: текстура напылением.
3. Размеры: 98*59*11 мм (в сложенном виде). Вес: 42 г.
4. Подходит для телефонов с диагональю 4,5–7,0 дюймов (в основном для серии iPhone 12–17).
5. Места использования: задняя панель автомобильных дисплеев, кухня, холодильник, стены и т.д.
6. Складывается для хранения, не занимает лишнего места.</t>
  </si>
  <si>
    <t xml:space="preserve">http://gofile.me/649X4/AvkZKWx5J</t>
  </si>
  <si>
    <t xml:space="preserve">BH146 Lake автомобильный держатель (приборная панель)</t>
  </si>
  <si>
    <t xml:space="preserve">6941991129490</t>
  </si>
  <si>
    <t xml:space="preserve">15.5*10.7*7.9</t>
  </si>
  <si>
    <t xml:space="preserve">1. Материал: ABS + силикон
2. Технология обработки поверхности: текстурирование
3. Размер: 156 × 68 × 111 мм; Вес: 170 г
4. Подходит для мобильных телефонов от 4,5 до 7 дюймов (диапазон ширины зажима: 60–90 мм)
5. Сценарии использования: центральная консоль автомобиля</t>
  </si>
  <si>
    <t xml:space="preserve">http://gofile.me/649X4/qySCU0KkH</t>
  </si>
  <si>
    <t xml:space="preserve">BH145 Lake автомобильный держатель (воздуховод)</t>
  </si>
  <si>
    <t xml:space="preserve">6941991129483</t>
  </si>
  <si>
    <t xml:space="preserve">13.9*8.1*5.9</t>
  </si>
  <si>
    <t xml:space="preserve">1. Материал: ABS + силикон.
2. Обработка поверхности: текстура под воздействием солнечного света.
3. Размер: 110 x 68 x 111 мм; вес: 81 г.
4. Подходит для телефонов 4.5–7 дюймов (ширина зажима: 60–90 мм).
5. Применение: автомобильные вентиляционные отверстия.</t>
  </si>
  <si>
    <t xml:space="preserve">http://gofile.me/649X4/VBJwDcFFN</t>
  </si>
  <si>
    <t xml:space="preserve">BH144 Custodio магнитный держатель на присоске (универсальный)</t>
  </si>
  <si>
    <t xml:space="preserve">6941991127656</t>
  </si>
  <si>
    <t xml:space="preserve">12.9*8.8*4.5</t>
  </si>
  <si>
    <t xml:space="preserve">1. Материал: ABS+цинковый сплав
2. Поверхность: текстурирование+покраска
3. Размер: 62 * 62 * 41mm (в сложенном виде); вес: 90g
4. Для телефонов 4.5-7.0 дюймов (для iPhone 12-17 series)
5. Применение: гладкие поверхности, такие как лобовые стекла автомобилей / зеркала заднего вида/автомобильные дисплеи/плитка/ беговые дорожки и т.д</t>
  </si>
  <si>
    <t xml:space="preserve">http://gofile.me/649X4/ae5z7qVex</t>
  </si>
  <si>
    <t xml:space="preserve">BH143 Keeper автомобильный магнитный держатель (воздуховод)</t>
  </si>
  <si>
    <t xml:space="preserve">6941991127649</t>
  </si>
  <si>
    <t xml:space="preserve">16.2*10.1*5.7</t>
  </si>
  <si>
    <t xml:space="preserve">1. Материал: ABS+PC
2. Поверхность: текстурирование
3. Размер: 58 * 58 * 85mm; Вес: 55g
4. Для телефонов 4.5-7.0 дюймов (iPhone 12-17 series)
5. Тип крепления: воздуховод</t>
  </si>
  <si>
    <t xml:space="preserve">http://gofile.me/649X4/l5XCjpohl</t>
  </si>
  <si>
    <t xml:space="preserve">BH142 Support автомобильный держатель (панель приборов)</t>
  </si>
  <si>
    <t xml:space="preserve">6941991126383</t>
  </si>
  <si>
    <t xml:space="preserve">16.2*10.2*5.7</t>
  </si>
  <si>
    <t xml:space="preserve">No inner carton packing</t>
  </si>
  <si>
    <t xml:space="preserve">No box size</t>
  </si>
  <si>
    <t xml:space="preserve">1. Материал: ABS
2. Поверхность: текстурирование
3. Размер: 71 * 65 * 103mm; Вес: 63g
4. Подходит для мобильных телефонов с диагональю экрана 4,5-7,0 дюймов (в основном для iPhone 12-17 серий)
5. Сценарий применения: Центральная консоль автомобиля</t>
  </si>
  <si>
    <t xml:space="preserve">http://gofile.me/649X4/zQpEI92GA</t>
  </si>
  <si>
    <t xml:space="preserve">BH141 Camino держатель для велосипеда</t>
  </si>
  <si>
    <t xml:space="preserve">6941991125584</t>
  </si>
  <si>
    <t xml:space="preserve">15*11*6.2</t>
  </si>
  <si>
    <t xml:space="preserve">1. Материал: ABS+силикон
2. Поверхность: текстурирование
3. Размер: 124 * 105 * 127mm; Вес: 125g
4. Для телефонов 6-7.0 дюймов (ширина зажима: 68-90mm)
5. Диаметр руля: 18-25мм
6. Для мотоциклов, велосипедов, детских колясок</t>
  </si>
  <si>
    <t xml:space="preserve">http://gofile.me/649X4/XD2Zt0Zbm</t>
  </si>
  <si>
    <t xml:space="preserve">BH140 Gloria магнитный держатель (eybdthcfkmysq)</t>
  </si>
  <si>
    <t xml:space="preserve">6941991125577</t>
  </si>
  <si>
    <t xml:space="preserve">1. Материал: ABS+нейлон
2. Поверхность: текстурирование, окрашивание
3. Размер: 62 * 62 * 42mm; Вес: 78g
4. Для телефонов 4.5-7.0 дюймов (iPhone 12-17 series)
5. Применение: гладкие поверхности, такие как лобовые стекла автомобилей / зеркала заднего вида/плитка/ беговые дорожки и т.д</t>
  </si>
  <si>
    <t xml:space="preserve">http://gofile.me/649X4/EwDNMmkJ9</t>
  </si>
  <si>
    <t xml:space="preserve">BH139 Rider магнитный держатель на присоске (универсальный)</t>
  </si>
  <si>
    <t xml:space="preserve">6941991124815</t>
  </si>
  <si>
    <t xml:space="preserve">16.2*9*6</t>
  </si>
  <si>
    <t xml:space="preserve">1. Материал: ABS+цинковый сплав
2. Поверхность: текстурирование
3. Размер: 62 * 62 * 56mm; Вес: 102g
4. Для телефонов 4.5-7.0 дюймов (для iPhone 12-16 series)
5. Место крепления: гладкие поверхности, такие как лобовые стекла автомобилей/ зеркала заднего вида/автомобильные дисплеи/плитка/беговые дорожки и т.д</t>
  </si>
  <si>
    <t xml:space="preserve">http://gofile.me/649X4/UOBV2IPXU</t>
  </si>
  <si>
    <t xml:space="preserve">BH137 Knight универсальный держатель для велосипеда</t>
  </si>
  <si>
    <t xml:space="preserve">6941991122934</t>
  </si>
  <si>
    <t xml:space="preserve">22.7*8*6.4</t>
  </si>
  <si>
    <r>
      <rPr>
        <b val="true"/>
        <sz val="9"/>
        <color rgb="FFED752D"/>
        <rFont val="微软雅黑"/>
        <family val="0"/>
        <charset val="134"/>
      </rPr>
      <t xml:space="preserve">MOQ: заказать целую коробку
</t>
    </r>
    <r>
      <rPr>
        <sz val="9"/>
        <color theme="1" tint="0.2499"/>
        <rFont val="微软雅黑"/>
        <family val="0"/>
        <charset val="134"/>
      </rPr>
      <t xml:space="preserve">1. Материал: ABS+силикон
2. Поверхность: текстурирование
3. Размер: 135 * 105 * 115mm; Вес: 125g
4. Для телефонов 6-7.0 дюймов (ширина зажима: 68-90mm); диаметр руля: 18-32mm
5. Место крепления: руль велосипеда, мотоцикла и т.д.</t>
    </r>
  </si>
  <si>
    <t xml:space="preserve">http://gofile.me/649X4/8hc73N9tI</t>
  </si>
  <si>
    <t xml:space="preserve">BH134 Rio push-type автомобильный держатель (панель приборов)</t>
  </si>
  <si>
    <t xml:space="preserve">6941991120671</t>
  </si>
  <si>
    <t xml:space="preserve">15.4*12.6*7.5</t>
  </si>
  <si>
    <t xml:space="preserve">1. Материал: ABS+силикон
2. Поверхность: текстурирование + окрашивание
3. Размер: 156 * 70 * 119mm; вес: 179g
4. Для телефонов 4.5-7.0 дюймов (ширина зажима: 60-90mm)
5. Тип крепления: панель приборов</t>
  </si>
  <si>
    <t xml:space="preserve">http://gofile.me/649X4/EGe0wNcmt</t>
  </si>
  <si>
    <t xml:space="preserve">BH133 Rio автомобильный держатель (воздуховод)</t>
  </si>
  <si>
    <t xml:space="preserve">6941991120664</t>
  </si>
  <si>
    <t xml:space="preserve">15.1*8.1*6.6</t>
  </si>
  <si>
    <t xml:space="preserve">1. Материал: ABS+силикон
2. Поверхность: текстурирование + окрашивание
3. Размер: 108 * 70 * 119mm; вес: 95g
4. Для телефонов 4.5-7.0 дюймов (ширина зажима: 60-90mm)
5. Тип крепления: воздуховод</t>
  </si>
  <si>
    <t xml:space="preserve">http://gofile.me/649X4/CA37yOW3W</t>
  </si>
  <si>
    <t xml:space="preserve">BH131 Follower автомобильный держатель (воздуховод)</t>
  </si>
  <si>
    <t xml:space="preserve">6941991121296</t>
  </si>
  <si>
    <t xml:space="preserve">17.5*14*5.8</t>
  </si>
  <si>
    <r>
      <rPr>
        <b val="true"/>
        <sz val="9"/>
        <color rgb="FFED752D"/>
        <rFont val="微软雅黑"/>
        <family val="0"/>
        <charset val="134"/>
      </rPr>
      <t xml:space="preserve">MOQ</t>
    </r>
    <r>
      <rPr>
        <b val="true"/>
        <sz val="9"/>
        <color rgb="FFED752D"/>
        <rFont val="Noto Sans"/>
        <family val="2"/>
      </rPr>
      <t xml:space="preserve">： </t>
    </r>
    <r>
      <rPr>
        <b val="true"/>
        <sz val="9"/>
        <color rgb="FFED752D"/>
        <rFont val="微软雅黑"/>
        <family val="0"/>
        <charset val="134"/>
      </rPr>
      <t xml:space="preserve">маленькая коробка
</t>
    </r>
    <r>
      <rPr>
        <sz val="9"/>
        <color theme="1" tint="0.2499"/>
        <rFont val="微软雅黑"/>
        <family val="0"/>
        <charset val="134"/>
      </rPr>
      <t xml:space="preserve">1. Материал: ABS+силикон
2. Поверхность: текстурирование
3. Размер: 110 * 104 * 105mm; Вес: 85g
4. Для телефонов 4.5-7 дюймов (ширина зажима: 60-90mm)
5. Тип крепления: воздуховод</t>
    </r>
  </si>
  <si>
    <t xml:space="preserve">http://gofile.me/649X4/zL8nyUXrv</t>
  </si>
  <si>
    <t xml:space="preserve">BH125 Roman магнитный автомобильный держатель (панель приборов)</t>
  </si>
  <si>
    <t xml:space="preserve">6941991119552</t>
  </si>
  <si>
    <t xml:space="preserve">чёрный и красный</t>
  </si>
  <si>
    <t xml:space="preserve">14.9*10.6*7.6</t>
  </si>
  <si>
    <t xml:space="preserve">1. Материал: ABS+силикон
2. Поверхность: текстурирование.
3. Размер: 132 * 67 * 75mm; Вес: 140g
4. Для телефонов 4.5-7 дюймов (в основном для iPhone 12-16 series)
5. Тип крепления: панель приборов</t>
  </si>
  <si>
    <t xml:space="preserve">http://gofile.me/649X4/mahwhE9gg</t>
  </si>
  <si>
    <t xml:space="preserve">BH124 Roman магнитный автомобильный держатель (воздуховод)</t>
  </si>
  <si>
    <t xml:space="preserve">6941991119545</t>
  </si>
  <si>
    <t xml:space="preserve">14.7*9.7*3.5</t>
  </si>
  <si>
    <t xml:space="preserve">1. Материал: ABS+силикон
2. Поверхность: текстурирование.
3. Размер: 66 * 47 * 47mm; Вес: 45g
4. Suitable for 4.5-7 inch mobile phones (mainly iPhone 12-16 series)
5. Applicable scenarios: Automotive air vents</t>
  </si>
  <si>
    <t xml:space="preserve">http://gofile.me/649X4/RDE55gTUM</t>
  </si>
  <si>
    <t xml:space="preserve">BH123 Profit магнитный автомобильный держатель (панель приборов)</t>
  </si>
  <si>
    <t xml:space="preserve">6941991118715</t>
  </si>
  <si>
    <t xml:space="preserve">23.7*9.2*5.5</t>
  </si>
  <si>
    <t xml:space="preserve">1. Материал: ABS+TPU
2. Поверхность: текстурирование + окрашивание
3. Размер: 225*72*67mm; Вес: 124g
4. Для телефонов 4.5-7.0 дюйма (для iPhone 12-16 series)
5. Тип крепления: панель приборов.</t>
  </si>
  <si>
    <t xml:space="preserve">http://gofile.me/649X4/Q6sF6att6</t>
  </si>
  <si>
    <t xml:space="preserve">BH122 Profit магнитный автомобильный держатель (воздуховод)</t>
  </si>
  <si>
    <t xml:space="preserve">6941991118708</t>
  </si>
  <si>
    <t xml:space="preserve">18*9*3.6</t>
  </si>
  <si>
    <t xml:space="preserve">1. Материал: ABS
2. Поверхность: текстурирование и окрашивание
3. Размер: 93 * 60 * 60mm; вес: 52g
4. Для устройств 4.5-7.0дюймов (mainly iPhone 12-16 series)
5. Место крепления: воздуховод.</t>
  </si>
  <si>
    <t xml:space="preserve">http://gofile.me/649X4/MMn7x3E0t</t>
  </si>
  <si>
    <t xml:space="preserve">BH121 Eternal магнитный автомобильный держатель</t>
  </si>
  <si>
    <t xml:space="preserve">6941991115271</t>
  </si>
  <si>
    <t xml:space="preserve">15.2*8.7*2.8</t>
  </si>
  <si>
    <t xml:space="preserve">1. Материал: ABS+силикон
2. Поверхность: окрашивание
3. Размер: 69*22*7mm. Вес: 21g
4. Для телефонов 4.5-7 дюймов.
5. Тип крепления: панель приборов в авто или любые плоские поверхности.</t>
  </si>
  <si>
    <t xml:space="preserve">http://gofile.me/649X4/XeD1lNhml</t>
  </si>
  <si>
    <t xml:space="preserve">BH119 Refined автомобильный держатель (панель приборов)</t>
  </si>
  <si>
    <t xml:space="preserve">6941991114458</t>
  </si>
  <si>
    <t xml:space="preserve">черный металлик</t>
  </si>
  <si>
    <t xml:space="preserve">15.2*9.5*7.4</t>
  </si>
  <si>
    <t xml:space="preserve">1. Материал: ABS+алюминиевый сплав+силикон
2. Поверхность: текстурирование + оксидирование.
3. Размер: 108*94*97mm; Вес: 83g
4. Для телефонов 4.5-7 дюймов (ширина зажима: 68-88mm)
5. Тип крепления: панель приборов.</t>
  </si>
  <si>
    <t xml:space="preserve">http://gofile.me/649X4/yrhDpXmUn</t>
  </si>
  <si>
    <t xml:space="preserve">BH118 Refined автомобильный держатель (air outlet)</t>
  </si>
  <si>
    <t xml:space="preserve">6941991114441</t>
  </si>
  <si>
    <t xml:space="preserve">1. Материал: ABS+алюминиевый сплав+силикон
2. Поверхность: текстурирование + оксидирование.
3. Размер: 111*95*95mm; Вес: 77g
4. Для телефонов 4.5-7 дюймов (ширина зажима: 68-88mm)
5. Тип крепления: воздуховод.</t>
  </si>
  <si>
    <t xml:space="preserve">http://gofile.me/649X4/cqw0dJIPs</t>
  </si>
  <si>
    <t xml:space="preserve">BH105 Crown универсальный держатель для мотоцикла</t>
  </si>
  <si>
    <t xml:space="preserve">6941991108600</t>
  </si>
  <si>
    <t xml:space="preserve">19.7*10.6*8.2</t>
  </si>
  <si>
    <t xml:space="preserve">1. Материал: ABS+силикон
2. Поверхность: текстурирование
3. Размер: 115*93*153mm; Вес: 128g
4. Для телефонов 4.7-7.0 дюймов (ширина зажима: 60-80mm, длина: 135-185mm, диаметр места крепления: 22-32mm)
5. Место крепления: мотоцикл, велосипед, коляска.</t>
  </si>
  <si>
    <t xml:space="preserve">http://gofile.me/649X4/NmvvSjJFn</t>
  </si>
  <si>
    <t xml:space="preserve">BH103 Cloud магнитный автомобильный держатель(панель приборов)</t>
  </si>
  <si>
    <t xml:space="preserve">6941991108037</t>
  </si>
  <si>
    <t xml:space="preserve">12.9*8.8*3.6</t>
  </si>
  <si>
    <t xml:space="preserve">1. Материал: ABS+PC+силикон.
2. Поверхность: текстурирование
3. Размер: 62*43*54мм. Вес: 33г.
4. Подходит для телефонов 4.5-7.0 дюймов.
5. Тип крепления: панель приборов.</t>
  </si>
  <si>
    <t xml:space="preserve">http://gofile.me/649X4/dQwXRGYyi</t>
  </si>
  <si>
    <t xml:space="preserve">BH102 Cloud магнитный автомобильный держатель(воздуховод)</t>
  </si>
  <si>
    <t xml:space="preserve">6941991108020</t>
  </si>
  <si>
    <t xml:space="preserve">1. Материал: ABS+PC+силикон.
2. Поверхность: текстурирование
3. Размер: 43*43*66мм. Вес: 38г.
4. Подходит для телефонов 4.5-7.0 дюймов.
5. Тип крепления: воздуховод.</t>
  </si>
  <si>
    <t xml:space="preserve">http://gofile.me/649X4/fPIVoENwx</t>
  </si>
  <si>
    <t xml:space="preserve">BH97 NT Ice магнитный автомобильный держатель (приборная панель)</t>
  </si>
  <si>
    <t xml:space="preserve">6941991105418</t>
  </si>
  <si>
    <t xml:space="preserve">черный/серый</t>
  </si>
  <si>
    <t xml:space="preserve">14.5*10.7*7.7</t>
  </si>
  <si>
    <t xml:space="preserve">1, Материал: ABS+ силикон
2, Поверхность: текстурирование + покраска
3, Размер: 138*68*83mm
4. Вес: 150g
5, Для телефонов 4.5-7 дюймов. (нагрузка до: 500g)
6. Крепление: панель приборов автомобиля.</t>
  </si>
  <si>
    <t xml:space="preserve">http://gofile.me/649X4/fmKszFJAp</t>
  </si>
  <si>
    <t xml:space="preserve">BH96 NT Ice магнитный автомобильный держатель (воздуховод)</t>
  </si>
  <si>
    <t xml:space="preserve">6941991105401</t>
  </si>
  <si>
    <t xml:space="preserve">14.7*9.6*3.5</t>
  </si>
  <si>
    <t xml:space="preserve">1, Материал: ABS+ силикон
2, Поверхность: текстурирование + покраска
3. Размер: 52*52*90mm
4, Вес: 70g
5, Для телефонов 4.5-7 дюймов. (нагрузка до: 500g)
6. Крепление: воздуховод автомобиля.</t>
  </si>
  <si>
    <t xml:space="preserve">http://gofile.me/649X4/CG4sN0LX5</t>
  </si>
  <si>
    <t xml:space="preserve">BH93 Grand автомобильный держатель (панель приборов)</t>
  </si>
  <si>
    <t xml:space="preserve">6941991103698</t>
  </si>
  <si>
    <t xml:space="preserve">17.5*11.6*8.5</t>
  </si>
  <si>
    <t xml:space="preserve">1, Материал: ABS+ силикон
2, Поверхность: текстурирование
3. Размер: 164*105*108мм
4, Вес: 155г
5, Для телефонов 4.5-7 дюймов (ширина зажима: 60-85мм)
6,Тип крепления: панель приборов</t>
  </si>
  <si>
    <t xml:space="preserve">http://gofile.me/649X4/EFyFZtxwK</t>
  </si>
  <si>
    <t xml:space="preserve">BH92 Grand автомобильный держатель (воздуховод)</t>
  </si>
  <si>
    <t xml:space="preserve">6941991103681</t>
  </si>
  <si>
    <t xml:space="preserve">18*10.6*5.5</t>
  </si>
  <si>
    <t xml:space="preserve">1, Материал: ABS+ силикон
2, Поверхность: текстурирование
3. Размер: 94*105*108мм
4, Вес: 73г
5, Для телефонов 4.5-7 дюймов (ширина зажима: 60-85мм)
6,Тип крепления: воздуховод</t>
  </si>
  <si>
    <t xml:space="preserve">http://gofile.me/649X4/3u3IG5RiO</t>
  </si>
  <si>
    <t xml:space="preserve">http://gofile.me/649X4/JQR2qqyVi</t>
  </si>
  <si>
    <t xml:space="preserve">BH85 Experience  автомобильный держатель (приборная панель)</t>
  </si>
  <si>
    <t xml:space="preserve">6941991100246</t>
  </si>
  <si>
    <t xml:space="preserve">14.6*10.7*7.5</t>
  </si>
  <si>
    <t xml:space="preserve">1. Материал: ABS+силикон.
2. Поверхность: текстурирование.
3, Размер: 108*153*101мм.
4. Вес: 145г.
5, Для телефонов 4.7-7дюймов (ширина зажима: 53-90мм).
6. Тип крепления: приборная панель авто.</t>
  </si>
  <si>
    <t xml:space="preserve">http://gofile.me/649X4/C5nudbMWY</t>
  </si>
  <si>
    <t xml:space="preserve">BH74 Rock гравитационный автомобильный держатель для воздуховода</t>
  </si>
  <si>
    <t xml:space="preserve">6974443386844</t>
  </si>
  <si>
    <t xml:space="preserve">17.5*10.5*5</t>
  </si>
  <si>
    <t xml:space="preserve">1. Материал: ABS+силикон.
2. Поверхность: текстурирование + окрашивание.
3. Размер: 92*88*88мм; вес: 44г.
4. Для телефонов 4.7-7.0 дюймов (зажим: 66-85мм).
5. Крепление: воздуховод автомобиля.</t>
  </si>
  <si>
    <t xml:space="preserve">http://hoco.i234.me:8000/sharing/J3VvLHWas</t>
  </si>
  <si>
    <t xml:space="preserve">BH73 Charm автомобильный держатель для панели приборов</t>
  </si>
  <si>
    <t xml:space="preserve">6974443386318</t>
  </si>
  <si>
    <t xml:space="preserve">21.1*12.1*7.5</t>
  </si>
  <si>
    <t xml:space="preserve">1. Материал: PC+ABS+силикон.
2. Поверхность: текстурирование.
3. Размер: 100*66*260мм; Вес: 185г.
4. Для телефонов 4.5-7.0 дюймов (ширина зажима: 55-95мм).
5. Крепление: панель приборов, ветровое стекло.</t>
  </si>
  <si>
    <t xml:space="preserve">http://hoco.i234.me:8000/sharing/PNvyhVHxp</t>
  </si>
  <si>
    <t xml:space="preserve">BH69 автомобильный держатель для воздуховода</t>
  </si>
  <si>
    <t xml:space="preserve">6974443384413</t>
  </si>
  <si>
    <t xml:space="preserve">17.5*11*6.1</t>
  </si>
  <si>
    <t xml:space="preserve">1. Материал: ABS+силикон.
2. Поверхность: текстурирование.
3. Размер: 106*107*106мм; вес: 97г.
4, Для телефонов 4.5-7дюймов, зажим: 64-95мм.
5. Крепление: воздуховод.</t>
  </si>
  <si>
    <t xml:space="preserve">http://hoco.i234.me:8000/sharing/QsLqJ82Wy</t>
  </si>
  <si>
    <t xml:space="preserve">BH60 Dainty автомобильный держатель для панели приборов</t>
  </si>
  <si>
    <t xml:space="preserve">6974443382754</t>
  </si>
  <si>
    <t xml:space="preserve">17.3*11*8</t>
  </si>
  <si>
    <t xml:space="preserve">1. Материал: ABS + силикон.
2. Технология обработки поверхности: текстурирование.
3. Размер: 162 * 106 * 115 мм.
4. Вес: 190 г.
5. Подходит для мобильных телефонов 4,5-7 дюймов (диапазон зажима: 64-95 мм).
6. Применимые сценарии: центральная консоль автомобиля, лобовое стекло.</t>
  </si>
  <si>
    <t xml:space="preserve">http://hoco.i234.me:8000/sharing/m0SFRzV1X</t>
  </si>
  <si>
    <t xml:space="preserve">http://gofile.me/649X4/44hmMA8MM</t>
  </si>
  <si>
    <t xml:space="preserve">BH54 Racer автомобильный держатель для ветрового стекла</t>
  </si>
  <si>
    <t xml:space="preserve">6931474752895</t>
  </si>
  <si>
    <t xml:space="preserve">черный серый</t>
  </si>
  <si>
    <t xml:space="preserve">17.4*10*8.2</t>
  </si>
  <si>
    <t xml:space="preserve">1. Материал: PC+ABS+ силикон + PVC.
2. Технология обработки поверхности: текстурирование + гальваника.
3. Размер: 100 * 73 * 345 м.
4. Вес: 170 г.
5. Подходит для мобильных телефонов 4,5-6,7 дюймов, зажим: 55-90 мм.
6. Применение: специально для лобового стекла автомобиля.
7. Удлиненная штанга для стабильной адсорбции.</t>
  </si>
  <si>
    <t xml:space="preserve">http://hoco.i234.me:8000/sharing/muC1nGHt1</t>
  </si>
  <si>
    <t xml:space="preserve">BH53 Windy автомобильный держатель для панели приборов</t>
  </si>
  <si>
    <t xml:space="preserve">6931474751867</t>
  </si>
  <si>
    <t xml:space="preserve">черный / серый</t>
  </si>
  <si>
    <t xml:space="preserve">21*11*7.5</t>
  </si>
  <si>
    <t xml:space="preserve">57.8*33.7*45</t>
  </si>
  <si>
    <t xml:space="preserve">1. Материал: ABS + кожа.
2. Технология обработки поверхности: текстурирование + гальваника.
3. Размер: 100 * 73 * 170 мм.
4. Вес: 170 г.
5. Зажим: 55-90 мм, подходит для мобильных телефонов 4,5-6,7 дюймов.
6. Крепление: приборная панель автомобиля, лобовое стекло и т. д.</t>
  </si>
  <si>
    <t xml:space="preserve">http://hoco.i234.me:8000/sharing/TQnVFaZP5</t>
  </si>
  <si>
    <t xml:space="preserve">http://gofile.me/649X4/2mFXTbkb7</t>
  </si>
  <si>
    <t xml:space="preserve">BH40 Kyle магнитный автомобильный держатель для воздуховода</t>
  </si>
  <si>
    <t xml:space="preserve">6931474740243</t>
  </si>
  <si>
    <t xml:space="preserve">16.2*9*4.3</t>
  </si>
  <si>
    <t xml:space="preserve">1. Материал: алюминиевый сплав + ABS + силикон.
2. Технология поверхности: оксидирование + текстурирование.
3. Размер: 59 * 40 * 57 мм.
4. Вес: 41 г.
5. Магнит: N38 * 5, нагрузка: 500 г.
6. Применимо: мобильный телефон 4,7-6,5-дюймов.
7. Крепление: воздуховод.</t>
  </si>
  <si>
    <t xml:space="preserve">http://hoco.i234.me:8000/sharing/kWtM2DYqq</t>
  </si>
  <si>
    <t xml:space="preserve">http://gofile.me/649X4/79mLe5wb7</t>
  </si>
  <si>
    <t xml:space="preserve">BH39 Amazing bay автомобильный держатель телефона для приборной панели</t>
  </si>
  <si>
    <t xml:space="preserve">6931474742506</t>
  </si>
  <si>
    <t xml:space="preserve">15.5*10.8*8</t>
  </si>
  <si>
    <t xml:space="preserve">1. Материал: ABS+PC.
2. Поверхность: текстурирование.
3. Размер: 155 * 88 * 108мм.
4. Вес: 155г.
5. Совместимость: мобильные телефоны 4,5-6,5-дюймов, зажим: 55-85мм.
6. Применение: центральная консоль, лобовое стекло.</t>
  </si>
  <si>
    <t xml:space="preserve">http://hoco.i234.me:8000/sharing/REAlpVDHb</t>
  </si>
  <si>
    <t xml:space="preserve">BH38 Magic bay автомобильный держатель телефона для приборной панели</t>
  </si>
  <si>
    <t xml:space="preserve">6931474742490</t>
  </si>
  <si>
    <t xml:space="preserve">20*11*7.1</t>
  </si>
  <si>
    <t xml:space="preserve">1. Материал: ABS+PC.
2. Поверхность: текстурирование.
3. Размер: 158*85*108мм.
4. Вес: 161г.
5. Совместимость: мобильные телефоны 4,5-7-дюймов, зажим: 60-90мм.
6. Применение: центральная консоль, лобовое стекло.</t>
  </si>
  <si>
    <t xml:space="preserve">http://hoco.i234.me:8000/sharing/BZ9JemPuk</t>
  </si>
  <si>
    <t xml:space="preserve">BH37 Route автомобильный держатель на присоске</t>
  </si>
  <si>
    <t xml:space="preserve">6931474738486</t>
  </si>
  <si>
    <t xml:space="preserve">19.5*12*6</t>
  </si>
  <si>
    <t xml:space="preserve">1. Материал: PC + ABS + силикон.
2. Поверхность: матовая текстура + зеркальная полировка.
3. Размер: 70 * 140 * 110 мм.
4. Вес: 126.5 г.
5. Диапазон зажима: 55-90 мм.
6. Подходит для мобильных телефонов 4,5-6,5 дюймов.
7. Крепление: приборная панель, лобовое стекло и т. д.</t>
  </si>
  <si>
    <t xml:space="preserve">http://hoco.i234.me:8000/sharing/Z17ouRMmw</t>
  </si>
  <si>
    <t xml:space="preserve">BH19 Eddie автомобильный держатель для воздуховода</t>
  </si>
  <si>
    <t xml:space="preserve">6931474721204</t>
  </si>
  <si>
    <t xml:space="preserve">16*9*4.6</t>
  </si>
  <si>
    <t xml:space="preserve">1. Материал изготовления: ABS + силикон.
2. Размеры: 115 * 80 * 41 мм. Вес: 37 г.
3. Для мобильных телефонов с диагональю 4-6.5 дюймов.
4. Место крепления: для воздуховода.</t>
  </si>
  <si>
    <t xml:space="preserve">http://hoco.i234.me:8000/sharing/J5M2FkYfG</t>
  </si>
  <si>
    <t xml:space="preserve">BH18 Journey автомобильный держатель для ветрового стекла</t>
  </si>
  <si>
    <t xml:space="preserve">6931474711021</t>
  </si>
  <si>
    <r>
      <rPr>
        <sz val="10"/>
        <color rgb="FF202020"/>
        <rFont val="Arial"/>
        <family val="0"/>
        <charset val="1"/>
      </rPr>
      <t xml:space="preserve">черный</t>
    </r>
    <r>
      <rPr>
        <sz val="10"/>
        <color rgb="FF202020"/>
        <rFont val="Noto Sans"/>
        <family val="2"/>
      </rPr>
      <t xml:space="preserve">＆</t>
    </r>
    <r>
      <rPr>
        <sz val="10"/>
        <color rgb="FF202020"/>
        <rFont val="Arial"/>
        <family val="0"/>
        <charset val="1"/>
      </rPr>
      <t xml:space="preserve">красный</t>
    </r>
  </si>
  <si>
    <t xml:space="preserve">18*9*8</t>
  </si>
  <si>
    <t xml:space="preserve">1. Материал изготовления: PC / ABS / силикон.
2. Цвет: черный и красный.
3. Поверхность: с текстурой под карбон.
4. Размеры: 220*78*70мм, вес: 95 г.
5. Совместим со всеми мобильными телефонами (с металлической пластиной).
6. Место крепления: лобовое стекло.
7. Универсальное вращение.</t>
  </si>
  <si>
    <t xml:space="preserve">http://hoco.i234.me:8000/sharing/h9zrn7BMa</t>
  </si>
  <si>
    <t xml:space="preserve">BH8 магнитный автомобильный держатель для воздуховода</t>
  </si>
  <si>
    <t xml:space="preserve">6931474702005</t>
  </si>
  <si>
    <t xml:space="preserve">16.2*9.1*4</t>
  </si>
  <si>
    <t xml:space="preserve">1. Материал изготовления: алюминиевый сплав.
2. Обработка: алюминиевый сплав + оксидирование + силиконовая площадка.
3. Размеры: 33.5мм*30мм. Вес: 26 г.
4. Магнитный держатель.
5. Место крепления: воздуховод.</t>
  </si>
  <si>
    <t xml:space="preserve">http://hoco.i234.me:8000/sharing/YYNe45DOh</t>
  </si>
  <si>
    <t xml:space="preserve">http://gofile.me/649X4/LqG4e0tXr</t>
  </si>
  <si>
    <t xml:space="preserve">BH7 Plane магнитный автомобильный держатель</t>
  </si>
  <si>
    <t xml:space="preserve">6931474701985</t>
  </si>
  <si>
    <t xml:space="preserve">16.2*9.1*2</t>
  </si>
  <si>
    <t xml:space="preserve">1. Материал изготовления: алюминиевый сплав.
2. Обработка: алюминиевый сплав + оксидирование + силиконовая площадка.
3. Размеры: 33.5мм*8мм. Вес: 20.6 г.
4. Магнитный держатель.
5. Применение: для приборной панели.</t>
  </si>
  <si>
    <t xml:space="preserve">http://hoco.i234.me:8000/sharing/ZTwSmaQUc</t>
  </si>
  <si>
    <t xml:space="preserve">Автозарядки и аксессуары</t>
  </si>
  <si>
    <t xml:space="preserve">FC5 car parking sign</t>
  </si>
  <si>
    <t xml:space="preserve">6941991129612</t>
  </si>
  <si>
    <t xml:space="preserve">15.6*9.1*2</t>
  </si>
  <si>
    <t xml:space="preserve">1. Материал: ABS+PC.
2. Обработка поверхности: текстурированное напыление.
3. Размер: 128 x 35 x 17.5 мм; вес: 32 г.
4. Применение: приборная панель автомобиля.
5. Совместим со всеми моделями автомобилей.
6. 4-значная комбинация.</t>
  </si>
  <si>
    <t xml:space="preserve">http://gofile.me/649X4/xRF7MyVv5</t>
  </si>
  <si>
    <t xml:space="preserve">FC3 Ronny парковочная табличка</t>
  </si>
  <si>
    <t xml:space="preserve">6941991118760</t>
  </si>
  <si>
    <t xml:space="preserve">1. Материал: ABS+алюминиевый сплав
2. Поверхность: текстурирование + оксидирование
3. Размер: 130*20*16mm; Вес: 19g
4. Применение: любые транспортные средства
5. Применение: информационная панель для авто.</t>
  </si>
  <si>
    <t xml:space="preserve">http://gofile.me/649X4/AsnbTUVXw</t>
  </si>
  <si>
    <t xml:space="preserve">BZ35 Leader 30W(2C2A) автомобильное зарядное устройство</t>
  </si>
  <si>
    <t xml:space="preserve">6941991127762</t>
  </si>
  <si>
    <t xml:space="preserve">16.4*9.1*3</t>
  </si>
  <si>
    <r>
      <rPr>
        <sz val="9"/>
        <color theme="1" tint="0.2499"/>
        <rFont val="微软雅黑"/>
        <family val="0"/>
        <charset val="134"/>
      </rPr>
      <t xml:space="preserve">1. Материал: огнеупорный РС
2. Размер: 80 * 42 * 26.5mm; Вес: 31g
3. Выход: 
USB-C1/C2:5V/3A; 
USB-A1/A2</t>
    </r>
    <r>
      <rPr>
        <sz val="9"/>
        <color theme="1" tint="0.2499"/>
        <rFont val="Noto Sans"/>
        <family val="2"/>
      </rPr>
      <t xml:space="preserve">：</t>
    </r>
    <r>
      <rPr>
        <sz val="9"/>
        <color theme="1" tint="0.2499"/>
        <rFont val="微软雅黑"/>
        <family val="0"/>
        <charset val="134"/>
      </rPr>
      <t xml:space="preserve">5V/2.4A</t>
    </r>
    <r>
      <rPr>
        <sz val="9"/>
        <color theme="1" tint="0.2499"/>
        <rFont val="Noto Sans"/>
        <family val="2"/>
      </rPr>
      <t xml:space="preserve">；
</t>
    </r>
    <r>
      <rPr>
        <sz val="9"/>
        <color theme="1" tint="0.2499"/>
        <rFont val="微软雅黑"/>
        <family val="0"/>
        <charset val="134"/>
      </rPr>
      <t xml:space="preserve">(USB-C1+USB-A1)+(USB-C2+USB-A2)</t>
    </r>
    <r>
      <rPr>
        <sz val="9"/>
        <color theme="1" tint="0.2499"/>
        <rFont val="Noto Sans"/>
        <family val="2"/>
      </rPr>
      <t xml:space="preserve">：</t>
    </r>
    <r>
      <rPr>
        <sz val="9"/>
        <color theme="1" tint="0.2499"/>
        <rFont val="微软雅黑"/>
        <family val="0"/>
        <charset val="134"/>
      </rPr>
      <t xml:space="preserve">15W+15W</t>
    </r>
  </si>
  <si>
    <t xml:space="preserve">http://gofile.me/649X4/e3tnGmVqR</t>
  </si>
  <si>
    <t xml:space="preserve">BZ35 Leader 30W(2C2A) автомобильное зарядное устройство набор (iP)</t>
  </si>
  <si>
    <t xml:space="preserve">6941991127779</t>
  </si>
  <si>
    <r>
      <rPr>
        <sz val="9"/>
        <color theme="1" tint="0.2499"/>
        <rFont val="微软雅黑"/>
        <family val="0"/>
        <charset val="134"/>
      </rPr>
      <t xml:space="preserve">1. Материал: огнеупорный РС
2. Размер: 80 * 42 * 26.5mm; общий вес: 51g
3. Выход: 
USB-C1/C2:5V/3A; 
USB-A1/A2</t>
    </r>
    <r>
      <rPr>
        <sz val="9"/>
        <color theme="1" tint="0.2499"/>
        <rFont val="Noto Sans"/>
        <family val="2"/>
      </rPr>
      <t xml:space="preserve">：</t>
    </r>
    <r>
      <rPr>
        <sz val="9"/>
        <color theme="1" tint="0.2499"/>
        <rFont val="微软雅黑"/>
        <family val="0"/>
        <charset val="134"/>
      </rPr>
      <t xml:space="preserve">5V/2.4A</t>
    </r>
    <r>
      <rPr>
        <sz val="9"/>
        <color theme="1" tint="0.2499"/>
        <rFont val="Noto Sans"/>
        <family val="2"/>
      </rPr>
      <t xml:space="preserve">；
</t>
    </r>
    <r>
      <rPr>
        <sz val="9"/>
        <color theme="1" tint="0.2499"/>
        <rFont val="微软雅黑"/>
        <family val="0"/>
        <charset val="134"/>
      </rPr>
      <t xml:space="preserve">(USB-C1+USB-A1)+(USB-C2+USB-A2)</t>
    </r>
    <r>
      <rPr>
        <sz val="9"/>
        <color theme="1" tint="0.2499"/>
        <rFont val="Noto Sans"/>
        <family val="2"/>
      </rPr>
      <t xml:space="preserve">：</t>
    </r>
    <r>
      <rPr>
        <sz val="9"/>
        <color theme="1" tint="0.2499"/>
        <rFont val="微软雅黑"/>
        <family val="0"/>
        <charset val="134"/>
      </rPr>
      <t xml:space="preserve">15W+15W
4. Набор с кабелем 1m Lightning</t>
    </r>
  </si>
  <si>
    <t xml:space="preserve">http://gofile.me/649X4/hZ0N2CKpm</t>
  </si>
  <si>
    <t xml:space="preserve">BZ34 CloudQC3.0 автомобильное зарядное устройство</t>
  </si>
  <si>
    <t xml:space="preserve">6941991122255</t>
  </si>
  <si>
    <t xml:space="preserve">10.2*7.2*3.2</t>
  </si>
  <si>
    <r>
      <rPr>
        <sz val="9"/>
        <color theme="1" tint="0.2499"/>
        <rFont val="微软雅黑"/>
        <family val="0"/>
        <charset val="134"/>
      </rPr>
      <t xml:space="preserve">1. Материал:  ABS
2. Размер:  61.5 * 28 * 26mm, Вес:  16g
3. Выход:  USB-A: 18W (QC/FCP/AFC</t>
    </r>
    <r>
      <rPr>
        <sz val="9"/>
        <color theme="1" tint="0.2499"/>
        <rFont val="Noto Sans"/>
        <family val="2"/>
      </rPr>
      <t xml:space="preserve">）</t>
    </r>
  </si>
  <si>
    <t xml:space="preserve">http://gofile.me/649X4/eASdBxGQt</t>
  </si>
  <si>
    <t xml:space="preserve">6941991122262</t>
  </si>
  <si>
    <t xml:space="preserve">BZ34 CloudQC3.0 автомобильное зарядное устройство набор (Micro)</t>
  </si>
  <si>
    <t xml:space="preserve">6941991122279</t>
  </si>
  <si>
    <r>
      <rPr>
        <sz val="9"/>
        <color theme="1" tint="0.2499"/>
        <rFont val="微软雅黑"/>
        <family val="0"/>
        <charset val="134"/>
      </rPr>
      <t xml:space="preserve">1. Материал:  ABS
2. Размер:  61.5 * 28 * 26mm, Общий вес:  41g
3. Выход:  USB-A: 18W (QC/FCP/AFC</t>
    </r>
    <r>
      <rPr>
        <sz val="9"/>
        <color theme="1" tint="0.2499"/>
        <rFont val="Noto Sans"/>
        <family val="2"/>
      </rPr>
      <t xml:space="preserve">）
</t>
    </r>
    <r>
      <rPr>
        <sz val="9"/>
        <color theme="1" tint="0.2499"/>
        <rFont val="微软雅黑"/>
        <family val="0"/>
        <charset val="134"/>
      </rPr>
      <t xml:space="preserve">4. Набор с кабелем 1м Micro.</t>
    </r>
  </si>
  <si>
    <t xml:space="preserve">http://gofile.me/649X4/lHfvLX99C</t>
  </si>
  <si>
    <t xml:space="preserve">6941991122286</t>
  </si>
  <si>
    <t xml:space="preserve">BZ34 CloudQC3.0 автомобильное зарядное устройство набор (Type-C)</t>
  </si>
  <si>
    <t xml:space="preserve">6941991122293</t>
  </si>
  <si>
    <r>
      <rPr>
        <sz val="9"/>
        <color theme="1" tint="0.2499"/>
        <rFont val="微软雅黑"/>
        <family val="0"/>
        <charset val="134"/>
      </rPr>
      <t xml:space="preserve">1. Материал:  ABS
2. Размер:  61.5 * 28 * 26mm, Общий вес:  41g
3. Выход:  USB-A: 18W (QC/FCP/AFC</t>
    </r>
    <r>
      <rPr>
        <sz val="9"/>
        <color theme="1" tint="0.2499"/>
        <rFont val="Noto Sans"/>
        <family val="2"/>
      </rPr>
      <t xml:space="preserve">）
</t>
    </r>
    <r>
      <rPr>
        <sz val="9"/>
        <color theme="1" tint="0.2499"/>
        <rFont val="微软雅黑"/>
        <family val="0"/>
        <charset val="134"/>
      </rPr>
      <t xml:space="preserve">4. Набор с кабелем 1м Type-C.</t>
    </r>
  </si>
  <si>
    <t xml:space="preserve">http://gofile.me/649X4/mg19RSvjB</t>
  </si>
  <si>
    <t xml:space="preserve">6941991122309</t>
  </si>
  <si>
    <t xml:space="preserve">BZ34A Cloud PD20W автомобильное зарядное устройство</t>
  </si>
  <si>
    <t xml:space="preserve">6941991122316</t>
  </si>
  <si>
    <r>
      <rPr>
        <sz val="9"/>
        <color theme="1" tint="0.2499"/>
        <rFont val="微软雅黑"/>
        <family val="0"/>
        <charset val="134"/>
      </rPr>
      <t xml:space="preserve">1. Материал:  ABS
2. Размер:  61.5 * 28 * 26mm, Вес:  16g
3. Выход:  USB-C: 20W (PD/QC/FCP/AFC</t>
    </r>
    <r>
      <rPr>
        <sz val="9"/>
        <color theme="1" tint="0.2499"/>
        <rFont val="Noto Sans"/>
        <family val="2"/>
      </rPr>
      <t xml:space="preserve">）</t>
    </r>
  </si>
  <si>
    <t xml:space="preserve">http://gofile.me/649X4/PPSTUMFjL</t>
  </si>
  <si>
    <t xml:space="preserve">6941991122323</t>
  </si>
  <si>
    <t xml:space="preserve">BZ34A Cloud PD20W автомобильное зарядное устройство набор (C на iP)</t>
  </si>
  <si>
    <t xml:space="preserve">6941991122330</t>
  </si>
  <si>
    <r>
      <rPr>
        <sz val="9"/>
        <color theme="1" tint="0.2499"/>
        <rFont val="微软雅黑"/>
        <family val="0"/>
        <charset val="134"/>
      </rPr>
      <t xml:space="preserve">1. Материал:  ABS
2. Размер:  61.5 * 28 * 26mm, Общий вес:  41g
3. Выход:  USB-C: 20W (PD/QC/FCP/AFC</t>
    </r>
    <r>
      <rPr>
        <sz val="9"/>
        <color theme="1" tint="0.2499"/>
        <rFont val="Noto Sans"/>
        <family val="2"/>
      </rPr>
      <t xml:space="preserve">）
</t>
    </r>
    <r>
      <rPr>
        <sz val="9"/>
        <color theme="1" tint="0.2499"/>
        <rFont val="微软雅黑"/>
        <family val="0"/>
        <charset val="134"/>
      </rPr>
      <t xml:space="preserve">4. Набор с кабелем 1м C на iP.</t>
    </r>
  </si>
  <si>
    <t xml:space="preserve">http://gofile.me/649X4/KMcClIZZV</t>
  </si>
  <si>
    <t xml:space="preserve">BZ34A Cloud PD20W автомобильное зарядное устройство набор (C на C)</t>
  </si>
  <si>
    <t xml:space="preserve">6941991122354</t>
  </si>
  <si>
    <r>
      <rPr>
        <sz val="9"/>
        <color theme="1" tint="0.2499"/>
        <rFont val="微软雅黑"/>
        <family val="0"/>
        <charset val="134"/>
      </rPr>
      <t xml:space="preserve">1. Материал:  ABS
2. Размер:  61.5 * 28 * 26mm, Общий вес:  41g
3. Выход:  USB-C: 20W (PD/QC/FCP/AFC</t>
    </r>
    <r>
      <rPr>
        <sz val="9"/>
        <color theme="1" tint="0.2499"/>
        <rFont val="Noto Sans"/>
        <family val="2"/>
      </rPr>
      <t xml:space="preserve">）
</t>
    </r>
    <r>
      <rPr>
        <sz val="9"/>
        <color theme="1" tint="0.2499"/>
        <rFont val="微软雅黑"/>
        <family val="0"/>
        <charset val="134"/>
      </rPr>
      <t xml:space="preserve">4. Набор с кабелем 1м C на C 60W.</t>
    </r>
  </si>
  <si>
    <t xml:space="preserve">http://gofile.me/649X4/VtGQE0Hbm</t>
  </si>
  <si>
    <t xml:space="preserve">BZ34B Cloud PD38W(1C1A) автомобильное зарядное устройство</t>
  </si>
  <si>
    <t xml:space="preserve">6941991122378</t>
  </si>
  <si>
    <t xml:space="preserve">1. Материал:  ABS
2. Размер:  61.5 * 28 * 26mm, Вес:  20g
3. Выход:  
USB-C: 20W (PD/QC/FCP/AFC).
USB-A: 18W (QC/FCP/AFC).
USB-C+USB-A=20W+18W</t>
  </si>
  <si>
    <t xml:space="preserve">http://gofile.me/649X4/rtuc0W4i2</t>
  </si>
  <si>
    <t xml:space="preserve">6941991122385</t>
  </si>
  <si>
    <t xml:space="preserve">BZ34B Cloud PD38W(1C1A) автомобильное зарядное устройство набор (C на iP)</t>
  </si>
  <si>
    <t xml:space="preserve">6941991122392</t>
  </si>
  <si>
    <t xml:space="preserve">1. Материал:  ABS
2. Размер:  61.5 * 28 * 26mm, Общий вес:  45g
3. Выход:  
USB-C: 20W (PD/QC/FCP/AFC).
USB-A: 18W (QC/FCP/AFC).
USB-C+USB-A=20W+18W
4. Набор с кабелем 1м C на iP.</t>
  </si>
  <si>
    <t xml:space="preserve">http://gofile.me/649X4/u67B8745R</t>
  </si>
  <si>
    <t xml:space="preserve">6941991122408</t>
  </si>
  <si>
    <t xml:space="preserve">BZ34B Cloud PD38W(1C1A) автомобильное зарядное устройство набор (C на C)</t>
  </si>
  <si>
    <t xml:space="preserve">6941991122415</t>
  </si>
  <si>
    <t xml:space="preserve">1. Материал:  ABS
2. Размер:  61.5 * 28 * 26mm, Общий вес:  45g
3. Выход:  
USB-C: 20W (PD/QC/FCP/AFC).
USB-A: 18W (QC/FCP/AFC).
USB-C+USB-A=20W+18W
4. Набор с кабелем 1м C на C 60W</t>
  </si>
  <si>
    <t xml:space="preserve">http://gofile.me/649X4/l7vmUSaeW</t>
  </si>
  <si>
    <t xml:space="preserve">6941991122422</t>
  </si>
  <si>
    <t xml:space="preserve">BZ32 Fresh автомобильное зарядное устройство с одним портом PD30W</t>
  </si>
  <si>
    <t xml:space="preserve">6941991118517</t>
  </si>
  <si>
    <t xml:space="preserve">1. Материал: алюминиевый сплав
2. Выход: USB-C: 30W (PD/QC/FCP/AFC)
3. Размер: 61.5*27.5mm; Вес: 29g</t>
  </si>
  <si>
    <t xml:space="preserve">http://gofile.me/649X4/46gVH3f5u</t>
  </si>
  <si>
    <t xml:space="preserve">BZ32A Fresh PD30W+QC3.0 автомобильное зарядное устройство</t>
  </si>
  <si>
    <t xml:space="preserve">6941991118579</t>
  </si>
  <si>
    <r>
      <rPr>
        <sz val="9"/>
        <color theme="1" tint="0.2499"/>
        <rFont val="微软雅黑"/>
        <family val="0"/>
        <charset val="134"/>
      </rPr>
      <t xml:space="preserve">1. Материал: алюминиевый сплав
2. Выход: USB-C: 30W (PD/QC/FCP/AFC);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USB-C+USB-A=5V/3A
3. Размер: 53*25mm; Вес: 20g</t>
    </r>
  </si>
  <si>
    <t xml:space="preserve">http://gofile.me/649X4/DpLIavbMD</t>
  </si>
  <si>
    <t xml:space="preserve">BZ32B Fresh 48W автомобильное зарядное устройство с 2 портами PD30W+QC3.0</t>
  </si>
  <si>
    <t xml:space="preserve">6941991118630</t>
  </si>
  <si>
    <r>
      <rPr>
        <sz val="9"/>
        <color theme="1" tint="0.2499"/>
        <rFont val="微软雅黑"/>
        <family val="0"/>
        <charset val="134"/>
      </rPr>
      <t xml:space="preserve">1. Материал: алюминиевый сплав
2. Выход: USB-C: 30W (PD/QC/FCP/AFC);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USB-C+USB-A=30W+18W
3. Размер: 61.5*27.5mm; Вес: 29g</t>
    </r>
  </si>
  <si>
    <t xml:space="preserve">http://gofile.me/649X4/zoL66VEDJ</t>
  </si>
  <si>
    <t xml:space="preserve">BZ28A Trophie PD30W+QC3.0 автомобильное зарядное устройство</t>
  </si>
  <si>
    <t xml:space="preserve">6941991110818</t>
  </si>
  <si>
    <t xml:space="preserve">16.4*9*3.4</t>
  </si>
  <si>
    <r>
      <rPr>
        <sz val="9"/>
        <color theme="1" tint="0.2499"/>
        <rFont val="微软雅黑"/>
        <family val="0"/>
        <charset val="134"/>
      </rPr>
      <t xml:space="preserve">1. Вход: DC12-24V
2. Выход: Type-C: 30W (PD/QC/FCP/AFC);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Type-C+USB-A=5V/3A
3. Материал: огнеупорный PC.
4. Размер: 73*30mm; Вес: 20g</t>
    </r>
  </si>
  <si>
    <t xml:space="preserve">http://gofile.me/649X4/BCzW1xtQH</t>
  </si>
  <si>
    <t xml:space="preserve">BZ28C Trophie PD60W(2C1A) автомобильное зарядное устройство</t>
  </si>
  <si>
    <t xml:space="preserve">6941991110870</t>
  </si>
  <si>
    <r>
      <rPr>
        <sz val="9"/>
        <color theme="1" tint="0.2499"/>
        <rFont val="微软雅黑"/>
        <family val="0"/>
        <charset val="134"/>
      </rPr>
      <t xml:space="preserve">1. Вход: DC12-24V
2. Выход: Type-C 1/2: 30W (PD/QC/FCP/AFC);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C1+A=30W+18W</t>
    </r>
    <r>
      <rPr>
        <sz val="9"/>
        <color theme="1" tint="0.2499"/>
        <rFont val="Noto Sans"/>
        <family val="2"/>
      </rPr>
      <t xml:space="preserve">； </t>
    </r>
    <r>
      <rPr>
        <sz val="9"/>
        <color theme="1" tint="0.2499"/>
        <rFont val="微软雅黑"/>
        <family val="0"/>
        <charset val="134"/>
      </rPr>
      <t xml:space="preserve">C2+A=5V/3A</t>
    </r>
    <r>
      <rPr>
        <sz val="9"/>
        <color theme="1" tint="0.2499"/>
        <rFont val="Noto Sans"/>
        <family val="2"/>
      </rPr>
      <t xml:space="preserve">； </t>
    </r>
    <r>
      <rPr>
        <sz val="9"/>
        <color theme="1" tint="0.2499"/>
        <rFont val="微软雅黑"/>
        <family val="0"/>
        <charset val="134"/>
      </rPr>
      <t xml:space="preserve">C1+C2=30W+30W</t>
    </r>
    <r>
      <rPr>
        <sz val="9"/>
        <color theme="1" tint="0.2499"/>
        <rFont val="Noto Sans"/>
        <family val="2"/>
      </rPr>
      <t xml:space="preserve">； </t>
    </r>
    <r>
      <rPr>
        <sz val="9"/>
        <color theme="1" tint="0.2499"/>
        <rFont val="微软雅黑"/>
        <family val="0"/>
        <charset val="134"/>
      </rPr>
      <t xml:space="preserve">C1+(C2+A)=30W+15W
3. Материал: огнеупорный PC.
4. Размер: 73*37mm; Вес: 25g</t>
    </r>
  </si>
  <si>
    <t xml:space="preserve">http://gofile.me/649X4/CP9KUQ6sy</t>
  </si>
  <si>
    <t xml:space="preserve">BZ25 Journey PD38W(1C1A) car charger</t>
  </si>
  <si>
    <t xml:space="preserve">6941991106965</t>
  </si>
  <si>
    <t xml:space="preserve">прозрачный черный</t>
  </si>
  <si>
    <t xml:space="preserve">10.3*7.2*3</t>
  </si>
  <si>
    <r>
      <rPr>
        <sz val="9"/>
        <color theme="1" tint="0.2499"/>
        <rFont val="微软雅黑"/>
        <family val="0"/>
        <charset val="134"/>
      </rPr>
      <t xml:space="preserve">1, Вход: DC12-24V
2, Выход: Type-C: 20W(PD/QC/FCP/AFC);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Type-C+USB-A=20W+18W
3. Материал: огнеупорный материал РС + алюминиевый сплав.
4, Размер: 63 * 27mm; Вес: 16g</t>
    </r>
  </si>
  <si>
    <t xml:space="preserve">http://gofile.me/649X4/VY578Gzew</t>
  </si>
  <si>
    <t xml:space="preserve">BZ25 Journey PD38W(1C1A) car charger set(C to iP)</t>
  </si>
  <si>
    <t xml:space="preserve">6941991106972</t>
  </si>
  <si>
    <r>
      <rPr>
        <sz val="9"/>
        <color theme="1" tint="0.2499"/>
        <rFont val="微软雅黑"/>
        <family val="0"/>
        <charset val="134"/>
      </rPr>
      <t xml:space="preserve">1, Вход: DC12-24V
2, Выход: Type-C: 20W(PD/QC/FCP/AFC);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Type-C+USB-A=20W+18W
3. Материал: огнеупорный материал РС + алюминиевый сплав.
4, Размер: 63 * 27mm; общий Вес: 30g
5, Набор с кабелем 1м C на Lightning.</t>
    </r>
  </si>
  <si>
    <t xml:space="preserve">http://gofile.me/649X4/SfPFttpi0</t>
  </si>
  <si>
    <t xml:space="preserve">BZ25 Journey PD38W(1C1A) car charger set(Type-C to Type-C)</t>
  </si>
  <si>
    <t xml:space="preserve">6941991106989</t>
  </si>
  <si>
    <r>
      <rPr>
        <sz val="9"/>
        <color theme="1" tint="0.2499"/>
        <rFont val="微软雅黑"/>
        <family val="0"/>
        <charset val="134"/>
      </rPr>
      <t xml:space="preserve">1, Вход: DC12-24V
2, Выход: Type-C: 20W(PD/QC/FCP/AFC);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Type-C+USB-A=20W+18W
3. Материал: огнеупорный материал РС + алюминиевый сплав.
4, Размер: 63 * 27mm; Total Вес: 30g
5, Набор с кабелем 1м C на С.</t>
    </r>
  </si>
  <si>
    <t xml:space="preserve">http://gofile.me/649X4/xcMsscdQy</t>
  </si>
  <si>
    <t xml:space="preserve">BZ22 Scenery автомобильное зарядное устройство с 2 портами PD30W+QC3.0</t>
  </si>
  <si>
    <t xml:space="preserve">6941991105180</t>
  </si>
  <si>
    <t xml:space="preserve">10.2*7.1*3</t>
  </si>
  <si>
    <r>
      <rPr>
        <sz val="9"/>
        <color theme="1" tint="0.2499"/>
        <rFont val="微软雅黑"/>
        <family val="0"/>
        <charset val="134"/>
      </rPr>
      <t xml:space="preserve">1. Вход DC12-24V
2. Выход: Type-C-C: 30W(PD/QC/FCP/AFC);
USB-A</t>
    </r>
    <r>
      <rPr>
        <sz val="9"/>
        <color theme="1" tint="0.2499"/>
        <rFont val="Noto Sans"/>
        <family val="2"/>
      </rPr>
      <t xml:space="preserve">：</t>
    </r>
    <r>
      <rPr>
        <sz val="9"/>
        <color theme="1" tint="0.2499"/>
        <rFont val="微软雅黑"/>
        <family val="0"/>
        <charset val="134"/>
      </rPr>
      <t xml:space="preserve">18W</t>
    </r>
    <r>
      <rPr>
        <sz val="9"/>
        <color theme="1" tint="0.2499"/>
        <rFont val="Noto Sans"/>
        <family val="2"/>
      </rPr>
      <t xml:space="preserve">（</t>
    </r>
    <r>
      <rPr>
        <sz val="9"/>
        <color theme="1" tint="0.2499"/>
        <rFont val="微软雅黑"/>
        <family val="0"/>
        <charset val="134"/>
      </rPr>
      <t xml:space="preserve">QC/FCP/AFC</t>
    </r>
    <r>
      <rPr>
        <sz val="9"/>
        <color theme="1" tint="0.2499"/>
        <rFont val="Noto Sans"/>
        <family val="2"/>
      </rPr>
      <t xml:space="preserve">）； </t>
    </r>
    <r>
      <rPr>
        <sz val="9"/>
        <color theme="1" tint="0.2499"/>
        <rFont val="微软雅黑"/>
        <family val="0"/>
        <charset val="134"/>
      </rPr>
      <t xml:space="preserve">Type-C+USB-A=15W
3. Материал: огнеупорный PC + алюминиевый сплав.
4. Размер: 42*24mm, вес: 13g</t>
    </r>
  </si>
  <si>
    <t xml:space="preserve">http://gofile.me/649X4/ZvigzL0u4</t>
  </si>
  <si>
    <t xml:space="preserve">BZ21 Brilliant 48W зарядное устройство с двумя портами PD30W+QC3.0</t>
  </si>
  <si>
    <t xml:space="preserve">6941991101175</t>
  </si>
  <si>
    <t xml:space="preserve">16.4*9*3.5</t>
  </si>
  <si>
    <r>
      <rPr>
        <sz val="9"/>
        <color theme="1" tint="0.2499"/>
        <rFont val="微软雅黑"/>
        <family val="0"/>
        <charset val="134"/>
      </rPr>
      <t xml:space="preserve">1, Вход: DC12-24V
2, Выход: USB-A: 18W(QC/AFC/FCP); Type-C</t>
    </r>
    <r>
      <rPr>
        <sz val="9"/>
        <color theme="1" tint="0.2499"/>
        <rFont val="Noto Sans"/>
        <family val="2"/>
      </rPr>
      <t xml:space="preserve">：</t>
    </r>
    <r>
      <rPr>
        <sz val="9"/>
        <color theme="1" tint="0.2499"/>
        <rFont val="微软雅黑"/>
        <family val="0"/>
        <charset val="134"/>
      </rPr>
      <t xml:space="preserve">30W</t>
    </r>
    <r>
      <rPr>
        <sz val="9"/>
        <color theme="1" tint="0.2499"/>
        <rFont val="Noto Sans"/>
        <family val="2"/>
      </rPr>
      <t xml:space="preserve">（</t>
    </r>
    <r>
      <rPr>
        <sz val="9"/>
        <color theme="1" tint="0.2499"/>
        <rFont val="微软雅黑"/>
        <family val="0"/>
        <charset val="134"/>
      </rPr>
      <t xml:space="preserve">PD/QC/AFC/FCP</t>
    </r>
    <r>
      <rPr>
        <sz val="9"/>
        <color theme="1" tint="0.2499"/>
        <rFont val="Noto Sans"/>
        <family val="2"/>
      </rPr>
      <t xml:space="preserve">）； </t>
    </r>
    <r>
      <rPr>
        <sz val="9"/>
        <color theme="1" tint="0.2499"/>
        <rFont val="微软雅黑"/>
        <family val="0"/>
        <charset val="134"/>
      </rPr>
      <t xml:space="preserve">USB-A+Type-C=18W+30W</t>
    </r>
    <r>
      <rPr>
        <sz val="9"/>
        <color theme="1" tint="0.2499"/>
        <rFont val="Noto Sans"/>
        <family val="2"/>
      </rPr>
      <t xml:space="preserve">（</t>
    </r>
    <r>
      <rPr>
        <sz val="9"/>
        <color theme="1" tint="0.2499"/>
        <rFont val="微软雅黑"/>
        <family val="0"/>
        <charset val="134"/>
      </rPr>
      <t xml:space="preserve">48W)
3. Материал: огнеупорный PC+ABS.
4, Длина*диаметр: 70*32мм., вес: 25г.</t>
    </r>
  </si>
  <si>
    <t xml:space="preserve">http://gofile.me/649X4/MMtuW2kIu</t>
  </si>
  <si>
    <t xml:space="preserve">BZ21A Brilliant 36W зарядное устройство с двумя портами QC3.0</t>
  </si>
  <si>
    <t xml:space="preserve">6941991101205</t>
  </si>
  <si>
    <r>
      <rPr>
        <sz val="9"/>
        <color theme="1" tint="0.2499"/>
        <rFont val="微软雅黑"/>
        <family val="0"/>
        <charset val="134"/>
      </rPr>
      <t xml:space="preserve">1, Вход: DC12-24V
2, Выход: USB-A 1/2: 18W (QC/AFC/FCP);
USB-A 1+USB-A 2=18W+18W</t>
    </r>
    <r>
      <rPr>
        <sz val="9"/>
        <color theme="1" tint="0.2499"/>
        <rFont val="Noto Sans"/>
        <family val="2"/>
      </rPr>
      <t xml:space="preserve">（</t>
    </r>
    <r>
      <rPr>
        <sz val="9"/>
        <color theme="1" tint="0.2499"/>
        <rFont val="微软雅黑"/>
        <family val="0"/>
        <charset val="134"/>
      </rPr>
      <t xml:space="preserve">36W</t>
    </r>
    <r>
      <rPr>
        <sz val="9"/>
        <color theme="1" tint="0.2499"/>
        <rFont val="Noto Sans"/>
        <family val="2"/>
      </rPr>
      <t xml:space="preserve">）
</t>
    </r>
    <r>
      <rPr>
        <sz val="9"/>
        <color theme="1" tint="0.2499"/>
        <rFont val="微软雅黑"/>
        <family val="0"/>
        <charset val="134"/>
      </rPr>
      <t xml:space="preserve">3. Материал: огнеупорный PC+ABS.
4, Длина*диаметр: 70*32мм., вес: 25г."</t>
    </r>
  </si>
  <si>
    <t xml:space="preserve">http://gofile.me/649X4/SetsnvceU</t>
  </si>
  <si>
    <t xml:space="preserve">BZ21A Brilliant 36W зарядное устройство с двумя портами QC3.0 набор (Micro)</t>
  </si>
  <si>
    <t xml:space="preserve">6941991101212</t>
  </si>
  <si>
    <r>
      <rPr>
        <sz val="9"/>
        <color theme="1" tint="0.2499"/>
        <rFont val="微软雅黑"/>
        <family val="0"/>
        <charset val="134"/>
      </rPr>
      <t xml:space="preserve">1, Вход: DC12-24V
2, Выход: USB-A 1/2: 18W (QC/AFC/FCP);
USB-A 1+USB-A 2=18W+18W</t>
    </r>
    <r>
      <rPr>
        <sz val="9"/>
        <color theme="1" tint="0.2499"/>
        <rFont val="Noto Sans"/>
        <family val="2"/>
      </rPr>
      <t xml:space="preserve">（</t>
    </r>
    <r>
      <rPr>
        <sz val="9"/>
        <color theme="1" tint="0.2499"/>
        <rFont val="微软雅黑"/>
        <family val="0"/>
        <charset val="134"/>
      </rPr>
      <t xml:space="preserve">36W</t>
    </r>
    <r>
      <rPr>
        <sz val="9"/>
        <color theme="1" tint="0.2499"/>
        <rFont val="Noto Sans"/>
        <family val="2"/>
      </rPr>
      <t xml:space="preserve">）
</t>
    </r>
    <r>
      <rPr>
        <sz val="9"/>
        <color theme="1" tint="0.2499"/>
        <rFont val="微软雅黑"/>
        <family val="0"/>
        <charset val="134"/>
      </rPr>
      <t xml:space="preserve">3. Материал: огнеупорный PC+ABS.
4, Длина * диаметр: 70*32мм., общий вес: 49г.
5, Набор с кабелем 1м Micro.</t>
    </r>
  </si>
  <si>
    <t xml:space="preserve">http://gofile.me/649X4/U1TeHO1s5</t>
  </si>
  <si>
    <t xml:space="preserve">BZ20 Smart 38W автомобильное зарядное устройство с двумя портами PD20W+QC3.0</t>
  </si>
  <si>
    <t xml:space="preserve">6941991101564</t>
  </si>
  <si>
    <t xml:space="preserve">прозрачный  черный</t>
  </si>
  <si>
    <t xml:space="preserve">16.7*9.1*3.6</t>
  </si>
  <si>
    <t xml:space="preserve">1. Вход: DC12-24V
2. Выход: 
Type-C: 20W(PD/QC/AFC/FCP);
USB-A: 18W (QC/AFC/FCP).
Type-C+USB-A=38W
3. Материал: огнеупорный PC+ алюминиевый сплав.
4. Длина*диаметр: 55*25мм., вес: 21г.</t>
  </si>
  <si>
    <t xml:space="preserve">http://gofile.me/649X4/qmmzlnuJU</t>
  </si>
  <si>
    <t xml:space="preserve">BZ20A Smart 83W автомобильное зарядное устройство с двумя портами PD65W+QC3.0</t>
  </si>
  <si>
    <t xml:space="preserve">6941991101625</t>
  </si>
  <si>
    <t xml:space="preserve">1. Вход: DC12-24V
2. Выход: 
USB-C: 65W (PD/QC/AFC/FCP);
USB-A: 18W (QC/AFC/FCP).
Type-C+USB-A=83W
3. Материал: огнеупорный PC+ алюминиевый сплав.
4. Длина*диаметр: 60*25мм., вес: 25г.</t>
  </si>
  <si>
    <t xml:space="preserve">http://gofile.me/649X4/u2ebeei4C</t>
  </si>
  <si>
    <t xml:space="preserve">BZ19 Wisdom автомобильное зарядное устройство с двумя портами</t>
  </si>
  <si>
    <t xml:space="preserve">6974443387308</t>
  </si>
  <si>
    <t xml:space="preserve">10.3*7.1*3</t>
  </si>
  <si>
    <t xml:space="preserve">1. Вход: DC12-24V.
2. Выход: USB-A 1/2: 5V/2.4A; общий выход: 12W.
3. Материал: алюминиевый сплав + ABS.
4. Длина*диаметр: 54*25мм, вес: 18г.</t>
  </si>
  <si>
    <t xml:space="preserve">http://gofile.me/649X4/luQeJ4xuk</t>
  </si>
  <si>
    <t xml:space="preserve">BZ19B Wisdom 36W автомобильное зарядное устройство с двумя портами QC3.0</t>
  </si>
  <si>
    <t xml:space="preserve">6941991101472</t>
  </si>
  <si>
    <t xml:space="preserve">10.2*7.2*3.1</t>
  </si>
  <si>
    <t xml:space="preserve">1. Вход: DC12-24V
2. Выход: 
USB-A 1/2: 18W (QC/AFC/FCP);
USB-A 1+USB-A 2=36W
3. Материал: огнеупорный PC+ABS.
4. Длина*диаметр: 63*25мм., вес: 17г.</t>
  </si>
  <si>
    <t xml:space="preserve">http://gofile.me/649X4/e46YKqLqE</t>
  </si>
  <si>
    <t xml:space="preserve">BZ19B (PD30W+QC3.0)Wisdom 48W автомобильное зарядное устройство</t>
  </si>
  <si>
    <t xml:space="preserve">6941991129643</t>
  </si>
  <si>
    <t xml:space="preserve">1. Материал: алюминиевый сплав.
2. Длина*диаметр: 42*23мм. Вес: 13г.
3. Выход: 
USB-C: 30W (PD/QC/FCC/AFC)
USB-A: 18W (QC/AFC/FCP)
USB-C+USB-A: 30W+18W</t>
  </si>
  <si>
    <t xml:space="preserve">http://gofile.me/649X4/9sbvosjsw</t>
  </si>
  <si>
    <t xml:space="preserve">BZ19B (PD30W+QC3.0)Wisdom 48W автомобильное зарядное устройство набор (C на C)</t>
  </si>
  <si>
    <t xml:space="preserve">6941991129650</t>
  </si>
  <si>
    <t xml:space="preserve">1. Материал: алюминиевый сплав.
2. Длина*диаметр: 42*23мм. Общий вес: 38г.
3. Выход: 
USB-C: 30W (PD/QC/FCC/AFC)
USB-A: 18W (QC/AFC/FCP)
USB-C+USB-A: 30W+18W
4. В комплекте с кабелем C на C 1м 60W для быстрой зарядки.</t>
  </si>
  <si>
    <t xml:space="preserve">http://gofile.me/649X4/4RDYN25vr</t>
  </si>
  <si>
    <t xml:space="preserve">Наушники и гарнитуры</t>
  </si>
  <si>
    <t xml:space="preserve">Гарнитура BT для одного уха</t>
  </si>
  <si>
    <t xml:space="preserve">BC36 Lucky деловая BT гарнитура</t>
  </si>
  <si>
    <t xml:space="preserve">6974443381931</t>
  </si>
  <si>
    <t xml:space="preserve">19.3*7.5*2.5</t>
  </si>
  <si>
    <r>
      <rPr>
        <sz val="9"/>
        <color theme="1" tint="0.2499"/>
        <rFont val="微软雅黑"/>
        <family val="0"/>
        <charset val="134"/>
      </rPr>
      <t xml:space="preserve">1. Bluetooth 5.0; Чип: JL AC6963.
2. Емкость аккумулятора: 70 мАч, зарядка около 1 часа.
3. Время разговора / музыки: 6 часов.
4. В режиме ожидания 180 часов.
5.  Материал: ABS</t>
    </r>
    <r>
      <rPr>
        <sz val="9"/>
        <color theme="1" tint="0.2499"/>
        <rFont val="Noto Sans"/>
        <family val="2"/>
      </rPr>
      <t xml:space="preserve">，</t>
    </r>
    <r>
      <rPr>
        <sz val="9"/>
        <color theme="1" tint="0.2499"/>
        <rFont val="微软雅黑"/>
        <family val="0"/>
        <charset val="134"/>
      </rPr>
      <t xml:space="preserve">Размер: L62 * W14 * H21 мм; Вес: 7 г.
6. Поддержка подсказок на китайском и английском языках, дважды нажмите многофункциональную кнопку в режиме без сопряжения.</t>
    </r>
  </si>
  <si>
    <t xml:space="preserve">http://hoco.i234.me:8000/sharing/mlNvRgKeA</t>
  </si>
  <si>
    <t xml:space="preserve">6974443381948</t>
  </si>
  <si>
    <t xml:space="preserve">BC21 Encourage sound деловая беспроводная гарнитура</t>
  </si>
  <si>
    <t xml:space="preserve">6931474703576</t>
  </si>
  <si>
    <r>
      <rPr>
        <sz val="9"/>
        <color theme="1" tint="0.2499"/>
        <rFont val="微软雅黑"/>
        <family val="0"/>
        <charset val="134"/>
      </rPr>
      <t xml:space="preserve">1. BT V4.2 JL AC6973
2.  Материал: ABS
3. Зарядное напряжение: DC5V. Время зарядки: около 1,5 часов.
4. Емкость батареи: 70 мАч.
5. В режиме разговора / музыки: 4 часа. В режиме ожидания 120 часов.
6.  Размеры: Д55 × Ш15 × В20 мм. Вес: 9 г.
7.Переключатель голосовых подсказок</t>
    </r>
    <r>
      <rPr>
        <sz val="9"/>
        <color theme="1" tint="0.2499"/>
        <rFont val="Noto Sans"/>
        <family val="2"/>
      </rPr>
      <t xml:space="preserve">：</t>
    </r>
    <r>
      <rPr>
        <sz val="9"/>
        <color theme="1" tint="0.2499"/>
        <rFont val="微软雅黑"/>
        <family val="0"/>
        <charset val="134"/>
      </rPr>
      <t xml:space="preserve">Когда устройство не подключено, двойной клик на  многофункциональную кнопку, раздастся звуковой сигнал.</t>
    </r>
  </si>
  <si>
    <t xml:space="preserve">http://hoco.i234.me:8000/sharing/7VpCpEan9</t>
  </si>
  <si>
    <t xml:space="preserve">http://gofile.me/649X4/NgMFlxZjV</t>
  </si>
  <si>
    <t xml:space="preserve">BC20 Smart деловая беспроводная гарнитура</t>
  </si>
  <si>
    <t xml:space="preserve">6931474700759</t>
  </si>
  <si>
    <t xml:space="preserve">19.5*7.6*2.6</t>
  </si>
  <si>
    <r>
      <rPr>
        <sz val="9"/>
        <color theme="1" tint="0.2499"/>
        <rFont val="微软雅黑"/>
        <family val="0"/>
        <charset val="134"/>
      </rPr>
      <t xml:space="preserve">1. BT V4.2 WT200
2.  Материал: ABS
3. Зарядное напряжение DC5V, время зарядки около 1.5 часов.
4. Емкость батареи: 70 мАч.
5. В режиме разговора / музыки: 4 часа. В режиме ожидания: 120 часов.
6. Размеры (ДШВ): 53.6 × 13.96 × 19 мм. Вес: 7 г.
7.Переключатель голосовых подсказок</t>
    </r>
    <r>
      <rPr>
        <sz val="9"/>
        <color theme="1" tint="0.2499"/>
        <rFont val="Noto Sans"/>
        <family val="2"/>
      </rPr>
      <t xml:space="preserve">：</t>
    </r>
    <r>
      <rPr>
        <sz val="9"/>
        <color theme="1" tint="0.2499"/>
        <rFont val="微软雅黑"/>
        <family val="0"/>
        <charset val="134"/>
      </rPr>
      <t xml:space="preserve">Когда устройство не подключено, двойной клик на  многофункциональную кнопку, раздастся звуковой сигнал.</t>
    </r>
  </si>
  <si>
    <t xml:space="preserve">http://hoco.i234.me:8000/sharing/3uggw4IE7</t>
  </si>
  <si>
    <t xml:space="preserve">Спортивная гарнитура BT</t>
  </si>
  <si>
    <t xml:space="preserve">BE73 Torch BT наушники с шейным ободом</t>
  </si>
  <si>
    <t xml:space="preserve">6941991130878</t>
  </si>
  <si>
    <t xml:space="preserve">23.3*15*3</t>
  </si>
  <si>
    <t xml:space="preserve">1. BT 6.0. Чип: JJL AC7006.
2. Емкость аккумулятора: 1200mAh. Время зарядки: 3,5 часа.
3. Время работы: 200 часов для музыки, 180 часов для разговоров. Время в режиме ожидания: 1600 часов.
4. Общая длина наушников: 95 см. Материал: ABS. Вес: 84 г.
5. Поддерживает воспроизведение через BT и TF-карту (≤32 ГБ).
6. Поддерживает голосовые подсказки на китайском и английском. В режиме отключения от устройства двойное нажатие функциональной кнопки сопровождается звуковым сигналом.</t>
  </si>
  <si>
    <t xml:space="preserve">http://gofile.me/649X4/WFERpcVWs</t>
  </si>
  <si>
    <t xml:space="preserve">BE72 Sun BT  наушники с шейным ободом</t>
  </si>
  <si>
    <t xml:space="preserve">6941991124518</t>
  </si>
  <si>
    <t xml:space="preserve">23.5*15.1*2.1</t>
  </si>
  <si>
    <t xml:space="preserve">1. Bluetooth 5.4; Чип: JL AC7053D2
2. Емкость батареи: 130mAh; Время зарядки: 2ч
3. Время работы: 10ч музыка, 7ч of разговор; в режиме ожидания: 150ч
4. Материал: ABS+TPE; длина кабеля: 95cm; вес: 30g
5. Поддержка воспроизведения по Bluetooth, не поддерживают карты памяти
6. Поддерживает звуковые подсказки на китайском и английском языках. В режиме без сопряжения дважды нажмите функциональную кнопку, и раздастся звуковой сигнал подсказки</t>
  </si>
  <si>
    <t xml:space="preserve">http://gofile.me/649X4/IPJFsXkcQ</t>
  </si>
  <si>
    <t xml:space="preserve">BE70 Light BT наушники с шейным ободом</t>
  </si>
  <si>
    <t xml:space="preserve">6941991117046</t>
  </si>
  <si>
    <t xml:space="preserve">чёрный обсидиан</t>
  </si>
  <si>
    <t xml:space="preserve">23.5*15*3</t>
  </si>
  <si>
    <t xml:space="preserve">56*36.8*35.8</t>
  </si>
  <si>
    <t xml:space="preserve">1. Материал: ABS
2. Общая длина: 85cm; вес: 22g
3, Bluetooth 5.4, чип: JL AC7003
4. Емкость батареи: 130mAh; Время зарядкиe: 2ч
5.Время работы: 16ч; В режиме ожиданияe: 200ч.
6. Поддержка проигрывания по Bluetooth и функции 2в1
7. Поддержка уведомлений на китайском и английском языках, дважды нажмите кнопку в режиме без сопряжения, вы услышите звук уведомления.</t>
  </si>
  <si>
    <t xml:space="preserve">http://gofile.me/649X4/gJdnlKsdr</t>
  </si>
  <si>
    <t xml:space="preserve">BE68 Cloud ВТ наушники с шейным ободом</t>
  </si>
  <si>
    <t xml:space="preserve">6941991113178</t>
  </si>
  <si>
    <t xml:space="preserve">23.4*15*3.1</t>
  </si>
  <si>
    <t xml:space="preserve">1. Материал: ABS
2. Общая длина: 75cm; вес: 50g
3. Bluetooth 5.3 чип: JL AC7006
4. Емкость батареи: 800mAh; время зарядки: 2 ч
5. Время работы: 120 ч; в режиме ожидания: 800 ч
6. Поддержка Bluetooth, TF карты (≤32G), поддержка подключения 2-в-1.
7. Поддержка звуковых подсказок на китайском и английском языках,в режиме без сопряжения, дважды нажмите кнопку, раздастся звуковой сигнал.</t>
  </si>
  <si>
    <t xml:space="preserve">http://gofile.me/649X4/wVrT2W6XI</t>
  </si>
  <si>
    <t xml:space="preserve">BE64 Perfect BT наушники с шейным ободом</t>
  </si>
  <si>
    <t xml:space="preserve">6941991103704</t>
  </si>
  <si>
    <t xml:space="preserve">1, Материал: ABS
2. Общая длина: 82cm; Вес: 50.5г
3, Bluetooth 5.3; чип: JL AC7006
4, Емкость: 800mAh; Время зарядки 3 ч.
5. Время работы: 120 ч; В режиме ожидания: 800 ч.
6, Поддержка Bluetooth, TF карт (≤32г) воспроизведения.
7, Поддержка английского и китайского языка подсказок, дважды нажмитекнопку в режиме без сопряжения.</t>
  </si>
  <si>
    <t xml:space="preserve">http://gofile.me/649X4/B5ct87ueN</t>
  </si>
  <si>
    <t xml:space="preserve">http://gofile.me/649X4/pLdiXJXzq</t>
  </si>
  <si>
    <t xml:space="preserve">игровые наушники</t>
  </si>
  <si>
    <t xml:space="preserve">BO112 Wave игровые наушники</t>
  </si>
  <si>
    <t xml:space="preserve">6941991124648</t>
  </si>
  <si>
    <t xml:space="preserve">25.6*18.6*10.5</t>
  </si>
  <si>
    <t xml:space="preserve">54.5*48.8*39</t>
  </si>
  <si>
    <t xml:space="preserve">1. Динамик: 50mm
2. Интерфейс: USB+3.5мм
3. Микрофон: всенаправленный микрофон; Размер: Φ 6.0 * 5.0mm
4. Размер: 218 * 170 * 100mm; Вес: 268g; длина кабеля: 2m. Регулировка уровня громкости.
6. Благодаря аудиокабелю-адаптеру 2-в-1  можно использовать для ПК или ноутбуков с двумя аудиопортами</t>
  </si>
  <si>
    <t xml:space="preserve">http://gofile.me/649X4/JCz5QdCvY</t>
  </si>
  <si>
    <t xml:space="preserve">BO105 Thunder игровые наушники</t>
  </si>
  <si>
    <t xml:space="preserve">6974443389227</t>
  </si>
  <si>
    <t xml:space="preserve">23.7*10.5*9.9</t>
  </si>
  <si>
    <t xml:space="preserve">60.5*52*44.5</t>
  </si>
  <si>
    <t xml:space="preserve">1. Динамик: 50mm
2. Интерфейс: USB+3.5
3. С микрофоном; Размер: Φ 6.0*2.7mm
4. Длина кабеля: 2m
5. Материал: ABS.Размер: 210 * 175 * 90mm; вес: 266g
6. Управление: регилировка громкости.
7. С кабелем адаптером 2в1, можно использовать для ПК и ноутбуков с двумя аудио входами.</t>
  </si>
  <si>
    <t xml:space="preserve">http://gofile.me/649X4/HZ3y7fJdK</t>
  </si>
  <si>
    <t xml:space="preserve">Наушники</t>
  </si>
  <si>
    <t xml:space="preserve">BO39 Melotide BT наушники</t>
  </si>
  <si>
    <t xml:space="preserve">6941991130076</t>
  </si>
  <si>
    <t xml:space="preserve">22.2*17.5*5.4</t>
  </si>
  <si>
    <t xml:space="preserve">57*41.8*37</t>
  </si>
  <si>
    <t xml:space="preserve">1. Bluetooth 6.0; чип: JL7053F.
2. Ёмкость аккумулятора: 300 мА·ч; время зарядки: 2 часа.
3. Время работы: 30 часов; время в режиме ожидания: 180 часов.
4. Материал: ABS + искусственная кожа; размер: 198 × 190 × 82 мм; вес: 180 г.
5. Поддержка голосовых подсказок на китайском и английском языке: дважды нажмите кнопку питания, когда устройство не в режиме сопряжения.</t>
  </si>
  <si>
    <t xml:space="preserve">http://gofile.me/649X4/CdMdS8lqd</t>
  </si>
  <si>
    <t xml:space="preserve">6941991130083</t>
  </si>
  <si>
    <t xml:space="preserve">BO36 Tone BT наушники</t>
  </si>
  <si>
    <t xml:space="preserve">6941991127090</t>
  </si>
  <si>
    <t xml:space="preserve">24.6*21*5.7</t>
  </si>
  <si>
    <t xml:space="preserve">60*43.7*47.5</t>
  </si>
  <si>
    <t xml:space="preserve">1. Bluetooth: 6.0; чип: Blue trum AB5656D
2. Емкость батареи: 300mAh; время зарядки
4. Материал: ABS+PU кожа; Размер: 195 * 187 * 83mm; вес: 158g
5. Поддержка звуковых подсказок на китайском и английском языках: дважды нажмите кнопку питания в режиме без сопряжения</t>
  </si>
  <si>
    <t xml:space="preserve">http://gofile.me/649X4/ouZhqZqIC</t>
  </si>
  <si>
    <t xml:space="preserve">6941991127106</t>
  </si>
  <si>
    <t xml:space="preserve">BO32 Show BT наушники</t>
  </si>
  <si>
    <t xml:space="preserve">6941991118722</t>
  </si>
  <si>
    <t xml:space="preserve">22*17.5*4.6</t>
  </si>
  <si>
    <t xml:space="preserve">55*49*43</t>
  </si>
  <si>
    <t xml:space="preserve">1, Bluetooth 5.4, чип: JL AB5605B
2. Емкость батареи 200mAh; Время зарядки: 1 hour
3. Время работы: 8ч
4. Материал: ABS.Размер: 180*175*71mm; Вес: 129g
5. Поддержка Bluetooth, TF card, AUX и др. режимов
6. Поддержка переключения кит./англ. языка уведомлений-два нажатия кнопки в режиме без сопряжения.</t>
  </si>
  <si>
    <t xml:space="preserve">http://gofile.me/649X4/Oqac4BHYV</t>
  </si>
  <si>
    <t xml:space="preserve">BO5 Star sound беспроводные наушники</t>
  </si>
  <si>
    <t xml:space="preserve">6931474709912</t>
  </si>
  <si>
    <t xml:space="preserve">20.6*17.5*12</t>
  </si>
  <si>
    <t xml:space="preserve">44*36*21.5</t>
  </si>
  <si>
    <t xml:space="preserve">67.9*45.8*37.9</t>
  </si>
  <si>
    <t xml:space="preserve">1. Спикер: 40мм.
2. Номинальная мощность: 15mW*2. Максимальная входная мощность: 50mW.
3. Кабель наушников: штекер 3.5 мм, высокоэластичный кабель.
4. Материал: ABS.Длина кабеля: 1.2м.
5. Микрофон: пульт с микрофоном.
6. Управление: пульт с одной клавишей для управления.</t>
  </si>
  <si>
    <t xml:space="preserve">http://hoco.i234.me:8000/sharing/ZD63yBKJk</t>
  </si>
  <si>
    <t xml:space="preserve">Проводные наушники для iP</t>
  </si>
  <si>
    <t xml:space="preserve">BM96 Brilliant универсальные цифровые наушники с микрофоном iP</t>
  </si>
  <si>
    <t xml:space="preserve">6941991118104</t>
  </si>
  <si>
    <t xml:space="preserve">14.4*9.3*1.5</t>
  </si>
  <si>
    <r>
      <rPr>
        <b val="true"/>
        <sz val="9"/>
        <color theme="5"/>
        <rFont val="微软雅黑"/>
        <family val="0"/>
        <charset val="134"/>
      </rPr>
      <t xml:space="preserve">MOQ: 100шт, необходимо оформить заказ в количестве, кратном 100
</t>
    </r>
    <r>
      <rPr>
        <sz val="9"/>
        <color theme="1" tint="0.2499"/>
        <rFont val="微软雅黑"/>
        <family val="0"/>
        <charset val="134"/>
      </rPr>
      <t xml:space="preserve">1. Материал: ABS+TPE
2. Динамик: 13mm
3. Длина кабеля: 1.2m, Вес: 13g
4. Аудио штекер: Lightning Digital Plug
5. Поддержка проводного управления и звонков.</t>
    </r>
  </si>
  <si>
    <t xml:space="preserve">http://gofile.me/649X4/JicPu11GB</t>
  </si>
  <si>
    <t xml:space="preserve">Проводные наушники для Type-C</t>
  </si>
  <si>
    <t xml:space="preserve">BM100 Fuente универсальные цифровые наушники с микрофоном Type-C</t>
  </si>
  <si>
    <t xml:space="preserve">6941991121739</t>
  </si>
  <si>
    <t xml:space="preserve">14.2*8.6*2.3</t>
  </si>
  <si>
    <t xml:space="preserve">1. Материал: ABS+TPE
2. Динамик: 14mm
3. Длина кабеля: 1.2m; вес: 13g
4. Коннектор: Type-C.
5. Микрофон: контроллер с микрофоном
6. Поддерживает большинство моделей Huawei, Xiaomi, OnePlus и других брендов, поддерживает некоторые модели телефонов Samsung, а также iPhone и iPad с интерфейсом Type-C</t>
  </si>
  <si>
    <t xml:space="preserve">http://gofile.me/649X4/mmNkjJbrc</t>
  </si>
  <si>
    <t xml:space="preserve">6941991121746</t>
  </si>
  <si>
    <t xml:space="preserve">BM100 Pro Fuente универсальные цифровые наушники с микрофоном Type-C</t>
  </si>
  <si>
    <t xml:space="preserve">6941991121777</t>
  </si>
  <si>
    <t xml:space="preserve">1. Материал: ABS+TPE
2. Динамик: 10mm
3. Длина кабеля: 1.2m; вес: 13g
4. Коннектор: Type-C.
5. Микрофон: контроллер с микрофоном
6. Поддерживает большинство моделей Huawei, Xiaomi, OnePlus и других брендов, поддерживает некоторые модели телефонов Samsung, а также iPhone и iPad с интерфейсом Type-C</t>
  </si>
  <si>
    <t xml:space="preserve">http://gofile.me/649X4/PdBhLIuCk</t>
  </si>
  <si>
    <t xml:space="preserve">6941991121784</t>
  </si>
  <si>
    <t xml:space="preserve">BM100 Max Fuente универсальные цифровые наушники с микрофоном Type-C</t>
  </si>
  <si>
    <t xml:space="preserve">6941991121814</t>
  </si>
  <si>
    <t xml:space="preserve">http://gofile.me/649X4/TZZycjLiu</t>
  </si>
  <si>
    <t xml:space="preserve">6941991121821</t>
  </si>
  <si>
    <t xml:space="preserve">BM98 Type-C Solaris цифровые наушники</t>
  </si>
  <si>
    <t xml:space="preserve">6941991130052</t>
  </si>
  <si>
    <t xml:space="preserve">19.2*7.6*1.8</t>
  </si>
  <si>
    <t xml:space="preserve">1. Материал: ABS+TPE.
2. Динамик: 10 мм.
3. Длина кабеля: 1,2 м. Вес: 14 г.
4. Аудиоразъем: цифровой разъем Type-C.
5. Микрофон: пульт управления на кабеле с микрофоном.
6. Совместим с большинством моделей Huawei, Xiaomi, OnePlus и других брендов. Поддерживает отдельные модели Samsung. Поддерживает iPhone и iPad с разъемом Type-C.</t>
  </si>
  <si>
    <t xml:space="preserve">http://gofile.me/649X4/6DjAShOR6</t>
  </si>
  <si>
    <t xml:space="preserve">BM96 Brilliant универсальные цифровые наушники с микрофоном Type-C</t>
  </si>
  <si>
    <t xml:space="preserve">6941991118111</t>
  </si>
  <si>
    <r>
      <rPr>
        <b val="true"/>
        <sz val="9"/>
        <color theme="5"/>
        <rFont val="微软雅黑"/>
        <family val="0"/>
        <charset val="134"/>
      </rPr>
      <t xml:space="preserve">MOQ: 100шт, необходимо оформить заказ в количестве, кратном 100
</t>
    </r>
    <r>
      <rPr>
        <sz val="9"/>
        <color theme="1" tint="0.2499"/>
        <rFont val="微软雅黑"/>
        <family val="0"/>
        <charset val="134"/>
      </rPr>
      <t xml:space="preserve">1. Материал: ABS+TPE
2. Динамик: 13mm
3. Длина кабеля: 1.2m, Вес: 13g
4. Аудио штекер: Type-C digital plug
5. Микрофон: на контроллере.                                           
6. Поддержка основных моделей Huawei, Xiaomi, OnePlus и др., некоторых моделей Samsung, поддержка iPhone и iPad с Type-C интерфейсом.</t>
    </r>
  </si>
  <si>
    <t xml:space="preserve">http://gofile.me/649X4/ywKanUgCu</t>
  </si>
  <si>
    <t xml:space="preserve">BM95 Excepcional универсальные цифровые наушники с микрофоном Type-C</t>
  </si>
  <si>
    <t xml:space="preserve">6941991115882</t>
  </si>
  <si>
    <t xml:space="preserve">19.2*7.7*1.7</t>
  </si>
  <si>
    <t xml:space="preserve">56.7*35.2*56.2</t>
  </si>
  <si>
    <t xml:space="preserve">1. Материал: ABS+TPE
2. Динамик: 10mm
3. Длина кабеля: 1.2m, Вес: 13g
4. Аудио коннектор: Type-C.
5. Микрофон: контроллер с микрофоном                                          
6. Для большинства моеделей Huawei, Xiaomi, OnePlus и др., для некоторых телефонов Samsung, для iPhones и iPads с Type-C интерфейсом</t>
  </si>
  <si>
    <t xml:space="preserve">http://gofile.me/649X4/GV88DnZ25</t>
  </si>
  <si>
    <t xml:space="preserve">BM94 Sonar универсальные цифровые наушники с микрофоном Type-C</t>
  </si>
  <si>
    <t xml:space="preserve">6941991115844</t>
  </si>
  <si>
    <t xml:space="preserve">19.3*7.6*1.8</t>
  </si>
  <si>
    <t xml:space="preserve">1. Материал: ABS+TPE
2. Динамик: 10mm
3. Длина кабеля: 1.2m, Вес: 13g
4. Коннектор:Type-C.
5. Микрофон: контроллер с микрофоном.
6. Для большинства моеделей Huawei, Xiaomi, OnePlus и др., для некоторых телефонов Samsung, для iPhones и iPads с Type-C интерфейсом</t>
  </si>
  <si>
    <t xml:space="preserve">http://gofile.me/649X4/XgFmOkro7</t>
  </si>
  <si>
    <t xml:space="preserve">6941991115851</t>
  </si>
  <si>
    <t xml:space="preserve">BM93 Platinum универсальные цифровые наушники с микрофоном Type-C</t>
  </si>
  <si>
    <t xml:space="preserve">6941991114502</t>
  </si>
  <si>
    <t xml:space="preserve">19.3*7.7*1.7</t>
  </si>
  <si>
    <t xml:space="preserve">1. Материал: металл + TPE
2. Динамик: 10mm
3. Длина кабеля: 1.2m, вес: 13g
4. Аудио коннектор: Type-C
5. Поддержка проводного управления, звонков
6. Поддержка большинства моделей телефонов Huawei, Xiaomi, OnePlus и др., некоторых моделей телефонов Samsung, поддержка для iPhone и iPad с Type-C интерфейсом</t>
  </si>
  <si>
    <t xml:space="preserve">http://gofile.me/649X4/CGVdpwe37</t>
  </si>
  <si>
    <t xml:space="preserve">6941991114519</t>
  </si>
  <si>
    <t xml:space="preserve">BM77 Type-C Delicious универсальные цифровые наушники с микрофоном</t>
  </si>
  <si>
    <t xml:space="preserve">6941991103001</t>
  </si>
  <si>
    <t xml:space="preserve">14.4*9.5*1.1</t>
  </si>
  <si>
    <t xml:space="preserve">МOQ: 100шт, заказ кратно 100.
1. Материал: ABS+TPE эмалированный провод.
2, Динамик: 10мм
3. Длина кабеля: 1.2м; вес: 12г
4, Аудио коннектор: Type-C цифровой.
5. Поддержка проводного управления, звонков.l
6, Поддержка Huawei, Xiaoмi, OnePlus и др. телефонов, некоторых моделей Saмsunг,  поддержка iPhone и iPad с интерфейсом Type-C.</t>
  </si>
  <si>
    <t xml:space="preserve">http://gofile.me/649X4/XARhNw3CN</t>
  </si>
  <si>
    <t xml:space="preserve">6941991103018</t>
  </si>
  <si>
    <t xml:space="preserve">BM61 Wanderer универсальные цифровые наушники с микрофоном Type-C</t>
  </si>
  <si>
    <t xml:space="preserve">6941991129452</t>
  </si>
  <si>
    <t xml:space="preserve">19.3*7.6*1.7</t>
  </si>
  <si>
    <t xml:space="preserve">1. Материал: ABS+TPE
2. Динамик: 10мм
3. Длина кабеля: 1.2m. Вес: 13g
4. Аудио штекер: Type-C
5. Поддержка проводного управления и звонков
6. Совместим с большинством моделей Huawei, Xiaomi, OnePlus и других брендов, а также с некоторыми моделями Samsung. Поддерживает iPhone и iPad с разъёмом Type-C (на iPad звонки не поддерживаются).</t>
  </si>
  <si>
    <t xml:space="preserve">http://gofile.me/649X4/5Z4CofMDw</t>
  </si>
  <si>
    <t xml:space="preserve">6941991129469</t>
  </si>
  <si>
    <t xml:space="preserve">Проводные наушники на 3,5 мм</t>
  </si>
  <si>
    <t xml:space="preserve">BM100 Fuente универсальные наушники с микрофоном</t>
  </si>
  <si>
    <t xml:space="preserve">6941991121715</t>
  </si>
  <si>
    <t xml:space="preserve">1. Материал: ABS+TPE
2. Динамик: 14mm
3. Длина кабеля: 1.2m; вес: 13g
4. Коннектор: 3.5mm
5. Микрофон: контроллер с микрофоном
6. Проводное управление: одна кнопка.</t>
  </si>
  <si>
    <t xml:space="preserve">http://gofile.me/649X4/6RBLJutxJ</t>
  </si>
  <si>
    <t xml:space="preserve">6941991121722</t>
  </si>
  <si>
    <t xml:space="preserve">BM100 Pro Fuente универсальные наушники с микрофоном</t>
  </si>
  <si>
    <t xml:space="preserve">6941991121753</t>
  </si>
  <si>
    <t xml:space="preserve">1. Материал: ABS+TPE
2. Динамик: 10mm
3. Длина кабеля: 1.2m; вес: 13g
4. Коннектор: 3.5mm
5. Микрофон: контроллер с микрофоном
6. Проводное управление: одна кнопка.</t>
  </si>
  <si>
    <t xml:space="preserve">http://gofile.me/649X4/GjgjTc6o1</t>
  </si>
  <si>
    <t xml:space="preserve">6941991121760</t>
  </si>
  <si>
    <t xml:space="preserve">BM100 Max Fuente универсальные наушники с микрофоном</t>
  </si>
  <si>
    <t xml:space="preserve">6941991121791</t>
  </si>
  <si>
    <t xml:space="preserve">http://gofile.me/649X4/AMX3s7Yet</t>
  </si>
  <si>
    <t xml:space="preserve">6941991121807</t>
  </si>
  <si>
    <t xml:space="preserve">BM96 Brilliant универсальные наушники с микрофоном</t>
  </si>
  <si>
    <t xml:space="preserve">6941991118098</t>
  </si>
  <si>
    <r>
      <rPr>
        <b val="true"/>
        <sz val="9"/>
        <color theme="5"/>
        <rFont val="微软雅黑"/>
        <family val="0"/>
        <charset val="134"/>
      </rPr>
      <t xml:space="preserve">MOQ: 100шт, необходимо оформить заказ в количестве, кратном 100
</t>
    </r>
    <r>
      <rPr>
        <sz val="9"/>
        <color theme="1" tint="0.2499"/>
        <rFont val="微软雅黑"/>
        <family val="0"/>
        <charset val="134"/>
      </rPr>
      <t xml:space="preserve">1. Материал: ABS+TPE
2. Динамик: 13mm
3. Длина кабеля: 1.2m, Вес: 13g
4. Аудио штекер: 3.5 мм
5. Микрофон: на контроллере.                                           
6. Проводное управление: одна кнопка</t>
    </r>
  </si>
  <si>
    <t xml:space="preserve">http://gofile.me/649X4/DqbHhuygC</t>
  </si>
  <si>
    <t xml:space="preserve">BM95 Excepcional универсальные наушники с микрофоном</t>
  </si>
  <si>
    <t xml:space="preserve">6941991115868</t>
  </si>
  <si>
    <t xml:space="preserve">1. Материал: ABS+TPE
2. Динамик: 10mm
3. Длина кабеля: 1.2m, Вес: 13g
4. Аудио коннектор: 3.5мм
5. Микрофон: контроллер с микрофоном                                          
6. Проводное управление: одна кнопка.</t>
  </si>
  <si>
    <t xml:space="preserve">http://gofile.me/649X4/VEPyFWk0E</t>
  </si>
  <si>
    <t xml:space="preserve">6941991115875</t>
  </si>
  <si>
    <t xml:space="preserve">BM94 Sonar универсальные наушники с микрофоном</t>
  </si>
  <si>
    <t xml:space="preserve">6941991115820</t>
  </si>
  <si>
    <t xml:space="preserve">1. Материал: ABS+TPE
2. Динамик: 10mm
3. Длина кабеля: 1.2m, Вес: 13g
4. Коннектор: 3.5мм.
5. Микрофон: контроллер с микрофоном.
6. Проводное управление: одна кнопка.</t>
  </si>
  <si>
    <t xml:space="preserve">http://gofile.me/649X4/OpqafcpVF</t>
  </si>
  <si>
    <t xml:space="preserve">6941991115837</t>
  </si>
  <si>
    <t xml:space="preserve">BM87 Element универсальные металлические наушники с микрофоном</t>
  </si>
  <si>
    <t xml:space="preserve">6941991106323</t>
  </si>
  <si>
    <t xml:space="preserve">1. Материал: ABS+TPE
2, Динамик: 10mm
3, Длина кабеля: 1.2m; вес: 13g
4, Аудио коннектор: 3.5мм.
5, Микрофон: контроллер с микрофоном.
6. Проводное управление: одна кнопка.</t>
  </si>
  <si>
    <t xml:space="preserve">http://gofile.me/649X4/qCS7TPnbX</t>
  </si>
  <si>
    <t xml:space="preserve">BM84 Berry универсальные наушники с микрофоном</t>
  </si>
  <si>
    <t xml:space="preserve">6941991105241</t>
  </si>
  <si>
    <t xml:space="preserve">19.2*7.5**1.7</t>
  </si>
  <si>
    <t xml:space="preserve">1. Материал: ABS+TPE
2, Динамик: 10mm
3, Длина кабеля: 1.2m; вес: 13g
4, Коннектор: 3.5мм.
5. Микрофон: контроллер с микрофоном.
6, Проводное управление: одна кнопка.</t>
  </si>
  <si>
    <t xml:space="preserve">http://gofile.me/649X4/fPrXmdJ5e</t>
  </si>
  <si>
    <t xml:space="preserve">6941991105258</t>
  </si>
  <si>
    <t xml:space="preserve">BM83 Craft универсальные наушники с микрофоном</t>
  </si>
  <si>
    <t xml:space="preserve">6941991101960</t>
  </si>
  <si>
    <t xml:space="preserve">19.2*7.6*1.7</t>
  </si>
  <si>
    <t xml:space="preserve">1, Материал: ABS+TPE
2, Динамик: 10мм
3. Длина кабеля: 1.2m. Вес: 11г.
4, Штекер: 3.5мм.
5, Микрофон: есть.
6, Проводное управление: одна кнопка.</t>
  </si>
  <si>
    <t xml:space="preserve">http://gofile.me/649X4/fXO2qGF3v</t>
  </si>
  <si>
    <t xml:space="preserve">6941991101977</t>
  </si>
  <si>
    <t xml:space="preserve">BM77 Ascending универсальные наушники с микрофоном</t>
  </si>
  <si>
    <t xml:space="preserve">6941991102950</t>
  </si>
  <si>
    <r>
      <rPr>
        <b val="true"/>
        <sz val="9"/>
        <color rgb="FFFF0000"/>
        <rFont val="微软雅黑"/>
        <family val="0"/>
        <charset val="134"/>
      </rPr>
      <t xml:space="preserve">МOQ: 100шт, заказ кратно 100.
</t>
    </r>
    <r>
      <rPr>
        <sz val="9"/>
        <color theme="1" tint="0.2499"/>
        <rFont val="微软雅黑"/>
        <family val="0"/>
        <charset val="134"/>
      </rPr>
      <t xml:space="preserve">1. Материал: ABS+TPE эмалированный провод.
2, Динамик: 10мм
3. Длина кабеля: 1.2м; вес: 12г.
4, Аудио коннектор: Ø3.5мм
5. Микрофон: да.
6, Проводное управление: одна кнопка.</t>
    </r>
  </si>
  <si>
    <t xml:space="preserve">http://gofile.me/649X4/1Nker2wtl</t>
  </si>
  <si>
    <t xml:space="preserve">6941991102967</t>
  </si>
  <si>
    <t xml:space="preserve">BM76 Ocean универсальные наушники с микрофоном</t>
  </si>
  <si>
    <t xml:space="preserve">6974443388268</t>
  </si>
  <si>
    <t xml:space="preserve">14.3*9.5*0.7</t>
  </si>
  <si>
    <r>
      <rPr>
        <b val="true"/>
        <sz val="9"/>
        <color rgb="FFFF0000"/>
        <rFont val="微软雅黑"/>
        <family val="0"/>
        <charset val="134"/>
      </rPr>
      <t xml:space="preserve">МOQ: 100шт, заказ кратно 100.
</t>
    </r>
    <r>
      <rPr>
        <sz val="9"/>
        <color theme="1" tint="0.2499"/>
        <rFont val="微软雅黑"/>
        <family val="0"/>
        <charset val="134"/>
      </rPr>
      <t xml:space="preserve">1. Материал: ABS+TPE эмалированный провод.
2. Динамик: 14mm
3. Длина кабеля: 1.2m; вес: 12g
4. Коннектор: Ø 3.5mm
5. Микрофон: контроллер с микрофоном.
6. Проводное управление: многофункциональная кнопка.</t>
    </r>
  </si>
  <si>
    <t xml:space="preserve">http://gofile.me/649X4/BQRXuOdvM</t>
  </si>
  <si>
    <t xml:space="preserve">6974443388275</t>
  </si>
  <si>
    <t xml:space="preserve">BM74 Singer универсальные наушники с микрофоном</t>
  </si>
  <si>
    <t xml:space="preserve">6974443388220</t>
  </si>
  <si>
    <r>
      <rPr>
        <b val="true"/>
        <sz val="9"/>
        <color rgb="FFFF0000"/>
        <rFont val="微软雅黑"/>
        <family val="0"/>
        <charset val="134"/>
      </rPr>
      <t xml:space="preserve">МOQ: 100шт, заказ кратно 100.
</t>
    </r>
    <r>
      <rPr>
        <sz val="9"/>
        <color theme="1" tint="0.2499"/>
        <rFont val="微软雅黑"/>
        <family val="0"/>
        <charset val="134"/>
      </rPr>
      <t xml:space="preserve">1. Материал: ABS+TPE эмалированный провод.
2. Динамик: 10mm
3. Длина кабеля: 1.2m; вес: 12g
4. Коннектор: Ø 3.5mm
5. Микрофон: контроллер с микрофоном.
6. Проводное управление: многофункциональная кнопка.</t>
    </r>
  </si>
  <si>
    <t xml:space="preserve">http://gofile.me/649X4/HwWuai5KZ</t>
  </si>
  <si>
    <t xml:space="preserve">6974443388237</t>
  </si>
  <si>
    <t xml:space="preserve">BM71 Light song универсальные наушники с микрофоном</t>
  </si>
  <si>
    <t xml:space="preserve">6974443386639</t>
  </si>
  <si>
    <t xml:space="preserve">19.3*7.5*1.7</t>
  </si>
  <si>
    <t xml:space="preserve">1. Материал: ABS + высокоэластичный TPE.
2. Динамик: 10mm.
3. Аудио штекер: Ø3.5mm.
4. Длина кабеля: 1.2m; вес: 12g.
5. Микрофон: поддержка.
6. Проводное управление: одна многофункциональная кнопка.</t>
  </si>
  <si>
    <t xml:space="preserve">http://hoco.i234.me:8000/sharing/2Agw373dY</t>
  </si>
  <si>
    <t xml:space="preserve">6974443386646</t>
  </si>
  <si>
    <t xml:space="preserve">BM67 Talent универсальные наушники с микрофоном</t>
  </si>
  <si>
    <t xml:space="preserve">6974443382891</t>
  </si>
  <si>
    <t xml:space="preserve">19.2*7.5*1.7</t>
  </si>
  <si>
    <t xml:space="preserve">1. Материал:ABS + высокоэластичный TPE.
2. Динамик: 10 мм.
3. Аудиоразъем: Ø3,5 мм.
4. Длина кабеля наушников: 1,2 м; вес: 12 г.
5. Микрофон: контроллер с микрофоном.
6. Проводное управление: функциональное однокнопочное управление.</t>
  </si>
  <si>
    <t xml:space="preserve">http://hoco.i234.me:8000/sharing/PWEuGtPau</t>
  </si>
  <si>
    <t xml:space="preserve">6974443382907</t>
  </si>
  <si>
    <t xml:space="preserve">BM61 Wanderer универсальные наушники с микрофоном</t>
  </si>
  <si>
    <t xml:space="preserve">6931474746054</t>
  </si>
  <si>
    <t xml:space="preserve">19.1*7.5*1.7</t>
  </si>
  <si>
    <t xml:space="preserve">MOQ: один цвет коробка.
1. Материал: ABS+PVC.
2. Динамик: 10 мм.
3. Аудиоразъем: Ø3,5 мм.
4. Длина шнура наушников: 1,2 м, вес: 13 г.
5. Микрофон: контроллер с микрофоном.
6. Проводное управление: функциональное управление одной кнопкой.</t>
  </si>
  <si>
    <t xml:space="preserve">http://hoco.i234.me:8000/sharing/5fkfiVwiM</t>
  </si>
  <si>
    <t xml:space="preserve">6931474746061</t>
  </si>
  <si>
    <t xml:space="preserve">BM57 Platinum универсальные наушники с микрофоном</t>
  </si>
  <si>
    <t xml:space="preserve">6931474739216</t>
  </si>
  <si>
    <t xml:space="preserve">1. Материал: ABS+TPE.
2. Динамик: 10 мм.
3. Аудиоразъем: Ø3,5 мм.
4. Длина провода: 1,2 м; вес: 16 г.
5. Микрофон: контроллер с микрофоном.
6. Проводное управление: функциональное управление с помощью одной клавиши.</t>
  </si>
  <si>
    <t xml:space="preserve">http://hoco.i234.me:8000/sharing/iu25FpXZ0</t>
  </si>
  <si>
    <t xml:space="preserve">BM54 Maya универсальные наушники с микрофоном</t>
  </si>
  <si>
    <t xml:space="preserve">6931474735287</t>
  </si>
  <si>
    <t xml:space="preserve">1. Материал: эмалированный провод, ABS + TPE.
2. Длина кабеля: 1,2 м/ Вес: 12 г.
3. Динамик: 14 мм.
4. Аудиоразъем: Ø3,5 мм.
5. Микрофон: контроллер с микрофоном.
6. Проводное управление: управление одной кнопкой.</t>
  </si>
  <si>
    <t xml:space="preserve">http://hoco.i234.me:8000/sharing/mYmDjV7SS</t>
  </si>
  <si>
    <t xml:space="preserve">6931474735294</t>
  </si>
  <si>
    <t xml:space="preserve">BM36 Acura универсальные наушники с микрофоном</t>
  </si>
  <si>
    <t xml:space="preserve">6931474709691</t>
  </si>
  <si>
    <t xml:space="preserve">19.2*7.7*1.8</t>
  </si>
  <si>
    <t xml:space="preserve">1. Спикер: 10мм.
2. Длина кабеля: 1.2 м. Вес: 10 г.
3. Аудио штекер: 3.5 мм.
4. Кабель наушников: высокоэластичный плоский кабель TPE с эмалированным проводом.
5. Микрофон: пульт с микрофоном.
6. Проводное управление: одна функциональная клавиша, подходит для управления устройствами iP и Android.</t>
  </si>
  <si>
    <t xml:space="preserve">http://hoco.i234.me:8000/sharing/DdOpvaExj</t>
  </si>
  <si>
    <t xml:space="preserve">http://gofile.me/649X4/UMbu2x5y6</t>
  </si>
  <si>
    <t xml:space="preserve">6931474709707</t>
  </si>
  <si>
    <t xml:space="preserve">BM31 Mysterious универсальные наушники с микрофоном</t>
  </si>
  <si>
    <t xml:space="preserve">6931474704313</t>
  </si>
  <si>
    <t xml:space="preserve">1. Спикер: 10мм.
2. Чувствительность: 98dB±3dB.
3. Аудио разъем: Ø3.5мм.
4. Кабель наушников: высокоэластичный TPE кабель с эмалированным проводом.
5. Длина кабеля: 1.2м. Вес: 11г.
6. Микрофон: пульт с микрофоном.
7. Проводное управление: управление одной кнопкой.</t>
  </si>
  <si>
    <t xml:space="preserve">http://hoco.i234.me:8000/sharing/IyJL6VLBM</t>
  </si>
  <si>
    <t xml:space="preserve">http://gofile.me/649X4/BDWRGDUiE</t>
  </si>
  <si>
    <t xml:space="preserve">6931474704320</t>
  </si>
  <si>
    <t xml:space="preserve">Наушники TWS</t>
  </si>
  <si>
    <t xml:space="preserve">Упаковка
G.W.(г)</t>
  </si>
  <si>
    <t xml:space="preserve">Большая коробка
G.W.(кг)</t>
  </si>
  <si>
    <t xml:space="preserve">FQ16 Star ANC+ENC  гарнитура с ИИ переводом (App)</t>
  </si>
  <si>
    <t xml:space="preserve">6941991127663</t>
  </si>
  <si>
    <t xml:space="preserve">13.1*10.8*4.7</t>
  </si>
  <si>
    <r>
      <rPr>
        <sz val="9"/>
        <color theme="1" tint="0.2499"/>
        <rFont val="微软雅黑"/>
        <family val="0"/>
        <charset val="134"/>
      </rPr>
      <t xml:space="preserve">1. Bluetooth: 6.0; Chip: JL AC7103D4
2. Емкость батареи: зарядный чехол 320mAh; гарнитура 35mAh
3. Время работы: 6с (с ANC 5ч)
4. Материал: ABS; Размер: 62 * 47 * 27mm; Общий вес: 41.5g
5. APP</t>
    </r>
    <r>
      <rPr>
        <sz val="9"/>
        <color theme="1" tint="0.2499"/>
        <rFont val="Noto Sans"/>
        <family val="2"/>
      </rPr>
      <t xml:space="preserve">：</t>
    </r>
    <r>
      <rPr>
        <sz val="9"/>
        <color theme="1" tint="0.2499"/>
        <rFont val="微软雅黑"/>
        <family val="0"/>
        <charset val="134"/>
      </rPr>
      <t xml:space="preserve">AI TransFun, поддерживает интеллектуальный диалог с помощью искусственного интеллекта и онлайн-перевод на 134 языка
6. Поддерживает шумоподавление ANC + ENC, переключатель холла и другие функции</t>
    </r>
  </si>
  <si>
    <t xml:space="preserve">http://gofile.me/649X4/cBxkaH4LQ</t>
  </si>
  <si>
    <t xml:space="preserve">6941991127670</t>
  </si>
  <si>
    <t xml:space="preserve">FQ13 Astute ANC+ENC беспроводная BT гарнитура</t>
  </si>
  <si>
    <t xml:space="preserve">6941991129629</t>
  </si>
  <si>
    <t xml:space="preserve">13.1*10.8*4.6</t>
  </si>
  <si>
    <t xml:space="preserve">1. Bluetooth 6.0; чип: JL AC7103D4.
2. Ёмкость аккумулятора: зарядный кейс 300 мА·ч; наушники 35 мА·ч.
3. Время работы: 6 часов (с ANC – 5 часов).
4. Материал: ABS; размер: 61 × 47 × 28 мм; общий вес: 40 г.
5. Поддержка функций ANC + ENC шумоподавления, датчика Холла и других.</t>
  </si>
  <si>
    <t xml:space="preserve">http://gofile.me/649X4/vMXnYl4B0</t>
  </si>
  <si>
    <t xml:space="preserve">6941991129636</t>
  </si>
  <si>
    <t xml:space="preserve">FQ12 Nice sound беспроводная BT гарнитура</t>
  </si>
  <si>
    <t xml:space="preserve">6941991124624</t>
  </si>
  <si>
    <t xml:space="preserve">13.1*10.9*4.7</t>
  </si>
  <si>
    <t xml:space="preserve">1. Bluetooth 5.4; чип: JL AC6983D4
2. Емкость батареи: зарядный чехол  350mAh; гарнитура 30mAh
3. Время работы: 4 ч
4. Материал: ABS; Размер: 61 * 47.5 * 28mm; Общий вес: 40g
5. Поддержкаs Hall switch, переключение между ведущим и ведомым, включение и выключение песен и вызов Siri</t>
  </si>
  <si>
    <t xml:space="preserve">http://gofile.me/649X4/KvEmfVGZ1</t>
  </si>
  <si>
    <t xml:space="preserve">FQ9 Peaceful беспроводная BT гарнитура</t>
  </si>
  <si>
    <t xml:space="preserve">6941991122453</t>
  </si>
  <si>
    <t xml:space="preserve">13*10.9*4.7</t>
  </si>
  <si>
    <t xml:space="preserve">1. Bluetooth 5.4; Чип:  JLAC6983D2
2. Емкость батареи:  зарядный чехол 300mAh; гарнитура 35mAh
3. Время работы:  6 ч
4. Материал:  ABS. Размер:  61 * 50 * 28mm; Общий вес:  44g
5. Переключатель Hall, ведущий-ведомый, переключение песен, вызов Siri</t>
  </si>
  <si>
    <t xml:space="preserve">http://gofile.me/649X4/1iHNOR26O</t>
  </si>
  <si>
    <t xml:space="preserve">FQ9 Plus Peaceful беспроводная BT  гарнитура с ANC+ENC шумоподавлением</t>
  </si>
  <si>
    <t xml:space="preserve">6941991122477</t>
  </si>
  <si>
    <t xml:space="preserve">1. Bluetooth 5.4; Чип:  JELI AC7003D4
2. Емкость батареи:  зарядный чехол 300mAh; гарнитура 35mAh
3. Время работы:  6 ч (ANC 5 ч)
4. Материал:  ABS. Размер:  61 * 50 * 28mm; Общий вес:  44g
5. ANC+ENC шумоподавление, переключатель Hall, ведущий-ведомый, переключение песен, вызов Siri и др.</t>
  </si>
  <si>
    <t xml:space="preserve">http://gofile.me/649X4/azk2eLEz0</t>
  </si>
  <si>
    <t xml:space="preserve">BW101 Stellix беспроводная BT гарнитура</t>
  </si>
  <si>
    <t xml:space="preserve">6941991130069</t>
  </si>
  <si>
    <t xml:space="preserve">12.1*9.8*3.1</t>
  </si>
  <si>
    <t xml:space="preserve">1. Bluetooth 6.0. Чип: JL AC1123.
2. Емкость аккумулятора: зарядный футляр 300mAh, наушник 30mAh.
3. Время работы: 4 часа. Время в режиме ожидания: 200 часов.
4. Материал: ABS. Размеры: 62*47*22 мм. Общий вес: 42,7 г.
5. Поддерживает переключение ведущего-ведомого режима, вызов Siri и т.д.</t>
  </si>
  <si>
    <t xml:space="preserve">http://gofile.me/649X4/NPc0BxIM0</t>
  </si>
  <si>
    <t xml:space="preserve">BW100 Sunshine беспроводная BT гарнитура клипсы</t>
  </si>
  <si>
    <t xml:space="preserve">6941991129223</t>
  </si>
  <si>
    <t xml:space="preserve">12*9.9*3</t>
  </si>
  <si>
    <t xml:space="preserve">1. Bluetooth 6.0; чип: Blue trum AB5756C.
2. Емкость аккумулятора: зарядный чехол 300mAh, наушники 40mAh.
3. Время работы: 7 часов.
4. Материал: ABS; размеры: 64*50*27mm; общий вес: 46.7g.
5. Открытая конструкция с креплением на ухо.</t>
  </si>
  <si>
    <t xml:space="preserve">http://gofile.me/649X4/mJbRWriZj</t>
  </si>
  <si>
    <t xml:space="preserve">BW99 беспроводная ВТ гарнитура с ANC шумоподавлением</t>
  </si>
  <si>
    <t xml:space="preserve">6941991127137</t>
  </si>
  <si>
    <t xml:space="preserve">9.7*8.2*4.6</t>
  </si>
  <si>
    <t xml:space="preserve">1. Bluetooth 6.0; chip: JL AC7103
2. Емкость батареи: зарядный чехол 300mAh, наушники 30mAh
3. Время работы: 4 часа; В режиме ожидания 200 часов
4. Материал: ABS; Размер: 62 * 47 * 22mm; Общий Вес: 58g
5. Поддерживает функции шумоподавления и прозрачности, переключение между ведущим и ведомым устройствами, переключение песен, вызов Siri и т.д</t>
  </si>
  <si>
    <t xml:space="preserve">http://gofile.me/649X4/T8AJ9GZlE</t>
  </si>
  <si>
    <t xml:space="preserve">BW98 беспроводная гарнитура</t>
  </si>
  <si>
    <t xml:space="preserve">6941991126536</t>
  </si>
  <si>
    <t xml:space="preserve">9.7*8.2*4.7</t>
  </si>
  <si>
    <t xml:space="preserve">1. Bluetooth 6.0; чип: Jerry JL AC6983
2. Емкость батареи: зарядный чехол 300mAh, гарнитура 30mAh
3. Время работы: 4ч
4. Материал: ABS; size: 62*47*22mm; общий вес: 58g
5. Поддержка переключение между ведущий-ведомый, вызов Siri и т.д</t>
  </si>
  <si>
    <t xml:space="preserve">http://gofile.me/649X4/nrOQ2ltaD</t>
  </si>
  <si>
    <t xml:space="preserve">BW97 Clear беспрводная BT гарнитура</t>
  </si>
  <si>
    <t xml:space="preserve">6941991125591</t>
  </si>
  <si>
    <t xml:space="preserve">10*10*4.6</t>
  </si>
  <si>
    <t xml:space="preserve">1. Bluetooth 5.4; Chip: Jelly AC6983D2
2. Емкость батареи: зарядный чехол 250mAh, гарнитура 30mAh
3. Время работы: 4ч; в режиме ожидания 200ч
4. Материал: ABS; Размер: 45 * 45 * 33mm; Общий вес: 29g
5. Поддержка переключения ведущий-ведомый, переключения песен, вызова Siri и других функций</t>
  </si>
  <si>
    <t xml:space="preserve">http://gofile.me/649X4/flRuJr0jt</t>
  </si>
  <si>
    <t xml:space="preserve">6941991125607</t>
  </si>
  <si>
    <t xml:space="preserve">BW96 Mellow sound беспроводная гарнитура с ANC+ENC шумоподавлением</t>
  </si>
  <si>
    <t xml:space="preserve">6941991127526</t>
  </si>
  <si>
    <t xml:space="preserve">9.9*9.9*3.4</t>
  </si>
  <si>
    <t xml:space="preserve">1. Bluetooth 6.0; Чип: JL AC7103D4
2. Батарея: зарядный чехол 300mAh, гарнитура 30mAh
3. Время работыe: 4ч (ANC 3ч)
4. Материал: ABS; Размер: 59 * 46 * 26mm; общий вес: 35g
5. ANC+ENC шумоподавление, Hall switch и др.</t>
  </si>
  <si>
    <t xml:space="preserve">http://gofile.me/649X4/JAddvEy4J</t>
  </si>
  <si>
    <t xml:space="preserve">6941991127533</t>
  </si>
  <si>
    <t xml:space="preserve">BW95 Cancion BT гарнитура</t>
  </si>
  <si>
    <t xml:space="preserve">6941991126246</t>
  </si>
  <si>
    <t xml:space="preserve">10*10*3.4</t>
  </si>
  <si>
    <t xml:space="preserve">1. Bluetooth 5.4; Чип: JL AC6983D4
2. Емкость батареи: зарядный чехол 300mAh, гарнитура 35mAh
3. Время работы: 6ч; Режим ожидания 200ч
4. Материал: ABS; Размер: 60.5 * 45 * 22mm; Общий вес: 42g
5. C-type клипсы</t>
  </si>
  <si>
    <t xml:space="preserve">http://gofile.me/649X4/3CIp3U0IN</t>
  </si>
  <si>
    <t xml:space="preserve">BW94 беспроводная BT гарнитура</t>
  </si>
  <si>
    <t xml:space="preserve">6941991123245</t>
  </si>
  <si>
    <t xml:space="preserve">10*10*3.5</t>
  </si>
  <si>
    <t xml:space="preserve">1. Bluetooth 5.4; Чип:  JLAC6983
2. Емкость батареи:  зарядный чехол 300mAh, гарнитура 30mAh
3. Время работы:  4 ч; В режиме ожидания 200 ч
4. Материал:  ABS. Размер:  53.8 * 44.3 * 21.5mm; Общий вес:  43g
5. Ведущий-ведомый, переключение песен, вызов Siri и др.</t>
  </si>
  <si>
    <t xml:space="preserve">http://gofile.me/649X4/iyq9cxfEg</t>
  </si>
  <si>
    <t xml:space="preserve">BW93 беспроводная BT гарнитура с ANC шумоподавлением</t>
  </si>
  <si>
    <t xml:space="preserve">6941991123238</t>
  </si>
  <si>
    <t xml:space="preserve">1. Bluetooth 5.4; Чип:  JLAC7003
2. Емкость батареи:  зарядный чехол 300mAh, гарнитура 30mAh
3. Время работы:  4 ч; В режиме ожидания 200 ч
4. Материал:  ABS. Размер:  60.6 * 45.2 * 21.7mm; Общий вес:  57.6g
5. Режимы шумоподавление и прозрачность, ведущий-ведомый, переключение песен, вызов Siri, сенсор для управления и др.</t>
  </si>
  <si>
    <t xml:space="preserve">http://gofile.me/649X4/nWYoib9I1</t>
  </si>
  <si>
    <t xml:space="preserve">BW92 беспроводная BT гарнитура</t>
  </si>
  <si>
    <t xml:space="preserve">6941991123221</t>
  </si>
  <si>
    <t xml:space="preserve">1. Bluetooth 5.4; Чип:  JLAC6983
2. Емкость батареи:  зарядный чехол 300mAh, гарнитура 30mAh
3. Время работы:  4 ч; В режиме ожидания 200 ч
4. Материал:  ABS. Размер:  53.8 * 44.3 * 21.5mm; Общий вес:  43g
5. Ведущий-ведомый, переключение песен, вызов Siri, и др.</t>
  </si>
  <si>
    <t xml:space="preserve">http://gofile.me/649X4/OmsG8t035</t>
  </si>
  <si>
    <t xml:space="preserve">BW91 беспроводная BT гарнитура</t>
  </si>
  <si>
    <t xml:space="preserve">6941991123214</t>
  </si>
  <si>
    <t xml:space="preserve">1. Bluetooth 5.4; Чип:  JLAC6983
2. Емкость батареи:  зарядный чехол 300mAh, гарнитура 30mAh
3. Время работы:  4 ч; В режиме ожидания 200 ч
4. Материал:  ABS. Размер:  54.2 * 46.2 * 21.4mm; Общий вес:  45g
5. Ведущий-ведомый, переключение песен, вызов Siri, и др.</t>
  </si>
  <si>
    <t xml:space="preserve">http://gofile.me/649X4/Et1GjRaMu</t>
  </si>
  <si>
    <t xml:space="preserve">BW90 беспроводная BT гарнитура</t>
  </si>
  <si>
    <t xml:space="preserve">6941991123207</t>
  </si>
  <si>
    <t xml:space="preserve">1. Bluetooth 5.4; Чип:  JLAC6983
2. Емкость батареи:  зарядный чехол 300mAh, гарнитура 30mAh
3. Время работы:  4 ч; В режиме ожидания 200 ч
4. Материал:  ABS. Размер:  60.6 * 45.2 * 21.7mm; Общий вес:  60g
5. Ведущий-ведомый, переключение песен, вызов Siri, др.</t>
  </si>
  <si>
    <t xml:space="preserve">http://gofile.me/649X4/ZslsssyqW</t>
  </si>
  <si>
    <t xml:space="preserve">BW89 беспроводная BT гарнитура</t>
  </si>
  <si>
    <t xml:space="preserve">6941991123191</t>
  </si>
  <si>
    <t xml:space="preserve">1. Bluetooth 5.4; Чип:  JLAC6983
2. Емкость батареи:  зарядный чехол 300mAh, гарнитура 30mAh
3. Время работы:  4 ч; В режиме ожидания 200 ч
4. Материал:  ABS. Размер:  53.8 * 44.3 * 21.5mm; Общий вес:  43g
5. Ведущий-ведомый, переключение песен, вызов Siri, сенсорное управление и др.</t>
  </si>
  <si>
    <t xml:space="preserve">http://gofile.me/649X4/qclbMNQBo</t>
  </si>
  <si>
    <t xml:space="preserve">BW88 Deep rhyme true wireless BT headset</t>
  </si>
  <si>
    <t xml:space="preserve">6941991121678</t>
  </si>
  <si>
    <r>
      <rPr>
        <sz val="9"/>
        <color theme="1" tint="0.2499"/>
        <rFont val="微软雅黑"/>
        <family val="0"/>
        <charset val="134"/>
      </rPr>
      <t xml:space="preserve">1. Bluetooth 5.4; чип: Blue trum AB5656C3
2. Емкость батареи: зарядный чехол 300mAh; гарнитура 25mAh
3. Время работы: 3.5 ч
4. Материал: ABS</t>
    </r>
    <r>
      <rPr>
        <sz val="9"/>
        <color theme="1" tint="0.2499"/>
        <rFont val="Noto Sans"/>
        <family val="2"/>
      </rPr>
      <t xml:space="preserve">； </t>
    </r>
    <r>
      <rPr>
        <sz val="9"/>
        <color theme="1" tint="0.2499"/>
        <rFont val="微软雅黑"/>
        <family val="0"/>
        <charset val="134"/>
      </rPr>
      <t xml:space="preserve">размер: 47.5 * 45.5 * 24.3mm; общий вес: 31.8g
5. Переключение ведущий / ведомый, включение и выключение музыки, вызов Siri и другие функции
6. Откройте крышку, достаньте наушники, чтобы включить</t>
    </r>
  </si>
  <si>
    <t xml:space="preserve">http://gofile.me/649X4/UYzM14k9g</t>
  </si>
  <si>
    <t xml:space="preserve">6941991121685</t>
  </si>
  <si>
    <t xml:space="preserve">BW85 Smart беспроводная BT гарнитура</t>
  </si>
  <si>
    <t xml:space="preserve">6941991119187</t>
  </si>
  <si>
    <t xml:space="preserve">10*10*3.6</t>
  </si>
  <si>
    <t xml:space="preserve">1, Bluetooth 5.4, чип: JL AC6983
2. Емкость батареи: зарядный чехол 300mAh; гарнитура 30mAh
3. Время работы: 4 ч
4. Материал: ABS.Размер: 54*51*25.5mm; Общий вес: 62.8g
5. Поддержка переключения ведущий - ведомый, переключения песен, вызова Siri и других функций</t>
  </si>
  <si>
    <t xml:space="preserve">http://gofile.me/649X4/Nvj2W8mVr</t>
  </si>
  <si>
    <t xml:space="preserve">BW83 беспроводная гарнитура</t>
  </si>
  <si>
    <t xml:space="preserve">6941991114977</t>
  </si>
  <si>
    <t xml:space="preserve">1. Bluetooth версия: 5.4, чип: JL AC6983
2. Емкость батареи: 300mAh зарядный чехол, 30mAh гарнитура
3. Время работы: 4 ч.
4. Материал: ABS.Размер: 49*46*20.2mm; Общий вес: 40g
5. Поддержка переключения ведущий-ведомый, переключение песен, вызов Siri, настройку слайдером, управление нажатием и другие функции
6. Не поддерживает функцию сброса при нажатии и удерживании кнопки</t>
  </si>
  <si>
    <t xml:space="preserve">http://gofile.me/649X4/UO7LdpVuR</t>
  </si>
  <si>
    <t xml:space="preserve">BW82 беспроводная гарнитура</t>
  </si>
  <si>
    <t xml:space="preserve">6941991114960</t>
  </si>
  <si>
    <t xml:space="preserve">1. Bluetooth версия: 5.4, чип: JL AC6983
2. Емкость батареи: 300mAh зарядный чехол, 30mAh гарнитура
3. Время работы: 4 ч.
4. Материал: ABS.Размер: 60.6*45.2*21.7mm; Общий вес: 57.6g
5. Поддержка переключения ведущий-ведомый, переключение песен, вызов Siri, управление нажатием и другие функции
6. Не поддерживает функцию сброса при нажатии и удерживании кнопки</t>
  </si>
  <si>
    <t xml:space="preserve">http://gofile.me/649X4/pENzxDdad</t>
  </si>
  <si>
    <t xml:space="preserve">BW81 беспроводная гарнитура</t>
  </si>
  <si>
    <t xml:space="preserve">6941991114953</t>
  </si>
  <si>
    <t xml:space="preserve">1. Bluetooth версия: 5.4, чип: JL AC6983
2. Емкость батареи: 300mAh зарядный чехол, 30mAh гарнитура
3. Время работы: 4 ч.
4. Материал: ABS.Размер: 54.2*46.2*21.4mm; Общий вес: 45g
5. Поддержка переключения ведущий-ведомый, переключение песен, вызов Siri, управление нажатием и другие функции
6. Не поддерживает функцию сброса при нажатии и удерживании кнопки</t>
  </si>
  <si>
    <t xml:space="preserve">http://gofile.me/649X4/J2pLbOBtb</t>
  </si>
  <si>
    <t xml:space="preserve">BW80 беспроводная гарнитура</t>
  </si>
  <si>
    <t xml:space="preserve">6941991114946</t>
  </si>
  <si>
    <t xml:space="preserve">1. Bluetooth версия: 5.4, чип: JL AC6983
2. Емкость батареи: 300mAh зарядный чехол, 30mAh гарнитура
3. Время работы: 4 ч.
4. Материал: ABS.Размер: 60.6*45.2*21.7mm; Общий вес: 60g
5. Поддержка переключения ведущий-ведомый, переключение песен, вызов Siri, управление нажатием и другие функции
6. Не поддерживает функцию сброса при нажатии и удерживании кнопки</t>
  </si>
  <si>
    <t xml:space="preserve">http://gofile.me/649X4/qlSYsq2HX</t>
  </si>
  <si>
    <t xml:space="preserve">BW79 беспроводная гарнитура</t>
  </si>
  <si>
    <t xml:space="preserve">6941991114939</t>
  </si>
  <si>
    <t xml:space="preserve">1. Bluetooth версия: 5.4, чип: JL AC6983
2. Емкость батареи: зарядный чехол 350mAh, гарнитура 30mAh
3. Время работы: 4 ч.
4. Материал: ABS.Размер: 53.8*44.3*21.5mm; Общий вес: 43g
5. Поддержка переключения ведущий-ведомый, переключение песен, вызов Siri, управление нажатием и другие функции
6. Не поддерживает функцию сброса при нажатии и удерживании кнопки</t>
  </si>
  <si>
    <t xml:space="preserve">http://gofile.me/649X4/GMAk7bxF7</t>
  </si>
  <si>
    <t xml:space="preserve">BW76 Brocade беспроводная BT гарнитура с ANC шумоподавлением сенсорным экраном</t>
  </si>
  <si>
    <t xml:space="preserve">6941991114236</t>
  </si>
  <si>
    <t xml:space="preserve">9.9*9.9*4.6</t>
  </si>
  <si>
    <t xml:space="preserve">1. Bluetooth 5.4 чип: JL AC7003
2. Емкость батареи: зарядный чехол 360mAh; гарнитура 30mAh
3. Время работы: 4 ч
4. Материал: ABS.Размер: 60.6*45.2*23mm; Вес: 57.6g
5. Поддерживает функцию шумоподавления и прозрачности, поддерживает настройку скольжением
6. Благодаря интеллектуальному сенсорному экрану различные настройки и функций могут управляться непосредственно с помощью зарядного чехла
7. На экране отображается текущий уровень заряда и точное время работы наушников и зарядного чехла.</t>
  </si>
  <si>
    <t xml:space="preserve">http://gofile.me/649X4/LZpnubTJp</t>
  </si>
  <si>
    <t xml:space="preserve">BW29 Charm беспроводная TWS гарнитура</t>
  </si>
  <si>
    <t xml:space="preserve">6974443389753</t>
  </si>
  <si>
    <t xml:space="preserve">пробельная чернь</t>
  </si>
  <si>
    <t xml:space="preserve">11.9*9.8*3.4</t>
  </si>
  <si>
    <t xml:space="preserve">1. Bluetooth 5.3; Чип: JL AC6983
2. Емкость батареи: зарядный чехол 200mAh; гарнитура 30mAh
3. Время работы: 4 ч; В режиме ожидания: 150 ч
4. Материал: ABS.Размер: 46 * 46 * 23.5mm; вес: 25.2g
5. Откройте крышку и выньте наушники, чтобы включить. Поддержка переключения ведущий-ведомый, переключение музыки и вызов Siri</t>
  </si>
  <si>
    <t xml:space="preserve">http://gofile.me/649X4/So5JPgjDi</t>
  </si>
  <si>
    <t xml:space="preserve">6974443389760</t>
  </si>
  <si>
    <t xml:space="preserve">голубой</t>
  </si>
  <si>
    <t xml:space="preserve">6974443389777</t>
  </si>
  <si>
    <t xml:space="preserve">таро фиолетовый</t>
  </si>
  <si>
    <t xml:space="preserve">6974443389784</t>
  </si>
  <si>
    <t xml:space="preserve">розовый сахар</t>
  </si>
  <si>
    <t xml:space="preserve">6974443389807</t>
  </si>
  <si>
    <t xml:space="preserve">лесная зелень</t>
  </si>
  <si>
    <t xml:space="preserve">Портативные колонки</t>
  </si>
  <si>
    <t xml:space="preserve">Динамики серия BR</t>
  </si>
  <si>
    <t xml:space="preserve">BR112 Rhyme BT колонка</t>
  </si>
  <si>
    <t xml:space="preserve">6941991131042</t>
  </si>
  <si>
    <t xml:space="preserve">14.6*8*4.7</t>
  </si>
  <si>
    <t xml:space="preserve">48*25.6*26</t>
  </si>
  <si>
    <t xml:space="preserve">1. BT 5.4. Чип: Huayaoxin HA3616.
2. Емкость аккумулятора: 800mAh. Время зарядки: 2,5 часа.
3. Время работы: 3 часа.
4. Динамик: 45 мм. Мощность: 5 Вт.
5. Материал: ABS + силикон + тканевая сетка. Размеры: 101.5*78*42.5 мм. Вес: 242 г.
6. Поддерживает режимы BT, USB-флешка, TF-карта, TWS и другие.</t>
  </si>
  <si>
    <t xml:space="preserve">http://gofile.me/649X4/FXzLwvScC</t>
  </si>
  <si>
    <t xml:space="preserve">6941991131059</t>
  </si>
  <si>
    <t xml:space="preserve">BR110 Shine BT колонка</t>
  </si>
  <si>
    <t xml:space="preserve">6941991130410</t>
  </si>
  <si>
    <t xml:space="preserve">17.8*9.5*9.1</t>
  </si>
  <si>
    <t xml:space="preserve">48.5*30.5*37.6</t>
  </si>
  <si>
    <t xml:space="preserve">1. Bluetooth 5.4. Чип: Huayaoxin HA3616.
2. Емкость аккумулятора: 1200mAh. Время зарядки: 2,5 часа.
3. Время работы: 3 часа.
4. Динамики: 52 мм × 2. Мощность: 5 Вт × 2.
5. Материал: ABS + силикон + тканевая сетка. Размеры: 175*90*90 мм. Вес: 533 г.
6. Поддерживает режимы Bluetooth, USB-флешка, TF-карта, TWS и другие.</t>
  </si>
  <si>
    <t xml:space="preserve">http://gofile.me/649X4/Ph71rDvbm</t>
  </si>
  <si>
    <t xml:space="preserve">6941991130427</t>
  </si>
  <si>
    <t xml:space="preserve">BR109 Wave BT динамик</t>
  </si>
  <si>
    <t xml:space="preserve">6941991130397</t>
  </si>
  <si>
    <t xml:space="preserve">12.8*9.4*9.3</t>
  </si>
  <si>
    <t xml:space="preserve">48.5*40*27.8</t>
  </si>
  <si>
    <t xml:space="preserve">1. Bluetooth 5.4. Чип: Huayaoxin HA3616.  
2. Емкость аккумулятора: 1200mAh. Время зарядки: 2.5 часа.  
3. Время работы: 5 часов.  
4. Динамик: 52 мм. Мощность: 5W.  
5. Материал: ABS + силикон + тканевая сетка. Размер: 125*90*90 мм. Вес: 363 г.  
6. Поддерживает режимы Bluetooth, USB-накопитель, TF-карта, TWS и другие.</t>
  </si>
  <si>
    <t xml:space="preserve">http://gofile.me/649X4/9MQ3C3xGs</t>
  </si>
  <si>
    <t xml:space="preserve">6941991130403</t>
  </si>
  <si>
    <t xml:space="preserve">BR108 Serenjoy BT динамик</t>
  </si>
  <si>
    <t xml:space="preserve">6941991130090</t>
  </si>
  <si>
    <t xml:space="preserve">19.2*8.4*7.6</t>
  </si>
  <si>
    <t xml:space="preserve">44*40*40.4</t>
  </si>
  <si>
    <t xml:space="preserve">1. Bluetooth 6.0; Чип: JL AC6965E4.  
2. Емкость аккумулятора: 1200мАч; Время зарядки: 2.5 часа.  
3. Время работы: 5 часов.  
4. Динамик: 52 мм; Мощность: 5W.  
5. Материал: ABS; Размеры: 186*72*80 мм; Вес: 357 г.  
6. Поддерживает Bluetooth, TF-карту, USB-флешку, TWS и другие режимы.</t>
  </si>
  <si>
    <t xml:space="preserve">http://gofile.me/649X4/XwYKoRspI</t>
  </si>
  <si>
    <t xml:space="preserve">6941991130106</t>
  </si>
  <si>
    <t xml:space="preserve">серый</t>
  </si>
  <si>
    <t xml:space="preserve">BR106 Felicitous BT динамик</t>
  </si>
  <si>
    <t xml:space="preserve">6941991129230</t>
  </si>
  <si>
    <t xml:space="preserve">15.1*9*5.6</t>
  </si>
  <si>
    <t xml:space="preserve">38*30.7*40</t>
  </si>
  <si>
    <t xml:space="preserve">1. Bluetooth 5.4. Чип: Huayao Xin HA3616A
2. Ёмкость батареи: 800mAh. Время зарядки: 2.5ч
3. Время работы: 3ч
4. Динамик: 52мм. мощность: 8W
5. Материал: ABS+силикон+сетка. Размер: 109 * 86.6 * 49.7мм. Вес: 250g
6. Поддержка Bluetooth, FM, TF карты, USB накопителя, TWS и др.</t>
  </si>
  <si>
    <t xml:space="preserve">http://gofile.me/649X4/5Nhn87PCb</t>
  </si>
  <si>
    <t xml:space="preserve">6941991129247</t>
  </si>
  <si>
    <t xml:space="preserve">морской синий</t>
  </si>
  <si>
    <t xml:space="preserve">BR105 Loud BT динамик</t>
  </si>
  <si>
    <t xml:space="preserve">6941991127540</t>
  </si>
  <si>
    <t xml:space="preserve">тёмно-серый</t>
  </si>
  <si>
    <t xml:space="preserve">18.5*8.6*8.4</t>
  </si>
  <si>
    <t xml:space="preserve">44.5*35.8*39</t>
  </si>
  <si>
    <t xml:space="preserve">1. Bluetooth 5.4; Чип: Huayao Xin HA3616A
2. Емкость батареи: 1500mAh; Время зарядки: 3ч
3. Время работы: 5ч
4. Динамик: 52mm * 2; Мощность: 5W * 2
5. Размер: 178 * 80 * 80mm; Вес: 455g
6. Аоддерка Bluetooth, FM, TF карты, USB накопителя, TWS и других режимов.</t>
  </si>
  <si>
    <t xml:space="preserve">http://gofile.me/649X4/zzEKQcA1I</t>
  </si>
  <si>
    <t xml:space="preserve">6941991127557</t>
  </si>
  <si>
    <t xml:space="preserve">BR102 Gratificado BT динамик</t>
  </si>
  <si>
    <t xml:space="preserve">6941991126543</t>
  </si>
  <si>
    <t xml:space="preserve">11.1*8.9*8.9</t>
  </si>
  <si>
    <t xml:space="preserve">46.5*37.5*35</t>
  </si>
  <si>
    <t xml:space="preserve">1. Bluetooth 5.4; Чип: JELI JL AC6965E4
2. Емкость батареи: 800mAh; Время зарядки: 2.5ч
3. Время работы: 3ч
4. Динамик: 57mm; power: 5W
5. Материал: ABS; Размер: 84 * 84 * 103m; Вес: 286g
6. Поддержка Bluetooth проигрывания и TWS соединения</t>
  </si>
  <si>
    <t xml:space="preserve">http://gofile.me/649X4/kkUkJuW7z</t>
  </si>
  <si>
    <t xml:space="preserve">BR100 Joy BT динамик</t>
  </si>
  <si>
    <t xml:space="preserve">6941991125614</t>
  </si>
  <si>
    <t xml:space="preserve">18.5*8.2*8.2</t>
  </si>
  <si>
    <t xml:space="preserve">43*38.8*35</t>
  </si>
  <si>
    <t xml:space="preserve">1. Bluetooth 6.0; чип: JL AC6965E
2. Емкость батареи: 1200mAh; Время зарядки: 2ч
3. Время работы: 3ч
4. Динамик: 52mm * 2; мощность: 5W * 2
5. Материал: ABS; размер: 181 * 81 * 77mm; Вес: 402g
6. Поддержка Bluetooth, FM, TF, USB накопитель, TWS и др.</t>
  </si>
  <si>
    <t xml:space="preserve">http://gofile.me/649X4/IzxfbUn3Z</t>
  </si>
  <si>
    <t xml:space="preserve">BR48 Ufo BT динамик</t>
  </si>
  <si>
    <t xml:space="preserve">6941991121692</t>
  </si>
  <si>
    <t xml:space="preserve">14.5*12*6.7</t>
  </si>
  <si>
    <t xml:space="preserve">50*38*35.6</t>
  </si>
  <si>
    <r>
      <rPr>
        <sz val="9"/>
        <color theme="1" tint="0.2499"/>
        <rFont val="微软雅黑"/>
        <family val="0"/>
        <charset val="134"/>
      </rPr>
      <t xml:space="preserve">1. Bluetooth 5.4; чип: JL  AC6965E
2. Емкость батареи: 1200mAh; время зарядки: 3.5 ч
3. Время работыe: 5 ч
4. Динамик: 52mm</t>
    </r>
    <r>
      <rPr>
        <sz val="9"/>
        <color theme="1" tint="0.2499"/>
        <rFont val="Noto Sans"/>
        <family val="2"/>
      </rPr>
      <t xml:space="preserve">； </t>
    </r>
    <r>
      <rPr>
        <sz val="9"/>
        <color theme="1" tint="0.2499"/>
        <rFont val="微软雅黑"/>
        <family val="0"/>
        <charset val="134"/>
      </rPr>
      <t xml:space="preserve">Мощность: 5W
5. Материал: ABS+силикон; Размер: 115 * 115 * 62mm; вес: 228g
6. Поддержка воспроизведения Bluetooth и TWS</t>
    </r>
  </si>
  <si>
    <t xml:space="preserve">http://gofile.me/649X4/8adStInw4</t>
  </si>
  <si>
    <t xml:space="preserve">http://gofile.me/649X4/z6o8C7LaO</t>
  </si>
  <si>
    <t xml:space="preserve">Аудиоаксессуары</t>
  </si>
  <si>
    <t xml:space="preserve">Микрофоны</t>
  </si>
  <si>
    <t xml:space="preserve">BFK17 Lemai беспроводной микрофон Type-C</t>
  </si>
  <si>
    <t xml:space="preserve">6941991127038</t>
  </si>
  <si>
    <t xml:space="preserve">13*10.8*4.6cn</t>
  </si>
  <si>
    <t xml:space="preserve">1. Тип микрофона: всенаправленный поляризованный микрофон
2. Приемник: Type-C
3. Емкость аккумулятора: микрофон 70 мАч / зарядный отсек 400 мАч
4. Материал: ABS; Размер: 78 * 58 * 32 мм; Вес: 76 г
5. Совместим с большинством телефонов Type-C</t>
  </si>
  <si>
    <t xml:space="preserve">http://gofile.me/649X4/J9l5Bmgyr</t>
  </si>
  <si>
    <t xml:space="preserve">BFK16 Winner беспроводной микрофон iP</t>
  </si>
  <si>
    <t xml:space="preserve">6941991126482</t>
  </si>
  <si>
    <t xml:space="preserve">14.2*8.6*3</t>
  </si>
  <si>
    <t xml:space="preserve">1. Тип микрофона: всенаправленный электретный микрофон
2. Разъем приемника: цифровой разъем Lightning
3. Батарея микрофона: литиево-полимерная батарея емкостью 50 мАч
4. Материал: ABS; размер: микрофон 63 * 25 * 28 мм, приемник 45 * 27 * 8 мм; вес: приемник 4 г, микрофон 7 г
5. Совместимость с мобильными телефонами и планшетами Lightning</t>
  </si>
  <si>
    <t xml:space="preserve">http://gofile.me/649X4/45UvGo9Cp</t>
  </si>
  <si>
    <t xml:space="preserve">BFK16 Winner беспроводной микрофон Type-C</t>
  </si>
  <si>
    <t xml:space="preserve">6941991126499</t>
  </si>
  <si>
    <t xml:space="preserve">1. Тип микрофона: Всенаправленный поляризованный микрофон
2. Разъем приемника: цифровой разъем Type-C
3. Батарея микрофона: литиево-полимерная батарея емкостью 50 мАч
4. Материал: ABS; Размер: Микрофон 63 * 25 * 28 мм, Приемник 45 * 27 * 8 мм; Вес: Приемник 4g, микрофон 7g
5. Совместимость с большинством телефонов Type-C</t>
  </si>
  <si>
    <t xml:space="preserve">http://gofile.me/649X4/5n0fF3qzX</t>
  </si>
  <si>
    <t xml:space="preserve">BFK16A Winner беспроводной микрофон iP</t>
  </si>
  <si>
    <t xml:space="preserve">6941991126505</t>
  </si>
  <si>
    <t xml:space="preserve">1. Тип микрофона: Всенаправленный поляризованный микрофон
2. Разъем приемника: Цифровой разъем Lightning
3. Батарея микрофона: литиево-полимерная батарея емкостью 50 мАч
4. Материал: ABS; Размер: Микрофон 63 * 25 * 28 мм * 2, Приемник 45 * 27 * 8 мм; Вес: Приемник 4g, Микрофон 7g * 2
5. Совместимость с телефонами и планшетами Lightning</t>
  </si>
  <si>
    <t xml:space="preserve">http://gofile.me/649X4/XejNAB5rL</t>
  </si>
  <si>
    <t xml:space="preserve">BFK16A Winner беспроводной микрофон Type-C</t>
  </si>
  <si>
    <t xml:space="preserve">6941991126512</t>
  </si>
  <si>
    <t xml:space="preserve">1. Тип микрофона: Всенаправленный поляризованный микрофон
2. Разъем приемника: цифровой разъем Type-C
3. Батарея микрофона: литиево-полимерная батарея емкостью 50 мАч
4. Материал: ABS; Размер: Микрофон 63 * 25 * 28 мм * 2, Приемник 45 * 27 * 8 мм; Вес: Приемник 4g, Микрофон 7g * 2
5. Совместимость с большинством телефонов Type-C</t>
  </si>
  <si>
    <t xml:space="preserve">http://gofile.me/649X4/Pli7l5M39</t>
  </si>
  <si>
    <t xml:space="preserve">BL26 Standard AUX аудио кабель</t>
  </si>
  <si>
    <t xml:space="preserve">6941991122170</t>
  </si>
  <si>
    <t xml:space="preserve">14.4*9.4*1.1</t>
  </si>
  <si>
    <r>
      <rPr>
        <sz val="9"/>
        <color theme="1" tint="0.2499"/>
        <rFont val="微软雅黑"/>
        <family val="0"/>
        <charset val="134"/>
      </rPr>
      <t xml:space="preserve">1. Материал: TPE+медь; длина: 1m; вес: 13g
2. Коннектор: 3.5 штекер на 3.5 штекер
3. Сердечник: 8/0.08BC*3C  OD</t>
    </r>
    <r>
      <rPr>
        <sz val="9"/>
        <color theme="1" tint="0.2499"/>
        <rFont val="Noto Sans"/>
        <family val="2"/>
      </rPr>
      <t xml:space="preserve">：</t>
    </r>
    <r>
      <rPr>
        <sz val="9"/>
        <color theme="1" tint="0.2499"/>
        <rFont val="微软雅黑"/>
        <family val="0"/>
        <charset val="134"/>
      </rPr>
      <t xml:space="preserve">2.8mm
4. Поддерживает вывод звука с 3,5-мм интерфейсных устройств на 3,5-мм интерфейсные устройства</t>
    </r>
  </si>
  <si>
    <t xml:space="preserve">http://gofile.me/649X4/smvNsbzqL</t>
  </si>
  <si>
    <t xml:space="preserve">BL25 Nice AUX аудио кабель</t>
  </si>
  <si>
    <t xml:space="preserve">6941991124754</t>
  </si>
  <si>
    <t xml:space="preserve">14.2*9.5*1.6</t>
  </si>
  <si>
    <t xml:space="preserve">1. Материал: PVC+медь; Длина: 1m; вес: 26g
2. Коннектор: 3.5 штекер на 3.5 штекер
3. Core: (10/0.08) * 3 OD3.8mm
4. Поддержка aудио передачи 3.5mm на 3.5mm</t>
  </si>
  <si>
    <t xml:space="preserve">http://gofile.me/649X4/EDN66G3Gp</t>
  </si>
  <si>
    <t xml:space="preserve">BL25A Nice цифровой кабель аудио конвертер iP</t>
  </si>
  <si>
    <t xml:space="preserve">6941991124761</t>
  </si>
  <si>
    <t xml:space="preserve">1. Материал: PVC+copper; Длина: 1m; вес: 26g
2. Коннектор: 3.5 штекер на Lightning штекер
3. Core: (10/0.08) * 3 OD3.8mm
4. Поддержка aудио передачи Lightning на 3.5mm</t>
  </si>
  <si>
    <t xml:space="preserve">http://gofile.me/649X4/19dMBAjfU</t>
  </si>
  <si>
    <t xml:space="preserve">BL25B Nice цифровой кабель аудио конвертер Type-C</t>
  </si>
  <si>
    <t xml:space="preserve">6941991124778</t>
  </si>
  <si>
    <t xml:space="preserve">1. Материал: PVC+медь; Длина: 1m; вес: 26g
2. Коннектор: 3.5 штекер на Type-C штекер
3. Core: (10/0.08) * 3 OD3.8mm
4. Поддержка audio передачт с Type-Cна 3.5mm (совместим с большинством моделей Huawei, Xiaomi, OnePlus и других брендов, некоторыми моделями телефонов Samsung, интерфейсом Type-C для iPhone и iPad)</t>
  </si>
  <si>
    <t xml:space="preserve">http://gofile.me/649X4/JIfWZo6iU</t>
  </si>
  <si>
    <t xml:space="preserve">BL25D iP Fiesta цифровой аудиоконвертер</t>
  </si>
  <si>
    <t xml:space="preserve">6941991129810</t>
  </si>
  <si>
    <t xml:space="preserve">14.3*9.9*1.1</t>
  </si>
  <si>
    <t xml:space="preserve">1. Материал: ПВХ + медь. Длина: 110 мм ± 5 мм. Вес: 6 г.
2. Разъем: гнездо DC 3,5 мм - штекер Lightning.
3. Сердечник: (10/0,08)*4, наружный диаметр 3,8 мм.
4. Поддерживает вывод аудио с устройств с разъемом Lightning на устройства с разъемом 3,5 мм (не поддерживает звонки).</t>
  </si>
  <si>
    <t xml:space="preserve">http://gofile.me/649X4/i4g71yIyb</t>
  </si>
  <si>
    <t xml:space="preserve">6941991129827</t>
  </si>
  <si>
    <t xml:space="preserve">BL25C Type-C Fiesta цифровой аудиоконвертер</t>
  </si>
  <si>
    <t xml:space="preserve">6941991129834</t>
  </si>
  <si>
    <t xml:space="preserve">1. Материал: ПВХ + медь. Длина: 110 мм ± 5 мм. Вес: 6 г.
2. Разъем: гнездо DC 3,5 мм - штекер Type-C.
3. Сердечник: (10/0,08)*4, наружный диаметр 3,8 мм.
4. Поддерживает вывод аудио с устройств с разъемом Type-C на устройства с разъемом 3,5 мм (совместим с большинством моделей Huawei, Xiaomi, OnePlus и других брендов, некоторыми моделями Samsung, а также iPhone и iPad с разъемом Type-C).</t>
  </si>
  <si>
    <t xml:space="preserve">http://gofile.me/649X4/8EuGtLAWZ</t>
  </si>
  <si>
    <t xml:space="preserve">6941991129841</t>
  </si>
  <si>
    <t xml:space="preserve">BL24 Graceful аудио кабель AUX</t>
  </si>
  <si>
    <t xml:space="preserve">6941991118968</t>
  </si>
  <si>
    <t xml:space="preserve">1. Длина: 1m; вес: 27g
2. Коннектор: 3.5 штекер на 3.5 штекер
3. Сердечник: 16/0.8 * 3C OD: 3.5mm
4. Поддержка аудио выхода с устройства 3.5мм на устройство 3.5мм</t>
  </si>
  <si>
    <t xml:space="preserve">http://gofile.me/649X4/tVllRweya</t>
  </si>
  <si>
    <t xml:space="preserve">BL24 Graceful цифровой аудио кабель iP</t>
  </si>
  <si>
    <t xml:space="preserve">6941991118975</t>
  </si>
  <si>
    <t xml:space="preserve">1. Длина: 1m; вес: 28g
2. Коннектор: 3.5 штекер на Lightning штекер
3. Сердечник: 16/0.8 * 3C OD: 3.5mm
4. Поддержка аудио выхода с устройства Lightning на устройство 3.5мм</t>
  </si>
  <si>
    <t xml:space="preserve">http://gofile.me/649X4/gHAuUmAVv</t>
  </si>
  <si>
    <t xml:space="preserve">BL24 Graceful цифровой аудио кабель Type-C</t>
  </si>
  <si>
    <t xml:space="preserve">6941991118982</t>
  </si>
  <si>
    <t xml:space="preserve">1. Длина: 1m; вес: 28g
2. Коннектор: 3.5 штекер на Type-C штекер
3. Сердечник: 16/0.8 * 3C OD: 3.5mm
4. Поддержка аудио выхода с устройства Type-C на устройство 3.5мм (для большинства устройств Huawei, Xiaomi, OnePlus и др., some некоторых телефонов Samsung, поддержка iPhone и iPad с коннектором Type-C)</t>
  </si>
  <si>
    <t xml:space="preserve">http://gofile.me/649X4/a0mEHYzLs</t>
  </si>
  <si>
    <t xml:space="preserve">BL21 Lemon аудио кабель AUX</t>
  </si>
  <si>
    <t xml:space="preserve">6941991116926</t>
  </si>
  <si>
    <t xml:space="preserve">1. Длина: 1m; вес: 22g
2. Коннектор: 3.5mm штекер на 3.5mm штекер
3. Сердечник: 10/0.10BC*3C OD4.0mm
4. Переходник для устройств с выходным аудио интерфейсом 3.5mm на интерфейс 3.5mm</t>
  </si>
  <si>
    <t xml:space="preserve">http://gofile.me/649X4/H7xgo1cvZ</t>
  </si>
  <si>
    <t xml:space="preserve">BL21 Lemon цифровой кабель аудио конвертер iP</t>
  </si>
  <si>
    <t xml:space="preserve">6941991116940</t>
  </si>
  <si>
    <t xml:space="preserve">1. Длина: 1m; вес: 22g
2. Коннектор: Lightning штекер на 3.5mm штекер
3. Сердечник: 10/0.10BC*3C OD4.0mm
4. Переходник для устройств с выходным аудио интерфейсом Lightning на интерфейс 3.5mm</t>
  </si>
  <si>
    <t xml:space="preserve">http://gofile.me/649X4/eeC7ULkvk</t>
  </si>
  <si>
    <t xml:space="preserve">BL19 Creator AUX аудио кабель</t>
  </si>
  <si>
    <t xml:space="preserve">6941991108310</t>
  </si>
  <si>
    <t xml:space="preserve">1, Длина: 1m; Вес: 19g
2, Внешний материал: TPE
3, Сердечник: 10/0.10BC*3C OD3.8mm
4, 3,5мм на 3,5мм.</t>
  </si>
  <si>
    <t xml:space="preserve">http://gofile.me/649X4/NVLY8nXK0</t>
  </si>
  <si>
    <t xml:space="preserve">6941991108563</t>
  </si>
  <si>
    <t xml:space="preserve">BL19 Creator цифровой аудио кабель конвертер iP</t>
  </si>
  <si>
    <t xml:space="preserve">6941991108327</t>
  </si>
  <si>
    <t xml:space="preserve">1, Длина: 1m; Вес: 19.3g
2, Внешний материал: TPE
3, Сердечник: 10/0.10BC*3C OD3.8mm
4, Lightning на 3.5мм.</t>
  </si>
  <si>
    <t xml:space="preserve">http://gofile.me/649X4/p5SGgakA3</t>
  </si>
  <si>
    <t xml:space="preserve">6941991108570</t>
  </si>
  <si>
    <t xml:space="preserve">BL19 Creator цифровой аудио кабель конвертер Type-C</t>
  </si>
  <si>
    <t xml:space="preserve">6941991108334</t>
  </si>
  <si>
    <t xml:space="preserve">1, Длина: 1m; Вес: 19.7g
2, Внешний материал: TPE
3, Сердечник: 10/0.10BC*3C OD3.8mm
4, Type-C на 3.5мм.
5, Поддержка Huawei, Xiaomi, OnePlus и др. телефонов, неколторых Samsung телефонов,  Type-C iPad</t>
  </si>
  <si>
    <t xml:space="preserve">http://gofile.me/649X4/RdBVaFUxT</t>
  </si>
  <si>
    <t xml:space="preserve">6941991108587</t>
  </si>
  <si>
    <t xml:space="preserve">BL16 Clear sound AUX аудио кабель</t>
  </si>
  <si>
    <t xml:space="preserve">6974443389166</t>
  </si>
  <si>
    <t xml:space="preserve">1. Длина: 1m; вес: 17г
2. Внешний материал: PVC.
3. Сердечник: OD3.2-7 10-3/</t>
  </si>
  <si>
    <t xml:space="preserve">http://gofile.me/649X4/sOSdkDjsT</t>
  </si>
  <si>
    <t xml:space="preserve">BL11 3.5mm на два RCA аудио кабель</t>
  </si>
  <si>
    <t xml:space="preserve">6974443382204</t>
  </si>
  <si>
    <t xml:space="preserve">20.3*7*2</t>
  </si>
  <si>
    <t xml:space="preserve">1. Длина: 1,5 м, вес: 42 г.
2. Материал: внешняя оплетка из высокоэластичного PVC.
3. Характеристики сердечника провода: эмалированная медь 2C * 10 * 0,1 * 2.
4. 3.5 на двойной RCA.</t>
  </si>
  <si>
    <t xml:space="preserve">http://hoco.i234.me:8000/sharing/hKxp2oESH</t>
  </si>
  <si>
    <t xml:space="preserve">BV24 Graceful цифровой кабель аудио конвертер Type-C на 3.5mm</t>
  </si>
  <si>
    <t xml:space="preserve">6941991118999</t>
  </si>
  <si>
    <t xml:space="preserve">14.2*8.6*2.2</t>
  </si>
  <si>
    <t xml:space="preserve">1. Материал: алюминиевый сплав+алюминиевый сплав.Длина: 0.15m; вес: 12g
2. Коннектор: Type-C штекер на 3.5 гнездо
3. Сердечник: 16/0.8 * 4C OD 3.5mm
4. интерфейсом Type-C на устройства с интерфейсом 3,5 мм (совместим с большинством моделей Huawei, Xiaomi, OnePlus и других брендов, некоторыми моделями телефонов Samsung и iPhone 15/16 серий).</t>
  </si>
  <si>
    <t xml:space="preserve">http://gofile.me/649X4/YKKd63MR8</t>
  </si>
  <si>
    <t xml:space="preserve">BV24 Graceful цифровой кабель аудио конвертер iP на 3.5mm</t>
  </si>
  <si>
    <t xml:space="preserve">6941991120398</t>
  </si>
  <si>
    <t xml:space="preserve">1. Материал: алюминиевый сплав+алюминиевый сплав.Длина: 0.15m; вес: 12g
2. Коннектор: Lightning штекер на 3.5 гнездо
3. Сердечник: 16/0.8 * 4C OD 3.5mm
4. Поддержка аудио выхода с Lightning устройства на устройство 3.5мм</t>
  </si>
  <si>
    <t xml:space="preserve">http://gofile.me/649X4/SFQLSAkf4</t>
  </si>
  <si>
    <t xml:space="preserve">BC110 Find устройство защиты  от потери</t>
  </si>
  <si>
    <t xml:space="preserve">6941991127571</t>
  </si>
  <si>
    <t xml:space="preserve">11.9*9.9*2.1</t>
  </si>
  <si>
    <t xml:space="preserve">1. Поддержка сетей Google Find My Device и Apple Find My network
2. Материал: ABS; Размер: 38,5 * 32 * 9 мм; Вес: 7,5 г
3. Емкость батареи: кнопочная батарея 230 мАч/CR2032; Срок службы батареи: 9-12 месяцев
4. Совместимость с Apple Find My Network: Установите iOS 14.5 и выше на iPhone SE, iPhone 6s или более поздние модели или iPod touch (7-го поколения) с iPadOS 14.5 и выше на iPad Pro, iPad (5-го поколения или более поздние модели), iPad Air 2 или более поздние модели, iPad mini 4 или более поздние версии. модели
5. Google Find My network совместима с более чем 90% зарубежных телефонов Android с версиями системы Android 9 и Google Suite (недоступна в материковом Китае, Северной Корее, на Кубе, в Иране, России и Украине). Загрузите и установите приложение "Найти мое устройство" через Google Store.</t>
  </si>
  <si>
    <t xml:space="preserve">http://gofile.me/649X4/tyw7lWhWp</t>
  </si>
  <si>
    <t xml:space="preserve">BC105 Clear GOOG локатор</t>
  </si>
  <si>
    <t xml:space="preserve">6941991127564</t>
  </si>
  <si>
    <t xml:space="preserve">12*9.9*2</t>
  </si>
  <si>
    <t xml:space="preserve">1. Поддержка сети Google Find My Device
2. Материал: ABS
3. Размер: 32 * 32 * 7.6 мм; Вес: 7,5г
4. Емкость аккумулятора: 210 мАч / CR2032; Срок службы батареи: 6-8 месяцев
5. Совместимая модель: совместима с более чем 90% зарубежных телефонов Android с Google Suite (недоступна в материковом Китае, Северной Корее, на Кубе и в Иране), загрузите и установите приложение "Найти мое устройство" через Google Store.</t>
  </si>
  <si>
    <t xml:space="preserve">http://gofile.me/649X4/4hK2Fr5jU</t>
  </si>
  <si>
    <t xml:space="preserve">BC104 смарт устройство для защиты от потери</t>
  </si>
  <si>
    <t xml:space="preserve">6941991124822</t>
  </si>
  <si>
    <t xml:space="preserve">12*10*2</t>
  </si>
  <si>
    <t xml:space="preserve">1. Поддержка Apple Find My network
2. Материал: ABS
3. Размер: 43 * 32 * 8mm; Вес: 7g
4. Battery: 3V/230mAh/CR2032 button battery; Время работы: 9-12 мес
5. Совместимость: iOS 14.5 и выше на iPhone SE, iPhone 6s и позже, iPod touch (7th) iPadOS 14.5 и выше на iPad Pro, iPad (5th и позже), iPad Air 2 и позже, iPad mini 4 и позже</t>
  </si>
  <si>
    <t xml:space="preserve">http://gofile.me/649X4/7xCjQO86t</t>
  </si>
  <si>
    <t xml:space="preserve">BC66 автомобильный BT FM передатчик</t>
  </si>
  <si>
    <t xml:space="preserve">6941991129711</t>
  </si>
  <si>
    <t xml:space="preserve">15.1*7*5</t>
  </si>
  <si>
    <t xml:space="preserve">1. Bluetooth 6.0; чип: AB5605.
2. Выход:USB1 (музыкальный интерфейс): 5V/0.5A.USB-C1 / C2: 5V/3A.USB-A: 5V/3A.USB-C1 + USB-C2 + USB-A: 5V/3A.
3. Размер: 40 × 43 × 75 мм; вес: 26 г.
4. Поддержка воспроизведения по Bluetooth и с USB-накопителя (до 32 ГБ).</t>
  </si>
  <si>
    <t xml:space="preserve">http://gofile.me/649X4/NRhLkDJCH</t>
  </si>
  <si>
    <t xml:space="preserve">BC64 Contento автомобильный BT ресивет со встроенным кабелем</t>
  </si>
  <si>
    <t xml:space="preserve">6941991126567</t>
  </si>
  <si>
    <t xml:space="preserve">1. Bluetooth 5.4; Чип: JL AC6966
2. Выход: USB-C: 5V/3A; USB-A: 5V/3A; USB-A+USB-C=15 Вт.
3. Интерфейс: 3,5 мм
4. Материал: ABS; Размер основного корпуса: 27 * 27 * 60 мм; Вес: 21 г; длина растяжения кабеля: 1 метр</t>
  </si>
  <si>
    <t xml:space="preserve">http://gofile.me/649X4/Nnh5I4BKy</t>
  </si>
  <si>
    <t xml:space="preserve">BC63 Selecto автомобильный BT FM трансмиттер</t>
  </si>
  <si>
    <t xml:space="preserve">6941991126185</t>
  </si>
  <si>
    <t xml:space="preserve">16.3*9.1*4.4</t>
  </si>
  <si>
    <t xml:space="preserve">1. Bluetooth 5.4; чип: Jerry JL
2. Выход: USB выход для музыки: 5V/0.5A; USB-A: 5V/3A
3. Размер: 40*43*75mm; Вес: 26g
4. Поддержка Bluetooth и USB накопителя (≤32G)</t>
  </si>
  <si>
    <t xml:space="preserve">http://gofile.me/649X4/28glJGEGf</t>
  </si>
  <si>
    <t xml:space="preserve">BC62 Walker AUX BT ресивер/трансмиттер</t>
  </si>
  <si>
    <t xml:space="preserve">6941991124143</t>
  </si>
  <si>
    <t xml:space="preserve">14.2*8.7*1.9</t>
  </si>
  <si>
    <t xml:space="preserve">1. Bluetooth 5.4.Чип: JL AC6952
2. Интерфейс: 3.5mm
3. Емкость батареи: 140mAh.Время зарядки: 2ч
4. Время работы: 7ч в режиме RX и 4ч в режиме TX.В режиме ожидания: 200ч
5. Размер: 21 * 120 * 13mm.вес: 12.5g</t>
  </si>
  <si>
    <t xml:space="preserve">http://gofile.me/649X4/GnLxX4uvW</t>
  </si>
  <si>
    <t xml:space="preserve">BC61 Ocean 45W(1A1C) автомобильный BT FM трансмиттер</t>
  </si>
  <si>
    <t xml:space="preserve">6941991125126</t>
  </si>
  <si>
    <t xml:space="preserve">16*9.1*5</t>
  </si>
  <si>
    <r>
      <rPr>
        <sz val="9"/>
        <color theme="1" tint="0.2499"/>
        <rFont val="微软雅黑"/>
        <family val="0"/>
        <charset val="134"/>
      </rPr>
      <t xml:space="preserve">1. Bluetooth 5.4, чип:JL
2. Выход: 
USB порт для музыки: 5V/0.5A, 
USB-A</t>
    </r>
    <r>
      <rPr>
        <sz val="9"/>
        <color theme="1" tint="0.2499"/>
        <rFont val="Noto Sans"/>
        <family val="2"/>
      </rPr>
      <t xml:space="preserve">：</t>
    </r>
    <r>
      <rPr>
        <sz val="9"/>
        <color theme="1" tint="0.2499"/>
        <rFont val="微软雅黑"/>
        <family val="0"/>
        <charset val="134"/>
      </rPr>
      <t xml:space="preserve">5V/3A, 
USB-C</t>
    </r>
    <r>
      <rPr>
        <sz val="9"/>
        <color theme="1" tint="0.2499"/>
        <rFont val="Noto Sans"/>
        <family val="2"/>
      </rPr>
      <t xml:space="preserve">：</t>
    </r>
    <r>
      <rPr>
        <sz val="9"/>
        <color theme="1" tint="0.2499"/>
        <rFont val="微软雅黑"/>
        <family val="0"/>
        <charset val="134"/>
      </rPr>
      <t xml:space="preserve">30W</t>
    </r>
    <r>
      <rPr>
        <sz val="9"/>
        <color theme="1" tint="0.2499"/>
        <rFont val="Noto Sans"/>
        <family val="2"/>
      </rPr>
      <t xml:space="preserve">（</t>
    </r>
    <r>
      <rPr>
        <sz val="9"/>
        <color theme="1" tint="0.2499"/>
        <rFont val="微软雅黑"/>
        <family val="0"/>
        <charset val="134"/>
      </rPr>
      <t xml:space="preserve">PD/QC/FCP/AFC), 
USB-A+USB-C=45W
3. Размер: 52 * 46 * 81mm, вес: 41g
4. Поддержка проигрывания по Bluetooth и USB (≤ 32GB)</t>
    </r>
  </si>
  <si>
    <t xml:space="preserve">https://gofile.me/649X4/xNDqPW2HJ</t>
  </si>
  <si>
    <t xml:space="preserve">BC60 Hero 35W(1A1C) автомобильный BT FM передатчик</t>
  </si>
  <si>
    <t xml:space="preserve">6941991121388</t>
  </si>
  <si>
    <t xml:space="preserve">16.1*9*4.8</t>
  </si>
  <si>
    <t xml:space="preserve">1. Bluetooth 5.4; Чип: JL 
2. Выход: USB-A 1: 5 В / 0,5 А (музыкальный интерфейс); USB-A 2: 5 В / 3 А; USB-C: 20 Вт (PD/ QC / FCP/AFC); USB-A 2+ USB-C= 35 Вт
3. Материал: ABS; Размер: 46 * 45 * 73 мм; Вес: 34 г
4. Поддержка воспроизведения по Bluetooth и USB (≤ 32 ГБ)</t>
  </si>
  <si>
    <t xml:space="preserve">http://gofile.me/649X4/CNYDf2mwP</t>
  </si>
  <si>
    <t xml:space="preserve">http://gofile.me/649X4/njtFHloCB</t>
  </si>
  <si>
    <t xml:space="preserve">BC59 Heroic автомобильный BT FM трансмиттер</t>
  </si>
  <si>
    <t xml:space="preserve">6941991117312</t>
  </si>
  <si>
    <t xml:space="preserve">16*9*4.9</t>
  </si>
  <si>
    <r>
      <rPr>
        <sz val="9"/>
        <color theme="1" tint="0.2499"/>
        <rFont val="微软雅黑"/>
        <family val="0"/>
        <charset val="134"/>
      </rPr>
      <t xml:space="preserve">1, Bluetooth 5.4, чип:JL
2. Выход: USB-A выход для музыки: 5V/0.5A;
USB-A: 5V/3A. Type-C: 5V/3A. 
Общий выход: 5V/3A
3. Материал: ABS</t>
    </r>
    <r>
      <rPr>
        <sz val="9"/>
        <color theme="1" tint="0.2499"/>
        <rFont val="Noto Sans"/>
        <family val="2"/>
      </rPr>
      <t xml:space="preserve">，</t>
    </r>
    <r>
      <rPr>
        <sz val="9"/>
        <color theme="1" tint="0.2499"/>
        <rFont val="微软雅黑"/>
        <family val="0"/>
        <charset val="134"/>
      </rPr>
      <t xml:space="preserve">Размер: 80*45*50mm; вес: 32g
4. Поддержка проигрывания по Bluetooth, USB накопитель (&lt;32G)</t>
    </r>
  </si>
  <si>
    <t xml:space="preserve">http://gofile.me/649X4/6ATHYBKsT</t>
  </si>
  <si>
    <t xml:space="preserve">BC56 Peaceful автомобильный AUX BT ресивер с кабелем</t>
  </si>
  <si>
    <t xml:space="preserve">6941991113031</t>
  </si>
  <si>
    <t xml:space="preserve">1. Bluetooth 5.0, чип: JL AC6956
2. Интерфейс: 3.5mm
3. Общая длина: 1m, Вес: 11g
4.Материал: алюминиевый сплав+TPE</t>
  </si>
  <si>
    <t xml:space="preserve">http://gofile.me/649X4/vLKwtZXMH</t>
  </si>
  <si>
    <t xml:space="preserve">BC55 Suave автомобильный AUX BT ресивер</t>
  </si>
  <si>
    <t xml:space="preserve">6941991112225</t>
  </si>
  <si>
    <t xml:space="preserve">18.8*9*2.5</t>
  </si>
  <si>
    <t xml:space="preserve">1. Bluetooth 5.3; Чип: JL AC6965D
2. 3.5 мм выход
3. Емкость батареи: 150mAh; Время зарядки: 2 часа
4. Время работы: 8 часов; В режиме ожидания: 200 часов
5. Материал: алюминиевый сплав,Размер: 39.5*46*13мм; Вес: 16г.</t>
  </si>
  <si>
    <t xml:space="preserve">http://gofile.me/649X4/sCSuGEylU</t>
  </si>
  <si>
    <t xml:space="preserve">BC53 Highway PD20W+QC3.0 автомобильный BT FM трансмиттер</t>
  </si>
  <si>
    <t xml:space="preserve">6941991108457</t>
  </si>
  <si>
    <t xml:space="preserve">18.3*9*4.9</t>
  </si>
  <si>
    <r>
      <rPr>
        <sz val="9"/>
        <color theme="1" tint="0.2499"/>
        <rFont val="微软雅黑"/>
        <family val="0"/>
        <charset val="134"/>
      </rPr>
      <t xml:space="preserve">1. Bluetooth 5.0. чип: JL Jieli
2. Выход: USB-A 1: 5V/0.5A (музыка). 
USB-A 2: 18W (QC/FCP/AFC). 
Type-C: 20W (PD/QC/FCP/AFC. 
USB-A 2+Type-C=38W.
3. Материал: ABS</t>
    </r>
    <r>
      <rPr>
        <sz val="9"/>
        <color theme="1" tint="0.2499"/>
        <rFont val="Noto Sans"/>
        <family val="2"/>
      </rPr>
      <t xml:space="preserve">，</t>
    </r>
    <r>
      <rPr>
        <sz val="9"/>
        <color theme="1" tint="0.2499"/>
        <rFont val="微软雅黑"/>
        <family val="0"/>
        <charset val="134"/>
      </rPr>
      <t xml:space="preserve">Размер: 79*50*44мм. Вес: 32г..
4. Поддержка Bluetooth, USB накопитель (&lt; 32г.).</t>
    </r>
  </si>
  <si>
    <t xml:space="preserve">http://gofile.me/649X4/lvo8xMhDR</t>
  </si>
  <si>
    <t xml:space="preserve">BC51 Clear way AUX BT аудио ресивер/трансмиттер</t>
  </si>
  <si>
    <t xml:space="preserve">6941991117305</t>
  </si>
  <si>
    <t xml:space="preserve">18.7*9.2*2.5</t>
  </si>
  <si>
    <r>
      <rPr>
        <sz val="9"/>
        <color theme="1" tint="0.2499"/>
        <rFont val="微软雅黑"/>
        <family val="0"/>
        <charset val="134"/>
      </rPr>
      <t xml:space="preserve">1, Bluetooth 5.4, чип: JL
2. Интерфейс: 3.5mm
3. Емкость батареи: 140mAh; Время зарядки: 2ч
4. Время работы: 7 часов в режиме RX (80% громкость),  5 часов в режиме TX
5. Материал: ABS</t>
    </r>
    <r>
      <rPr>
        <sz val="9"/>
        <color theme="1" tint="0.2499"/>
        <rFont val="Noto Sans"/>
        <family val="2"/>
      </rPr>
      <t xml:space="preserve">，</t>
    </r>
    <r>
      <rPr>
        <sz val="9"/>
        <color theme="1" tint="0.2499"/>
        <rFont val="微软雅黑"/>
        <family val="0"/>
        <charset val="134"/>
      </rPr>
      <t xml:space="preserve">Размер: 96*21*12mm; вес: 12g</t>
    </r>
  </si>
  <si>
    <t xml:space="preserve">http://gofile.me/649X4/3kIxiY183</t>
  </si>
  <si>
    <t xml:space="preserve">BC50 Ascenso PD20W+QC3.0 автомобильный BT FM трансмиттер</t>
  </si>
  <si>
    <t xml:space="preserve">6941991115257</t>
  </si>
  <si>
    <t xml:space="preserve">16*9.1*4.9</t>
  </si>
  <si>
    <r>
      <rPr>
        <sz val="9"/>
        <color theme="1" tint="0.2499"/>
        <rFont val="微软雅黑"/>
        <family val="0"/>
        <charset val="134"/>
      </rPr>
      <t xml:space="preserve">1, Bluetooth 5.4, чип: JL
2. Выход: 
USB-A1: 5V/0.5A (муз);
USB-A 2: 18W (QC/FCP/AFC).
USB-C: 20W (PD/QC/FCP/AFC).
USB-A+USB-C=38W
3. Материал: ABS</t>
    </r>
    <r>
      <rPr>
        <sz val="9"/>
        <color theme="1" tint="0.2499"/>
        <rFont val="Noto Sans"/>
        <family val="2"/>
      </rPr>
      <t xml:space="preserve">，</t>
    </r>
    <r>
      <rPr>
        <sz val="9"/>
        <color theme="1" tint="0.2499"/>
        <rFont val="微软雅黑"/>
        <family val="0"/>
        <charset val="134"/>
      </rPr>
      <t xml:space="preserve">Размер: 79*46*52mm; Вес: 40g
4. Поддержка Bluetooth, USB накопитель (&lt;32G)</t>
    </r>
  </si>
  <si>
    <t xml:space="preserve">http://gofile.me/649X4/F9NPP880G</t>
  </si>
  <si>
    <t xml:space="preserve">BC48 Broad QC3.0 автомобильный BT FM трансмиттер</t>
  </si>
  <si>
    <t xml:space="preserve">6941991104039</t>
  </si>
  <si>
    <r>
      <rPr>
        <sz val="9"/>
        <color theme="1" tint="0.2499"/>
        <rFont val="微软雅黑"/>
        <family val="0"/>
        <charset val="134"/>
      </rPr>
      <t xml:space="preserve">1.  Bluetooth 5.0; Chip: JL
2. Выход: USB-A 1 порт для музыки: 5V/0.5A; USB-A 2:18W (QC/FCP/AFC); Type-C:5V/3A
USB-A 2+Type-C=5V/3A
3. Материал: ABS</t>
    </r>
    <r>
      <rPr>
        <sz val="9"/>
        <color theme="1" tint="0.2499"/>
        <rFont val="Noto Sans"/>
        <family val="2"/>
      </rPr>
      <t xml:space="preserve">，</t>
    </r>
    <r>
      <rPr>
        <sz val="9"/>
        <color theme="1" tint="0.2499"/>
        <rFont val="微软雅黑"/>
        <family val="0"/>
        <charset val="134"/>
      </rPr>
      <t xml:space="preserve">Размер: 82*58*47мм.; Вес: 32г.
4. Поддержка Bluetooth, USB (&lt; 32г.).</t>
    </r>
  </si>
  <si>
    <t xml:space="preserve">http://gofile.me/649X4/bZwRCaUfW</t>
  </si>
  <si>
    <t xml:space="preserve">BC43 Flash QC3.0 car BT FM transmitter</t>
  </si>
  <si>
    <t xml:space="preserve">6974443387223</t>
  </si>
  <si>
    <t xml:space="preserve">16*9*4.5</t>
  </si>
  <si>
    <r>
      <rPr>
        <sz val="9"/>
        <color theme="1" tint="0.2499"/>
        <rFont val="微软雅黑"/>
        <family val="0"/>
        <charset val="134"/>
      </rPr>
      <t xml:space="preserve">1. Bluetooth 5.0; чип: JL6966.
2. Выход: USB-A 1: 18W (QC/FCP/AFC); USB для музыки: 5V/1A.
3. Материал: ABS</t>
    </r>
    <r>
      <rPr>
        <sz val="9"/>
        <color theme="1" tint="0.2499"/>
        <rFont val="Noto Sans"/>
        <family val="2"/>
      </rPr>
      <t xml:space="preserve">，</t>
    </r>
    <r>
      <rPr>
        <sz val="9"/>
        <color theme="1" tint="0.2499"/>
        <rFont val="微软雅黑"/>
        <family val="0"/>
        <charset val="134"/>
      </rPr>
      <t xml:space="preserve">Размер: 68*40*41.5мм; вес: 26г.
4. Поддержка Bluetooth, USB, TF (USB/TF &lt;32г).</t>
    </r>
  </si>
  <si>
    <t xml:space="preserve">http://hoco.i234.me:8000/sharing/g0Ccgctin</t>
  </si>
  <si>
    <t xml:space="preserve">BC35 Wideway автомобильный AUX BT ресивер</t>
  </si>
  <si>
    <t xml:space="preserve">6974443381450</t>
  </si>
  <si>
    <t xml:space="preserve">18.2*9.1*2.5</t>
  </si>
  <si>
    <t xml:space="preserve">1. BlТ 5.0, микросхема: JL AC6956.
2. Материал: ABS.
3. Размер: 51 * 49 * 12 мм, вес: 13 г.
4. Аккумулятор: 150 мАч, заряжается около 2 часов.
5. Разговор / музыка: 10 часов.
6. Выход: 3,5 мм.
7. Совместимость с аудиооборудованием с входным интерфейсом 3,5 мм (автомобиль, динамик, наушники и т. д.).</t>
  </si>
  <si>
    <t xml:space="preserve">http://hoco.i234.me:8000/sharing/ug02ySvzP</t>
  </si>
  <si>
    <t xml:space="preserve">Офис и игры</t>
  </si>
  <si>
    <t xml:space="preserve">BG151 Cielo беспроводная мышь два режима</t>
  </si>
  <si>
    <t xml:space="preserve">6941991127687</t>
  </si>
  <si>
    <t xml:space="preserve">19.4*13.3*4.4</t>
  </si>
  <si>
    <t xml:space="preserve">1. Материал: ABS
2. Размер: 108.5 * 62.5 * 39mm; Вес: 55g
3. Plan: 100Mbps; чип: 1011-T
4. Метод подключения: 2.4G+BT5.0
5. DPI: 800-1200-1600 (CPI аналогично)
6. Кол-во кнопок: 4</t>
  </si>
  <si>
    <t xml:space="preserve">http://gofile.me/649X4/OeiHl4OmS</t>
  </si>
  <si>
    <t xml:space="preserve">6941991127694</t>
  </si>
  <si>
    <t xml:space="preserve">BG221 Shadow проводная клавиатура (English version)</t>
  </si>
  <si>
    <t xml:space="preserve">6941991131066</t>
  </si>
  <si>
    <t xml:space="preserve">45.5*14.3*3.5</t>
  </si>
  <si>
    <t xml:space="preserve">47.4*40.5*45</t>
  </si>
  <si>
    <t xml:space="preserve">1. Основной материал: ABS.
2. Размеры: 440*126*31 мм. Вес: 420 г.
3. Решение: Hengchangtong. Микросхема: HCT.
4. Способ подключения: проводной USB (длина кабеля 1,45 м).
5. Количество клавиш: 104.
6. Доступна английская/кириллическая раскладка.</t>
  </si>
  <si>
    <t xml:space="preserve">http://gofile.me/649X4/McIzvwVJO</t>
  </si>
  <si>
    <t xml:space="preserve">BG221 Shadow проводная клавиатура (кириллица)</t>
  </si>
  <si>
    <t xml:space="preserve">6941991131073</t>
  </si>
  <si>
    <t xml:space="preserve">http://gofile.me/649X4/bdQQL6wdU</t>
  </si>
  <si>
    <t xml:space="preserve">BG101 Active емкостное перо с дисплеем для планшета</t>
  </si>
  <si>
    <t xml:space="preserve">6941991115974</t>
  </si>
  <si>
    <t xml:space="preserve">21.8*7.1*1.9</t>
  </si>
  <si>
    <t xml:space="preserve">1. Материал: алюминиевый сплав + электронные компоненты
2. Обработка: лак горячей сушки
3. Наконечник: POM, заменяемый.
4. Емкость батареи: 130mAm; Время зарядки: 40 мин
5. Время работы: 6 часов
6. Отображение уровня заряда, защита от неправильного касания на весь экран, чувствительность к наклонному давлению, боковая адсорбция, магнитная</t>
  </si>
  <si>
    <t xml:space="preserve">http://gofile.me/649X4/wBLxSb5Xr</t>
  </si>
  <si>
    <t xml:space="preserve">BG100 Universal емкостное перо с дисплеем</t>
  </si>
  <si>
    <t xml:space="preserve">6941991115950</t>
  </si>
  <si>
    <t xml:space="preserve">1. Материал: алюминиевый сплав + электронные компоненты
2. Обработка: лак горячей сушки
3. Наконечник: POM, заменяемый.
4. Емкость батареи: 130mAm; Время зарядки: 40 мин
5. Время работы: 6 часов
6. Отображение уровня заряда, защита от неправильного касания на весь экран, чувствительность к наклонному давлению, боковая адсорбция, магнитная
7. Совместимость с 95% мобильных телефонов/планшетов.</t>
  </si>
  <si>
    <t xml:space="preserve">http://gofile.me/649X4/oVBEbHt5x</t>
  </si>
  <si>
    <t xml:space="preserve">BG19 Moda проводная мышь</t>
  </si>
  <si>
    <t xml:space="preserve">6941991130236</t>
  </si>
  <si>
    <t xml:space="preserve">15.3*8.1*4</t>
  </si>
  <si>
    <t xml:space="preserve">1. Материал: ABS.
2. Размеры: 110×58×37 мм. Вес: 62 г. Длина кабеля: 1,4 м.
3. Платформа: Sigma. Чип: 8733B.
4. Интерфейс: USB.
5. DPI: 1200 (соответствует CPI).
6. Количество кнопок: 3.</t>
  </si>
  <si>
    <t xml:space="preserve">http://gofile.me/649X4/zmCVJ6NPi</t>
  </si>
  <si>
    <t xml:space="preserve">6941991130243</t>
  </si>
  <si>
    <t xml:space="preserve">BG18 Valeroso игровая проводная мышь с подсветкой</t>
  </si>
  <si>
    <t xml:space="preserve">6941991127816</t>
  </si>
  <si>
    <t xml:space="preserve">15.7*8.6*4.3</t>
  </si>
  <si>
    <t xml:space="preserve">1. Материал: ABS
2. Размер: 123 * 65 * 39.5mm; Вес: 105g
3. Интерфейс: USB
4. схема: Ernst; чип: 603
5. DPI: 1200/1800/2400/3600 (аналогично CPI)
6. Кол-во кнопок: 7
7. LED: цветная подсветка</t>
  </si>
  <si>
    <t xml:space="preserve">http://gofile.me/649X4/9FS7Krvyz</t>
  </si>
  <si>
    <t xml:space="preserve">6941991127823</t>
  </si>
  <si>
    <t xml:space="preserve">серый и белый</t>
  </si>
  <si>
    <t xml:space="preserve">BG17 Morning проводная мышь</t>
  </si>
  <si>
    <t xml:space="preserve">6941991119125</t>
  </si>
  <si>
    <t xml:space="preserve">19.2*11*4.1</t>
  </si>
  <si>
    <t xml:space="preserve">1, Материал: ABS
2. Размер: 111*63*38mm; вес: 76g
3. Интерфейс: USB
4. 3 уровня DPI: 800-1200-1600 (как и CPI)
5. Долговечность: 3,000,000 кликов
6. Кнопки: 4</t>
  </si>
  <si>
    <t xml:space="preserve">http://gofile.me/649X4/OGhVzVN7E</t>
  </si>
  <si>
    <t xml:space="preserve">BG15 Travel магнитное охлаждение для телефона</t>
  </si>
  <si>
    <t xml:space="preserve">6941991117329</t>
  </si>
  <si>
    <t xml:space="preserve">18.2*10*2.9</t>
  </si>
  <si>
    <t xml:space="preserve">1. Материал: ABS+алюминиевый сплав
2. Размер: 60*60*25.5mm; вес: 52g
3. Крепление: магнитное (в основном для iPhone 12-15).
4. Режим отвода тепла: полупроводниковое охлаждение и отвод тепла
5. Вентилятор: бесшумный гидравлический вентилятор; Двигатель: бесщеточный двигатель
6. Скорость: 5000±10%RPM</t>
  </si>
  <si>
    <t xml:space="preserve">http://gofile.me/649X4/m2wqXK11h</t>
  </si>
  <si>
    <t xml:space="preserve">BG14 Planet 2.4G беспроводная мышь</t>
  </si>
  <si>
    <t xml:space="preserve">6941991113376</t>
  </si>
  <si>
    <t xml:space="preserve">19.5*13.4*3.7</t>
  </si>
  <si>
    <t xml:space="preserve">1. Материал: ABS+силикон
2. Размер: 102*59*31.5mm; Вес: 38g
3. Scheme: Han Tianxia; чип: M68
4. Метод соединения: 2.4G Bluetooth
5. DPI: 1000 (CPI: 1000)
6. Срок службы: 3млн раз
7. Кол-во кнопок: 3</t>
  </si>
  <si>
    <t xml:space="preserve">http://gofile.me/649X4/6w9RQcSJP</t>
  </si>
  <si>
    <t xml:space="preserve">6941991113383</t>
  </si>
  <si>
    <t xml:space="preserve">BG13 Winner 2.4G беспроводная мышь</t>
  </si>
  <si>
    <t xml:space="preserve">6941991109997</t>
  </si>
  <si>
    <t xml:space="preserve">19.5*13.4*3.5</t>
  </si>
  <si>
    <t xml:space="preserve">1. Материал: ABS+силикон
2. Размер: 108*60*35mm; вес: 55g
3. Схема: Han Tianxia; чип: MX8650
4. Метод соединения: 2.4G Bluetooth.
5. DPI: 800-1200-1600 (CPI: 800-1200-1600)
6. Срок службы: 3,000,000 раз.
7. Кнопки: 4.</t>
  </si>
  <si>
    <t xml:space="preserve">http://gofile.me/649X4/aHSMgVp2T</t>
  </si>
  <si>
    <t xml:space="preserve">BG12 Illustrious игровой коврик для мыши(200*240mm)</t>
  </si>
  <si>
    <t xml:space="preserve">6941991109218</t>
  </si>
  <si>
    <t xml:space="preserve">симфония</t>
  </si>
  <si>
    <t xml:space="preserve">24*19.9*0.2</t>
  </si>
  <si>
    <t xml:space="preserve">42*26*31</t>
  </si>
  <si>
    <t xml:space="preserve">1. Материал: резина + ткань.
2, Процесс: шитье + тепловая печать.
3, Размер: 200*240*2mm; Вес: 82g</t>
  </si>
  <si>
    <t xml:space="preserve">http://gofile.me/649X4/qCnKRev0f</t>
  </si>
  <si>
    <t xml:space="preserve">BG12 Illustrious игровой коврик для мыши(800*300mm)</t>
  </si>
  <si>
    <t xml:space="preserve">6941991109225</t>
  </si>
  <si>
    <t xml:space="preserve">30.2*7.56.5</t>
  </si>
  <si>
    <t xml:space="preserve">42*32*32</t>
  </si>
  <si>
    <t xml:space="preserve">1. Материал: резина + ткань.
2, Процесс: шитье + тепловая печать.
3, Размер: 800*300*2mm; Вес: 400g</t>
  </si>
  <si>
    <t xml:space="preserve">BG10 Soaring игровая проводная мышь</t>
  </si>
  <si>
    <t xml:space="preserve">6941991102745</t>
  </si>
  <si>
    <t xml:space="preserve">19.5*13.5*6.7</t>
  </si>
  <si>
    <t xml:space="preserve">1, Материал: ABS+PVC
2. Размер: 110*62*40мм; Длина кабеля: 1.5m; вес: 77г.
3, scheme: Sigma; чип: MX8733B
4, scheme: Sigma
5, Тип подключения: USB провод.
6, DPI: 1000 (CPI: 1000)
7, Кнопки: 3; Срок службы: 3 млн раз.
8, Цветная подсветка.</t>
  </si>
  <si>
    <t xml:space="preserve">http://gofile.me/649X4/Nd4wwCFyp</t>
  </si>
  <si>
    <t xml:space="preserve">BG8 Flying Eagle коврик для мыши (200*240мм)</t>
  </si>
  <si>
    <t xml:space="preserve">6941991102974</t>
  </si>
  <si>
    <t xml:space="preserve">23.8*20.3*0.3</t>
  </si>
  <si>
    <t xml:space="preserve">1. Материал: резина + ткань.
2, Процесс: шов + теплопередающая печать.
3, Размер: 200*240*2мм; Вес: 65г
4, Для офиса, конференций, игр, и др.</t>
  </si>
  <si>
    <t xml:space="preserve">http://gofile.me/649X4/4ZROHHRwH</t>
  </si>
  <si>
    <t xml:space="preserve">BG7 Platinum 2.4G беспроводная мышь</t>
  </si>
  <si>
    <t xml:space="preserve">6974443389982</t>
  </si>
  <si>
    <t xml:space="preserve">10.4*11*4</t>
  </si>
  <si>
    <t xml:space="preserve">1. Материал: ABS+силикон.
2. Размер: 108*61*39мм; вес: 60г.
3. Схема: Hantianxia; Чип: MX8650
4. Подключение: 2.4г. беспроводное.
5, DPI: 1000-1200-1600.
6, Срок службы: 300W кликов, 200,000 вращений.
7. Кнопки: 4D.
8. Совместимость: большинство ПК и ноутбуков.</t>
  </si>
  <si>
    <t xml:space="preserve">http://gofile.me/649X4/TKbOBrBHs</t>
  </si>
  <si>
    <t xml:space="preserve">BG5 2.4G беспроводная мышь</t>
  </si>
  <si>
    <t xml:space="preserve">6974443382990</t>
  </si>
  <si>
    <t xml:space="preserve">19*11*4</t>
  </si>
  <si>
    <t xml:space="preserve">1. Материал: ABS.
2. Размер: 108 * 64 * 35,5 мм; Вес: 55 г.
3. Схема: Han Tianxia; Чип: MX8650.
4. Режим связи: беспроводная связь 2.4G.
5. DPI: третья передача 800/1200/1600
6. Тип кнопки: кнопка 4D.
7. Срок службы: 3млн нажатий, 200 000 прокруток.
8. Совместимость с большинством настольных и портативных компьютеров.</t>
  </si>
  <si>
    <t xml:space="preserve">http://hoco.i234.me:8000/sharing/gHcI8PLIT</t>
  </si>
  <si>
    <t xml:space="preserve">BG4 Business проводная мышь</t>
  </si>
  <si>
    <t xml:space="preserve">6974443382976</t>
  </si>
  <si>
    <t xml:space="preserve">18.5*11*4</t>
  </si>
  <si>
    <t xml:space="preserve">1. Материал: ABS.
2. Размер: 110 * 65 * 39 мм, вес: 77 г.
3. Чип: Ka3 B.
4. Метод связи: проводной USB.
5. Длина провода: 1,5 м.
6. DPI: по умолчанию 1000.
7. Срок службы: 3 миллиона нажатий.
8. Тип кнопки: 3D кнопка.</t>
  </si>
  <si>
    <t xml:space="preserve">http://hoco.i234.me:8000/sharing/r3YRDjhId</t>
  </si>
  <si>
    <t xml:space="preserve">BG3 Warrior геймпад с охлаждением</t>
  </si>
  <si>
    <t xml:space="preserve">6931474749406</t>
  </si>
  <si>
    <t xml:space="preserve">17*13.1*5.9</t>
  </si>
  <si>
    <t xml:space="preserve">56.5*34.5*54.5</t>
  </si>
  <si>
    <t xml:space="preserve">1. Материал: ABS + цинковый сплав + силикон.
2. Процесс: текстурирование + гальваника.
3. Размер: 140 * 118 * 55 мм, вес: 93 г.
4. Подходит для мобильных телефонов 113-160 мм.
5. Бесщеточный двигатель, стабильное рассеивание тепла.
6. Для мобильных игр - шутеров с настраиваемыми кнопками (Peace Elite, King of Glory, Call of Duty и др.).</t>
  </si>
  <si>
    <t xml:space="preserve">http://hoco.i234.me:8000/sharing/OVEuqRaPJ</t>
  </si>
  <si>
    <t xml:space="preserve">BG2 Spartan кнопка для мобильных игр</t>
  </si>
  <si>
    <t xml:space="preserve">6931474749390</t>
  </si>
  <si>
    <t xml:space="preserve">черный/серебро</t>
  </si>
  <si>
    <t xml:space="preserve">1. Материал: ABS + силикон
2. Процесс: текстурирование + гальваника
3. Размер: 20 * 20 * 29 мм; Вес: 11 г / пара
4. Подходит для мобильных телефонов толщиной 8,8 мм.
5. Механические кнопки, без задержки, мгновенный отклик
6. Подходит для мобильных игр-шутеров с настраиваемыми кнопками (Peace Elite, King of Glory, Call of Duty и т. д.).</t>
  </si>
  <si>
    <t xml:space="preserve">http://hoco.i234.me:8000/sharing/9qTwE8O0z</t>
  </si>
  <si>
    <t xml:space="preserve">BG1 Superconducting игровые напальчники для мобильных игр из сверхпроводящего волокна (рисунок карбонового волокна)</t>
  </si>
  <si>
    <t xml:space="preserve">6931474750358</t>
  </si>
  <si>
    <t xml:space="preserve">11.8*9.8*0.1</t>
  </si>
  <si>
    <t xml:space="preserve">1. Материал: нейлон + проводящее волокно.
2. Процесс: 15-игольное плотное плетение, горячее шитье.
3. Размер: 45 * 23 * 2 мм; толщина 0,4 мм; вес: 0,8 г / пара.
4. Подходит для устройств с емкостным экраном (обычные смартфоны, планшеты, компьютеры с сенсорным экраном).
5. Тип мобильной игры: Peaceful Elite, King of Glory, Call of Duty и т. д.
6. Предназначено для игр, легкий и дышащий материал, удобный в носке и не тесный, анти-пот, плавная работа.</t>
  </si>
  <si>
    <t xml:space="preserve">http://hoco.i234.me:8000/sharing/dP9kDLeSQ</t>
  </si>
  <si>
    <t xml:space="preserve">http://gofile.me/649X4/lgAAbTDsQ</t>
  </si>
  <si>
    <t xml:space="preserve">Умные часы</t>
  </si>
  <si>
    <t xml:space="preserve">BD19 смарт часы (поддержка звонков)</t>
  </si>
  <si>
    <t xml:space="preserve">6941991130205</t>
  </si>
  <si>
    <t xml:space="preserve">23.8*7*3</t>
  </si>
  <si>
    <t xml:space="preserve">37*32.5*24</t>
  </si>
  <si>
    <t xml:space="preserve">1. Дисплей: 2.05-дюймовый TFT. Разрешение: IPS 240*284. Неводонепроницаемый.  
2. Процессор: Bluetrum AB5610. Память: ROM 16MB.  
3. Bluetooth 5.3. Поддерживает звонки. Название приложения: XOFIT.  
4. Емкость аккумулятора: 200mAh. Время работы: 2-5 дней.  
5. Поддерживает уведомления о сообщениях, информацию о погоде, измерение пульса, запись данных о тренировках и другие функции.  
6. 20 языковых пакетов: английский, русский, арабский, вьетнамский, датский, тайский, польский, персидский, испанский, малайский, греческий, французский, итальянский, немецкий, португальский, румынский, иврит, бирманский, украинский и турецкий.</t>
  </si>
  <si>
    <t xml:space="preserve">http://gofile.me/649X4/OWVQfH4yH</t>
  </si>
  <si>
    <t xml:space="preserve">6941991130212</t>
  </si>
  <si>
    <t xml:space="preserve">BD18 смарт часы (cподдержка звонков)</t>
  </si>
  <si>
    <t xml:space="preserve">6941991130182</t>
  </si>
  <si>
    <t xml:space="preserve">24.3*7*3</t>
  </si>
  <si>
    <t xml:space="preserve">1. Дисплей: 2.05-дюймовый TFT; Разрешение: IPS 240*284; Неводонепроницаемый.  
2. Процессор: AB5610; Память: ROM 16МБ.  
3. Bluetooth 5.3; Поддержка звонков; Название приложения: XOFIT.  
4. Емкость аккумулятора: 200мАч; Время работы: 2-5 дней.  
5. Поддерживает уведомления о сообщениях, информацию о погоде, запись данных тренировок и другие функции.  
6. Поддерживается 20 языков: английский, русский, арабский, вьетнамский, датский, тайский, польский, персидский, испанский, малайский, греческий, французский, итальянский, немецкий, португальский, румынский, иврит, бирманский, украинский, турецкий.</t>
  </si>
  <si>
    <t xml:space="preserve">http://gofile.me/649X4/zL0k4eQAV</t>
  </si>
  <si>
    <t xml:space="preserve">6941991130199</t>
  </si>
  <si>
    <t xml:space="preserve">титановое золото</t>
  </si>
  <si>
    <t xml:space="preserve">BD17 смарт часы (поддержка звонков)</t>
  </si>
  <si>
    <t xml:space="preserve">6941991127793</t>
  </si>
  <si>
    <t xml:space="preserve">золото</t>
  </si>
  <si>
    <t xml:space="preserve">24.3*7.1*3</t>
  </si>
  <si>
    <t xml:space="preserve">37.5*32.5*24</t>
  </si>
  <si>
    <t xml:space="preserve">1. Экран: 1,27 дюйма TFT; Разрешение: IPS 240 * 240; Водонепроницаемость: Life waterproof
2. Процессор: Zhongke AB5692C; память: 32 МБ ROM
3. Bluetooth 5.3; Поддержка вызова; Название приложения: Zhongwei / Fe Fit
4. Емкость аккумулятора: 200 мАч; Время автономной работы: 2-5 дней
5. Поддержка пуш-сообщений, измерения частоты сердечных сокращений, определения уровня кислорода в крови, GPS, женское здоровье и других функций.
6. 21 язык: Китайский, Английский, Русский, Арабский, Вьетнамский, Датский, Тайский, Польский, Персидский, Испанский, Малайский, Греческий, Французский, Итальянский, Немецкий, Португальский, Румынский, Иврит, Бирманский, Украинский, Турецкий</t>
  </si>
  <si>
    <t xml:space="preserve">http://gofile.me/649X4/XVzWIg250</t>
  </si>
  <si>
    <t xml:space="preserve">BD16 смарт браслет</t>
  </si>
  <si>
    <t xml:space="preserve">6941991126574</t>
  </si>
  <si>
    <t xml:space="preserve">24.2*7*3</t>
  </si>
  <si>
    <t xml:space="preserve">1. Экран дисплея: 1,47-дюймовый TFT; Разрешение: 172 * 320; Степень водонепроницаемости IP67
2. Процессор: Zhongke AB5692C; Объем памяти: 32 МБ ROM
3. Bluetooth 5.3; Поддержка звонков; Название приложения: Zhongwei/Fe Fit
4. Емкость батареи: 200 мАч; Время автономной работы: 3-5 дней
5. Поддержка push-сообщений, частоты сердечных сокращений, GPS-навигации по кислороду в крови, женского здоровья и других функций
6. Языковой пакет из 21 страны: Китайский, Английский, Русский, Арабский, Вьетнамский, Датский, Тайский, Польский, Персидский, Испанский, Малайский, Греческий, Французский, Итальянский, Немецкий, Португальский, Румынский, Иврит, Бирманский, Украинский, Турецкий</t>
  </si>
  <si>
    <t xml:space="preserve">http://gofile.me/649X4/bNJmiUuV8</t>
  </si>
  <si>
    <t xml:space="preserve">6941991126581</t>
  </si>
  <si>
    <t xml:space="preserve">BD15смарт часы (поддержка звонков)</t>
  </si>
  <si>
    <t xml:space="preserve">6941991125409</t>
  </si>
  <si>
    <t xml:space="preserve">24*7*3</t>
  </si>
  <si>
    <t xml:space="preserve">1. Экран: 1.83-дюйма TFT; разрешение: IPS240 * 280; IP67 водонепроницаемость
2. CPU: Zhongke AB5692C; память: 32MB ROM
3. Bluetooth 5.3; поддержка звонков
4. Емкость батареи: 200mAh; время работы: 3-5 дней
5. Support multiple functions such as message prompts, sleep monitoring, women's health, игры, etc
6. 22 языка: Китайский, Английский, Русский, Арабский, Вьетнамский, Датский, Тайский, Польский, Персидский, Испанский, Малайский, Греческий, Французский, Итальянский, Немецкий, Португальский, Румынский, Иврит, Бирманский, Украинский, Голландский, Турецкий</t>
  </si>
  <si>
    <t xml:space="preserve">http://gofile.me/649X4/jTMA7nOMC</t>
  </si>
  <si>
    <t xml:space="preserve">6941991125416</t>
  </si>
  <si>
    <t xml:space="preserve">BD14 Plus смарт часы (поддержка звонков)</t>
  </si>
  <si>
    <t xml:space="preserve">6941991126192</t>
  </si>
  <si>
    <t xml:space="preserve">14.2*7.1*2.9</t>
  </si>
  <si>
    <t xml:space="preserve">37.5*33*24.5</t>
  </si>
  <si>
    <t xml:space="preserve">1. Экран: 2.01 inch TFT; Разрешение: 240 * 296; IP54 водонепроницаемость
2. CPU:  JL7076; память: 32MB ROM
3. Bluetooth 5.3; поддержка звонков
4. Емкость батареи: 200mAh; Время работы от батареи: 3-5дней
5. Поддержка мониторинга сна, напоминания о звонке, напоминания о сообщении, игры и других функций
6. 21 язык: Chinese, English, Русский, Arabic, Vietnamese, Denmark, Thai, Polish, Persia, Spanish, Malay, Greek, French, Italy, German, Portuguese, Türkiye, Romania, Hebrew, Burmese, Ukrainian</t>
  </si>
  <si>
    <t xml:space="preserve">http://gofile.me/649X4/6QiGtNlAF</t>
  </si>
  <si>
    <t xml:space="preserve">зарядный кабель для смарт браслета</t>
  </si>
  <si>
    <t xml:space="preserve">BD18/BD19 зарядный кабель для смарт часов</t>
  </si>
  <si>
    <t xml:space="preserve">6941991130229</t>
  </si>
  <si>
    <t xml:space="preserve">1. Материал: PVC.  
2. Длина кабеля: 300±30 мм.  
3. Вес: 16 г.  
4. Зарядный кабель для часов BD18/19.  
5. Один зарядный кабель бесплатно при заказе 20 шт. BD18/BD19 в одной заявке.</t>
  </si>
  <si>
    <t xml:space="preserve">http://gofile.me/649X4/JCy6zbWYr</t>
  </si>
  <si>
    <t xml:space="preserve">BD16 зарядный кабель для смарт браслета</t>
  </si>
  <si>
    <t xml:space="preserve">6941991126604</t>
  </si>
  <si>
    <t xml:space="preserve">1. Материал: PVC
2. Длина: 600 ± 20mm
3. Вес: 16g
4. Специальный кабель для зарядки браслета BD16
5. При единовременном заказе 20 штук браслетов BD16 один кабель для зарядки будет включен в комплект поставки в качестве подарка</t>
  </si>
  <si>
    <t xml:space="preserve">http://gofile.me/649X4/a5oRJtd8F</t>
  </si>
  <si>
    <t xml:space="preserve">BD15 зарядный кабель для смарт браслета</t>
  </si>
  <si>
    <t xml:space="preserve">6941991126611</t>
  </si>
  <si>
    <t xml:space="preserve">1. Материал: PVC
2. Длина: 500 ± 50mm
3. Вес: 16g
4. Зарядный кабель для часов BD15
5. При единовременном заказе 20 штук часов BD15 вы получите в подарок кабель для зарядки</t>
  </si>
  <si>
    <t xml:space="preserve">http://gofile.me/649X4/TuAFFIjaK</t>
  </si>
  <si>
    <t xml:space="preserve">Аксессуары iPhone 18 Pro</t>
  </si>
  <si>
    <t xml:space="preserve">Чехлы для iPhone 18 Pro</t>
  </si>
  <si>
    <t xml:space="preserve">Ice Shield series магнитный чехол iP18 Pro/iP17 Pro(BI5)</t>
  </si>
  <si>
    <t xml:space="preserve">6941991125539</t>
  </si>
  <si>
    <t xml:space="preserve">прозрачный</t>
  </si>
  <si>
    <r>
      <rPr>
        <b val="true"/>
        <sz val="9"/>
        <color rgb="FFED752D"/>
        <rFont val="微软雅黑"/>
        <family val="0"/>
        <charset val="134"/>
      </rPr>
      <t xml:space="preserve">MOQ</t>
    </r>
    <r>
      <rPr>
        <b val="true"/>
        <sz val="9"/>
        <color rgb="FFED752D"/>
        <rFont val="Noto Sans"/>
        <family val="2"/>
      </rPr>
      <t xml:space="preserve">：</t>
    </r>
    <r>
      <rPr>
        <b val="true"/>
        <sz val="9"/>
        <color rgb="FFED752D"/>
        <rFont val="微软雅黑"/>
        <family val="0"/>
        <charset val="134"/>
      </rPr>
      <t xml:space="preserve">200pcs
</t>
    </r>
    <r>
      <rPr>
        <sz val="9"/>
        <color theme="1" tint="0.25"/>
        <rFont val="微软雅黑"/>
        <family val="0"/>
        <charset val="134"/>
      </rPr>
      <t xml:space="preserve">1. Материал: TPU+2.0mm PC пластина; Вес: 32g
2. Полностью прозрачная защита "все включено", реальные цвета
3. Подушки безопасности с 4 углов</t>
    </r>
  </si>
  <si>
    <t xml:space="preserve">http://gofile.me/649X4/4y2Ky8UyF</t>
  </si>
  <si>
    <t xml:space="preserve">Ice Shield series магнитный чехол iP18 Pro Max/iP17 Pro Max(BI5)</t>
  </si>
  <si>
    <t xml:space="preserve">6941991125546</t>
  </si>
  <si>
    <t xml:space="preserve">Ice series чехол для телефона iP18 Pro/iP17 Pro(BI4)</t>
  </si>
  <si>
    <t xml:space="preserve">6941991125492</t>
  </si>
  <si>
    <r>
      <rPr>
        <b val="true"/>
        <sz val="8"/>
        <color rgb="FFED752D"/>
        <rFont val="微软雅黑"/>
        <family val="0"/>
        <charset val="134"/>
      </rPr>
      <t xml:space="preserve">MOQ</t>
    </r>
    <r>
      <rPr>
        <b val="true"/>
        <sz val="8"/>
        <color rgb="FFED752D"/>
        <rFont val="Noto Sans"/>
        <family val="2"/>
      </rPr>
      <t xml:space="preserve">：</t>
    </r>
    <r>
      <rPr>
        <b val="true"/>
        <sz val="8"/>
        <color rgb="FFED752D"/>
        <rFont val="微软雅黑"/>
        <family val="0"/>
        <charset val="134"/>
      </rPr>
      <t xml:space="preserve">200pcs
</t>
    </r>
    <r>
      <rPr>
        <sz val="9"/>
        <color theme="1" tint="0.25"/>
        <rFont val="微软雅黑"/>
        <family val="0"/>
        <charset val="134"/>
      </rPr>
      <t xml:space="preserve">1. Материал: TPU (толщина 1.1mm); Вес: 21g
2. Полностью прозрачная защита "все включено", реальные цвета
3. Легкое и неощутимое</t>
    </r>
  </si>
  <si>
    <t xml:space="preserve">http://gofile.me/649X4/z2Uu6Wf2l</t>
  </si>
  <si>
    <t xml:space="preserve">Ice series чехол для телефона iP18 Pro Max/iP17 Pro Max(BI4)</t>
  </si>
  <si>
    <t xml:space="preserve">6941991125508</t>
  </si>
  <si>
    <r>
      <rPr>
        <b val="true"/>
        <sz val="9"/>
        <color rgb="FFED752D"/>
        <rFont val="微软雅黑"/>
        <family val="0"/>
        <charset val="134"/>
      </rPr>
      <t xml:space="preserve">MOQ</t>
    </r>
    <r>
      <rPr>
        <b val="true"/>
        <sz val="9"/>
        <color rgb="FFED752D"/>
        <rFont val="Noto Sans"/>
        <family val="2"/>
      </rPr>
      <t xml:space="preserve">：</t>
    </r>
    <r>
      <rPr>
        <b val="true"/>
        <sz val="9"/>
        <color rgb="FFED752D"/>
        <rFont val="微软雅黑"/>
        <family val="0"/>
        <charset val="134"/>
      </rPr>
      <t xml:space="preserve">200pcs
</t>
    </r>
    <r>
      <rPr>
        <sz val="9"/>
        <color theme="1" tint="0.25"/>
        <rFont val="微软雅黑"/>
        <family val="0"/>
        <charset val="134"/>
      </rPr>
      <t xml:space="preserve">1. Материал: TPU (толщина 1.1mm); Вес: 21g
2. Полностью прозрачная защита "все включено", реальные цвета
3. Легкое и неощутимое</t>
    </r>
  </si>
  <si>
    <t xml:space="preserve">Защитные стёкла для iPhone 18 Pro</t>
  </si>
  <si>
    <t xml:space="preserve">3D Защитная пленка для объектива с металлической рамкой iP18 Pro/18 Pro Max(BF14)</t>
  </si>
  <si>
    <t xml:space="preserve">6941991131585</t>
  </si>
  <si>
    <t xml:space="preserve">мистический чёрный</t>
  </si>
  <si>
    <t xml:space="preserve">16.2*8*2</t>
  </si>
  <si>
    <t xml:space="preserve">1. Материал: алюмосиликатное стекло 0.33 мм + алюминиевый сплав; вес: 6 г.
2. Обработка: AR+AF.
3. Гладкое, защита от отпечатков пальцев 
4. Стекло с защитой от разбивания, более устойчивое к давлению, идеально защищает объектив.
5. Высокая четкость и прозрачность, без потери качества изображения.
6. В комплекте встроенный рычажок для легкого снятия.</t>
  </si>
  <si>
    <t xml:space="preserve">http://gofile.me/649X4/eALkteUE7</t>
  </si>
  <si>
    <t xml:space="preserve">6941991131592</t>
  </si>
  <si>
    <t xml:space="preserve">серебристый</t>
  </si>
  <si>
    <t xml:space="preserve">6941991131608</t>
  </si>
  <si>
    <t xml:space="preserve">вишнево-красный</t>
  </si>
  <si>
    <t xml:space="preserve">6941991131615</t>
  </si>
  <si>
    <t xml:space="preserve">светло-синий</t>
  </si>
  <si>
    <t xml:space="preserve">3D всё-в-одном защита объектива набор iP18 Pro(10PCS)(BF13)</t>
  </si>
  <si>
    <t xml:space="preserve">6941991131561</t>
  </si>
  <si>
    <t xml:space="preserve">transparent</t>
  </si>
  <si>
    <t xml:space="preserve">18.6*10*2.5</t>
  </si>
  <si>
    <t xml:space="preserve">1. Материал: алюмосиликатное стекло 0.33 мм + акрил; вес: 8 г.
2. Гладкое, защита от отпечатков пальцев 
3. Оригинальная комплектация, все в одном пакете.
4. Высокая четкость и прозрачность, без потери качества изображения.
Упаковка: 5 и 10 штук.</t>
  </si>
  <si>
    <t xml:space="preserve">http://gofile.me/649X4/yjalJeTg0</t>
  </si>
  <si>
    <t xml:space="preserve">3D всё-в-одном защита объектива набор iP18 Pro Max(10PCS)(BF13)</t>
  </si>
  <si>
    <t xml:space="preserve">6941991131578</t>
  </si>
  <si>
    <t xml:space="preserve">Armor Shield series полноэкранное закаленное стекло с защитой от подглядывания  iP18 Pro(BF12)</t>
  </si>
  <si>
    <t xml:space="preserve">6941991131547</t>
  </si>
  <si>
    <t xml:space="preserve">21.5*11.6*1.7</t>
  </si>
  <si>
    <t xml:space="preserve">1. Материал: 0.4mm high aluminum+450 anti peeping AB adhesive
2120CC large arc edge
3. Optical principle of blinds, 28 degree privacy protection, safeguarding your privacy
4. Glass secondary strengthening, easy to deal with edge breakage</t>
  </si>
  <si>
    <t xml:space="preserve">http://gofile.me/649X4/4zcs4eupd</t>
  </si>
  <si>
    <t xml:space="preserve">Armor Shield series полноэкранное закаленное стекло с защитой от подглядывания  iP18 Pro Max(BF12)</t>
  </si>
  <si>
    <t xml:space="preserve">6941991131554</t>
  </si>
  <si>
    <t xml:space="preserve">Armor Shield series полноэкранное HD закаленное стекло iP18 Pro/17 Pro(BF11)</t>
  </si>
  <si>
    <t xml:space="preserve">6941991131424</t>
  </si>
  <si>
    <t xml:space="preserve">1. Материал: алюмосиликатное стекло 0.4 мм + высококачественный АБ-клей 380.
2. Большой изогнутый край 120CC.
3. Двойное укрепление стекла, легко справляется со сколами по краям.
4. Высокая четкость и прозрачность, передача натурального цвета металла.</t>
  </si>
  <si>
    <t xml:space="preserve">http://gofile.me/649X4/1EVlByxP6</t>
  </si>
  <si>
    <t xml:space="preserve">Armor Shield series полноэкранное HD закаленное стекло iP18 Pro Max/17 Pro Max(BF11)</t>
  </si>
  <si>
    <t xml:space="preserve">6941991131431</t>
  </si>
  <si>
    <t xml:space="preserve">Armor полноэкранное закаленное стекло с защитой от подглядывания   iP18 Pro(10PCS)(BF10)</t>
  </si>
  <si>
    <t xml:space="preserve">6941991131325</t>
  </si>
  <si>
    <t xml:space="preserve">17.4*8.8*2.5</t>
  </si>
  <si>
    <t xml:space="preserve">No innte carton packing</t>
  </si>
  <si>
    <t xml:space="preserve">No  box size</t>
  </si>
  <si>
    <t xml:space="preserve">58.2*51.6*24.8</t>
  </si>
  <si>
    <t xml:space="preserve">1. Материал: алюмосиликатное стекло 0.33 мм + АБ-клей с защитой от подглядывания 450.
2. Гальваническое покрытие от отпечатков пальцев, гладкое
3. Защита безопасности и конфиденциальности.
4. Полное покрытие экрана, комплексная защита.
5. Без спиртовых салфеток; 10 штук.</t>
  </si>
  <si>
    <t xml:space="preserve">http://gofile.me/649X4/FDFl5Erdt</t>
  </si>
  <si>
    <t xml:space="preserve">Armor полноэкранное закаленное стекло с защитой от подглядывания   iP18 Pro Max(10PCS)(BF10)</t>
  </si>
  <si>
    <t xml:space="preserve">6941991131332</t>
  </si>
  <si>
    <t xml:space="preserve">Armor полноэкранное HD закаленное стекло набор iP18 Pro/17 Pro(10PCS)(BF9)</t>
  </si>
  <si>
    <t xml:space="preserve">6941991131202</t>
  </si>
  <si>
    <t xml:space="preserve">17.5*8.9*2.5</t>
  </si>
  <si>
    <t xml:space="preserve">1. Материал: алюмосиликатное стекло 0.33 мм + высококачественный АБ-клей 380.
2. Гальваническое гладкое покрытие с защитой от отпечатков пальцев.
3. Высокопрозрачная защита полного экрана, передача реальных цветов устройства.
4. Гладкое прикосновение, постоянный тактильный комфорт.
5. Без спиртовых салфеток; 10 штук.</t>
  </si>
  <si>
    <t xml:space="preserve">http://gofile.me/649X4/9aI16IBOS</t>
  </si>
  <si>
    <t xml:space="preserve">Armor полноэкранное HD закаленное стекло набор iP18 Pro Max/17 Pro Max(10PCS)(BF9)</t>
  </si>
  <si>
    <t xml:space="preserve">6941991131219</t>
  </si>
  <si>
    <t xml:space="preserve">Diamond armor полноэкранное 5D закаленное стекло наборiP18 Pro/iP17 Pro  (10шт)(BF8)</t>
  </si>
  <si>
    <t xml:space="preserve">6941991125225</t>
  </si>
  <si>
    <t xml:space="preserve">38.8*30.5*30</t>
  </si>
  <si>
    <t xml:space="preserve">1. Материал: 0.4mm алюмосиликатное стекло+0.38 антистатический клей высокой четкости AB; Вес: 28g
2. Поверхность: защита от отпечатков
3. Высокая прозрачность
4всесторонняя защита на 360 градусов, амортизация подушек безопасности и снижение силы удара
5, 10шт в упаковке</t>
  </si>
  <si>
    <t xml:space="preserve">http://gofile.me/649X4/N2X44Z91j</t>
  </si>
  <si>
    <t xml:space="preserve">Diamond armor полноэкранное 5D закаленное стекло набор iP18 Pro Max/17 Pro Max (10шт)(BF8)</t>
  </si>
  <si>
    <t xml:space="preserve">6941991125232</t>
  </si>
  <si>
    <t xml:space="preserve">Diamond armor полноэкранное закаленное стекло с защитой от подглядывания   для iP18 Pro(10PCS)(BF7)</t>
  </si>
  <si>
    <t xml:space="preserve">6941991131103</t>
  </si>
  <si>
    <t xml:space="preserve">18.5*9.3*3.8</t>
  </si>
  <si>
    <t xml:space="preserve">1. Материал: алюмосиликатное стекло 0.33 мм + антистатический АБ-клей с защитой от подглядывания 0.45 мм; вес: 28 г.
2. Обработка поверхности: обычное гладкое покрытие с защитой от отпечатков и масел.
3. Защита безопасности и конфиденциальности.
4. Полное покрытие экрана, комплексная защита.
Упаковка: 5 и 10 штук.</t>
  </si>
  <si>
    <t xml:space="preserve">http://gofile.me/649X4/8ZCMmrIhO</t>
  </si>
  <si>
    <t xml:space="preserve">Diamond armor полноэкранное закаленное стекло с защитой от подглядывания   для iP18 Pro Max(10PCS)(BF7)</t>
  </si>
  <si>
    <t xml:space="preserve">6941991131110</t>
  </si>
  <si>
    <t xml:space="preserve">Diamond armorполноэкранное HD закаленное стекло набор iP18 Pro/iP17 Pro (10шт)(BF6)</t>
  </si>
  <si>
    <t xml:space="preserve">6941991125256</t>
  </si>
  <si>
    <t xml:space="preserve">1. Материал: 0.33mm алюмосиликатное стекло+0.45 антистатический и защищающий от подглядывания клей AB; Вес: 28g
2. Поверхность: защита от отпечатков
3. Безопасность и защита конфиденциальности
4. полное покрытие экрана, надежная защита
5, 10шт в упаковке</t>
  </si>
  <si>
    <t xml:space="preserve">http://gofile.me/649X4/WtWdsmxGf</t>
  </si>
  <si>
    <t xml:space="preserve">Diamond armorполноэкранное HD закаленное стекло набор iP18 Pro Max/17 Pro Max (10шт)(BF6)</t>
  </si>
  <si>
    <t xml:space="preserve">6941991125263</t>
  </si>
  <si>
    <t xml:space="preserve">Защитные стёкла</t>
  </si>
  <si>
    <t xml:space="preserve">iPhone 17 series</t>
  </si>
  <si>
    <t xml:space="preserve">Armor Shield series полноэкранное закаленное стекло с защитой от подглядывания  iP17e/16e/14/13/13 Pro(BF12)</t>
  </si>
  <si>
    <t xml:space="preserve">6941991131448</t>
  </si>
  <si>
    <t xml:space="preserve">http://gofile.me/649X4/AvJzT6BB4</t>
  </si>
  <si>
    <t xml:space="preserve">Armor Shield series полноэкранное закаленное стекло с защитой от подглядывания  iP17/16 Pro(BF12)</t>
  </si>
  <si>
    <t xml:space="preserve">6941991131493</t>
  </si>
  <si>
    <t xml:space="preserve">http://gofile.me/649X4/peGKR8uGZ</t>
  </si>
  <si>
    <t xml:space="preserve">Armor Shield series полноэкранное закаленное стекло с защитой от подглядывания  iP17 Air(BF12)</t>
  </si>
  <si>
    <t xml:space="preserve">6941991131516</t>
  </si>
  <si>
    <t xml:space="preserve">http://gofile.me/649X4/XqNIMw9aP</t>
  </si>
  <si>
    <t xml:space="preserve">Armor Shield series полноэкранное закаленное стекло с защитой от подглядывания  iP17 Pro(BF12)</t>
  </si>
  <si>
    <t xml:space="preserve">6941991131523</t>
  </si>
  <si>
    <t xml:space="preserve">http://gofile.me/649X4/me5Iv11RG</t>
  </si>
  <si>
    <t xml:space="preserve">Armor Shield series полноэкранное закаленное стекло с защитой от подглядывания  iP17 Pro Max(BF12)</t>
  </si>
  <si>
    <t xml:space="preserve">6941991131530</t>
  </si>
  <si>
    <t xml:space="preserve">Armor Shield series полноэкранное HD закаленное стекло iP17e/16e/14/13/13 Pro(BF11)</t>
  </si>
  <si>
    <t xml:space="preserve">6941991131349</t>
  </si>
  <si>
    <t xml:space="preserve">http://gofile.me/649X4/kRYNvZ1GI</t>
  </si>
  <si>
    <t xml:space="preserve">Armor Shield series полноэкранное HD закаленное стекло iP17/16 Pro(BF11)</t>
  </si>
  <si>
    <t xml:space="preserve">6941991131394</t>
  </si>
  <si>
    <t xml:space="preserve">http://gofile.me/649X4/UgAAoWnGq</t>
  </si>
  <si>
    <t xml:space="preserve">Armor Shield series полноэкранное HD закаленное стекло iP17 Air(BF11)</t>
  </si>
  <si>
    <t xml:space="preserve">6941991131417</t>
  </si>
  <si>
    <t xml:space="preserve">http://gofile.me/649X4/FVDxoB61r</t>
  </si>
  <si>
    <t xml:space="preserve">Armor полноэкранное закаленное стекло с защитой от подглядывания   iP17e/16e/14/13/13 Pro(10PCS)(BF10)</t>
  </si>
  <si>
    <t xml:space="preserve">6941991131226</t>
  </si>
  <si>
    <t xml:space="preserve">http://gofile.me/649X4/CaeyccTOq</t>
  </si>
  <si>
    <t xml:space="preserve">Armor полноэкранное закаленное стекло с защитой от подглядывания   iP17/16 Pro(10PCS)(BF10)</t>
  </si>
  <si>
    <t xml:space="preserve">6941991131271</t>
  </si>
  <si>
    <t xml:space="preserve">http://gofile.me/649X4/Cvq0B7k27</t>
  </si>
  <si>
    <t xml:space="preserve">Armor полноэкранное закаленное стекло с защитой от подглядывания   iP17 Air(10PCS)(BF10)</t>
  </si>
  <si>
    <t xml:space="preserve">6941991131295</t>
  </si>
  <si>
    <t xml:space="preserve">http://gofile.me/649X4/AQCqL5Pmi</t>
  </si>
  <si>
    <t xml:space="preserve">Armor полноэкранное закаленное стекло с защитой от подглядывания   iP17 Pro(10PCS)(BF10)</t>
  </si>
  <si>
    <t xml:space="preserve">6941991131301</t>
  </si>
  <si>
    <t xml:space="preserve">http://gofile.me/649X4/lMvhfkG1l</t>
  </si>
  <si>
    <t xml:space="preserve">Armor полноэкранное закаленное стекло с защитой от подглядывания   iP17 Pro Max(10PCS)(BF10)</t>
  </si>
  <si>
    <t xml:space="preserve">6941991131318</t>
  </si>
  <si>
    <t xml:space="preserve">Armor полноэкранное HD закаленное стекло набор iP17e/16e/14/13/13 Pro(10PCS)(BF9)</t>
  </si>
  <si>
    <t xml:space="preserve">6941991131127</t>
  </si>
  <si>
    <t xml:space="preserve">http://gofile.me/649X4/NEZNZ6h1i</t>
  </si>
  <si>
    <t xml:space="preserve">Armor полноэкранное HD закаленное стекло набор iP17/16 Pro(10PCS)(BF9)</t>
  </si>
  <si>
    <t xml:space="preserve">6941991131172</t>
  </si>
  <si>
    <t xml:space="preserve">http://gofile.me/649X4/ZUXoPPU6g</t>
  </si>
  <si>
    <t xml:space="preserve">Armor полноэкранное HD закаленное стекло набор iP17 Air(10PCS)(BF9)</t>
  </si>
  <si>
    <t xml:space="preserve">6941991131196</t>
  </si>
  <si>
    <t xml:space="preserve">http://gofile.me/649X4/V41H4Ygrd</t>
  </si>
  <si>
    <t xml:space="preserve">Diamond armor полноэкранное 5D закаленное стекло с большой дугой набор для  iP17/16 Pro(10шт)(BF8)</t>
  </si>
  <si>
    <t xml:space="preserve">6941991116612</t>
  </si>
  <si>
    <t xml:space="preserve">18.8*9.5*3.6</t>
  </si>
  <si>
    <t xml:space="preserve">1. Material:0.4mm high alumina silica glass
2. Full screen protection, light transmittance: 92%
3. Ultra-Smooth, anti-fingerprint anti-oil, sensitive touch screen, oil-proof and scratch-proof
4. The edge of the tempered film is chamfered 120CC, the edge has a large arc, more rounded.
5.10шт pack</t>
  </si>
  <si>
    <t xml:space="preserve">http://gofile.me/649X4/zy2GXtYlQ</t>
  </si>
  <si>
    <t xml:space="preserve">Diamond armor полноэкранное 5D закаленное стекло набор iP17 Air (10шт)(BF8)</t>
  </si>
  <si>
    <t xml:space="preserve">6941991125218</t>
  </si>
  <si>
    <t xml:space="preserve">http://gofile.me/649X4/rajMarcCR</t>
  </si>
  <si>
    <t xml:space="preserve">Diamond armor полноэкранное закаленное стекло с защитой от подглядывания набор для iP17/16 Pro(10шт)(BF7)</t>
  </si>
  <si>
    <t xml:space="preserve">6941991116599</t>
  </si>
  <si>
    <t xml:space="preserve">1,0.33mm high aluminium glass + 330 privacy AB glue
2,30 degree high-definition privacy glue, good angle to protect privacy, high-definition, does not hurt the eyes.
3, Super smooth fingerprint oil, touch screen sensitive anti-oil stain and anti-scratch
4,10шт pack</t>
  </si>
  <si>
    <t xml:space="preserve">http://gofile.me/649X4/ClRI8exf9</t>
  </si>
  <si>
    <t xml:space="preserve">Diamond armor полноэкранное закаленное стекло с защитой конфиденциальности набор iP17 Air (10шт)(BF7)</t>
  </si>
  <si>
    <t xml:space="preserve">6941991125249</t>
  </si>
  <si>
    <t xml:space="preserve">http://gofile.me/649X4/gqSAa8PkJ</t>
  </si>
  <si>
    <t xml:space="preserve">Diamond armor полноэкранное HD закаленное стекло набор для  iP17/16 Pro(10шт)(BF6)</t>
  </si>
  <si>
    <t xml:space="preserve">6941991116575</t>
  </si>
  <si>
    <t xml:space="preserve">1. Material: 0.3mm high alumina glass
2. Full screen protection, light transmittance: 90%-92%
3. Smooth, anti-fingerprint anti-oil, hydrophobic, scratch-resistant
4.10шт pack</t>
  </si>
  <si>
    <t xml:space="preserve">http://gofile.me/649X4/qlvo80c5d</t>
  </si>
  <si>
    <t xml:space="preserve">Diamond armorполноэкранное HD закаленное стекло набор iP17 Air (10шт)(BF6)</t>
  </si>
  <si>
    <t xml:space="preserve">6941991125188</t>
  </si>
  <si>
    <t xml:space="preserve">1. Материал: 0.33mm алюмосиликатное стекло+0.38 антистатический клей высокой четкости AB; Вес: 26g
2. Поверхность: защита от отпечатков
3. Высокая прозрачность, полная защита экрана,  реальные цвета
4. Гладкое
5, 10шт в упаковке</t>
  </si>
  <si>
    <t xml:space="preserve">http://gofile.me/649X4/xCvKmkjoM</t>
  </si>
  <si>
    <t xml:space="preserve">Diamond armorполноэкранное HD закаленное стекло набор iP17 Pro (10шт)(BF6)</t>
  </si>
  <si>
    <t xml:space="preserve">6941991125195</t>
  </si>
  <si>
    <t xml:space="preserve">http://gofile.me/649X4/KKkWKWTLT</t>
  </si>
  <si>
    <t xml:space="preserve">Diamond armorполноэкранное HD закаленное стекло набор iP17 Pro Max (10шт)(BF6)</t>
  </si>
  <si>
    <t xml:space="preserve">6941991125201</t>
  </si>
  <si>
    <t xml:space="preserve">iP 16 Series</t>
  </si>
  <si>
    <t xml:space="preserve">Armor Shield series полноэкранное закаленное стекло с защитой от подглядывания  iP16/15(BF12)</t>
  </si>
  <si>
    <t xml:space="preserve">6941991131455</t>
  </si>
  <si>
    <t xml:space="preserve">http://gofile.me/649X4/pqSku8oTC</t>
  </si>
  <si>
    <t xml:space="preserve">Armor Shield series полноэкранное закаленное стекло с защитой от подглядывания  iP16 Plus/15 Plus(BF12)</t>
  </si>
  <si>
    <t xml:space="preserve">6941991131462</t>
  </si>
  <si>
    <t xml:space="preserve">Armor Shield series полноэкранное закаленное стекло с защитой от подглядывания  iP16 Pro Max(BF12)</t>
  </si>
  <si>
    <t xml:space="preserve">6941991131509</t>
  </si>
  <si>
    <t xml:space="preserve">Armor Shield series полноэкранное HD закаленное стекло iP16/15(BF11)</t>
  </si>
  <si>
    <t xml:space="preserve">6941991131356</t>
  </si>
  <si>
    <t xml:space="preserve">http://gofile.me/649X4/xwVCnau6K</t>
  </si>
  <si>
    <t xml:space="preserve">Armor Shield series полноэкранное HD закаленное стекло iP16 Plus/15 Plus(BF11)</t>
  </si>
  <si>
    <t xml:space="preserve">6941991131363</t>
  </si>
  <si>
    <t xml:space="preserve">Armor Shield series полноэкранное HD закаленное стекло iP16 Pro Max(BF11)</t>
  </si>
  <si>
    <t xml:space="preserve">6941991131400</t>
  </si>
  <si>
    <t xml:space="preserve">Armor полноэкранное закаленное стекло с защитой от подглядывания   iP16/15(10PCS)(BF10)</t>
  </si>
  <si>
    <t xml:space="preserve">6941991131233</t>
  </si>
  <si>
    <t xml:space="preserve">http://gofile.me/649X4/MBMyHr1Fj</t>
  </si>
  <si>
    <t xml:space="preserve">Armor полноэкранное закаленное стекло с защитой от подглядывания   iP16 Plus/15 Plus(10PCS)(BF10)</t>
  </si>
  <si>
    <t xml:space="preserve">6941991131240</t>
  </si>
  <si>
    <t xml:space="preserve">Armor полноэкранное закаленное стекло с защитой от подглядывания   iP16 Pro Max(10PCS)(BF10)</t>
  </si>
  <si>
    <t xml:space="preserve">6941991131288</t>
  </si>
  <si>
    <t xml:space="preserve">Armor полноэкранное HD закаленное стекло набор iP16/15(10PCS)(BF9)</t>
  </si>
  <si>
    <t xml:space="preserve">6941991131134</t>
  </si>
  <si>
    <t xml:space="preserve">http://gofile.me/649X4/pLFvIu4P8</t>
  </si>
  <si>
    <t xml:space="preserve">Armor полноэкранное HD закаленное стекло набор iP16 Plus/15 Plus(10PCS)(BF9)</t>
  </si>
  <si>
    <t xml:space="preserve">6941991131141</t>
  </si>
  <si>
    <t xml:space="preserve">Armor полноэкранное HD закаленное стекло набор iP16 Pro Max(10PCS)(BF9)</t>
  </si>
  <si>
    <t xml:space="preserve">6941991131189</t>
  </si>
  <si>
    <t xml:space="preserve">Diamond armor полноэкранное 5D закаленное стекло с большой дугой набор для  iP16/15(10шт)(BF8)</t>
  </si>
  <si>
    <t xml:space="preserve">6941991106040</t>
  </si>
  <si>
    <t xml:space="preserve">18.8*9.4*3.5</t>
  </si>
  <si>
    <t xml:space="preserve">http://gofile.me/649X4/9HQYIBh3d</t>
  </si>
  <si>
    <t xml:space="preserve">Diamond armor полноэкранное 5D закаленное стекло с большой дугой набор для  iP16 Plus/15 Plus(10шт)(BF8)</t>
  </si>
  <si>
    <t xml:space="preserve">6941991106057</t>
  </si>
  <si>
    <t xml:space="preserve">Diamond armor полноэкранное 5D закаленное стекло с большой дугой набор для  iP16 Pro(10шт)(BF8)</t>
  </si>
  <si>
    <t xml:space="preserve">Diamond armor полноэкранное 5D закаленное стекло с большой дугой набор для  iP16 Pro Max(10шт)(BF8)</t>
  </si>
  <si>
    <t xml:space="preserve">6941991116629</t>
  </si>
  <si>
    <t xml:space="preserve">Diamond armor полноэкранное закаленное стекло с защитой от подглядывания набор для iP16/15(10шт)(BF7)</t>
  </si>
  <si>
    <t xml:space="preserve">6941991106088</t>
  </si>
  <si>
    <t xml:space="preserve">18.7*9.4*3.6</t>
  </si>
  <si>
    <t xml:space="preserve">http://gofile.me/649X4/05rvdIxt5</t>
  </si>
  <si>
    <t xml:space="preserve">Diamond armor полноэкранное закаленное стекло с защитой от подглядывания набор для iP16 Plus/15 Plus
(10шт)(BF7)</t>
  </si>
  <si>
    <t xml:space="preserve">6941991106095</t>
  </si>
  <si>
    <t xml:space="preserve">Diamond armor полноэкранное закаленное стекло с защитой от подглядывания набор для iP16 Pro(10шт)(BF7)</t>
  </si>
  <si>
    <t xml:space="preserve">Diamond armor полноэкранное закаленное стекло с защитой от подглядывания набор для iP16 Pro Max(10шт)(BF7)</t>
  </si>
  <si>
    <t xml:space="preserve">6941991116605</t>
  </si>
  <si>
    <t xml:space="preserve">Diamond armor полноэкранное HD закаленное стекло набор для  iP16/15(10шт)(BF6)</t>
  </si>
  <si>
    <t xml:space="preserve">6941991106002</t>
  </si>
  <si>
    <t xml:space="preserve">18.7*9.4*3.5</t>
  </si>
  <si>
    <t xml:space="preserve">http://gofile.me/649X4/LZ7vyE1nV</t>
  </si>
  <si>
    <t xml:space="preserve">http://gofile.me/649X4/wZZpyjwc8</t>
  </si>
  <si>
    <t xml:space="preserve">Diamond armor полноэкранное HD закаленное стекло набор для  iP16 Plus/15 Plus
(10шт)(BF6)</t>
  </si>
  <si>
    <t xml:space="preserve">6941991106019</t>
  </si>
  <si>
    <t xml:space="preserve">Diamond armor полноэкранное HD закаленное стекло набор для  iP16 Pro(10шт)(BF6)</t>
  </si>
  <si>
    <t xml:space="preserve">Diamond armor полноэкранное HD закаленное стекло набор для  iP16 Pro Max(10шт)(BF6)</t>
  </si>
  <si>
    <t xml:space="preserve">6941991116582</t>
  </si>
  <si>
    <t xml:space="preserve">iP 15 Series</t>
  </si>
  <si>
    <t xml:space="preserve">Armor Shield series полноэкранное закаленное стекло с защитой от подглядывания  iP15 Pro(BF12)</t>
  </si>
  <si>
    <t xml:space="preserve">6941991131479</t>
  </si>
  <si>
    <t xml:space="preserve">http://gofile.me/649X4/LTAUWqrJH</t>
  </si>
  <si>
    <t xml:space="preserve">Armor Shield series полноэкранное закаленное стекло с защитой от подглядывания  iP15 Pro Max(BF12)</t>
  </si>
  <si>
    <t xml:space="preserve">6941991131486</t>
  </si>
  <si>
    <t xml:space="preserve">Armor Shield series полноэкранное HD закаленное стекло iP15 Pro(BF11)</t>
  </si>
  <si>
    <t xml:space="preserve">6941991131370</t>
  </si>
  <si>
    <t xml:space="preserve">http://gofile.me/649X4/DDMFS2JUx</t>
  </si>
  <si>
    <t xml:space="preserve">Armor Shield series полноэкранное HD закаленное стекло iP15 Pro Max(BF11)</t>
  </si>
  <si>
    <t xml:space="preserve">6941991131387</t>
  </si>
  <si>
    <t xml:space="preserve">Armor полноэкранное закаленное стекло с защитой от подглядывания   iP15 Pro(10PCS)(BF10)</t>
  </si>
  <si>
    <t xml:space="preserve">6941991131257</t>
  </si>
  <si>
    <t xml:space="preserve">http://gofile.me/649X4/9zg1Yx9V1</t>
  </si>
  <si>
    <t xml:space="preserve">Armor полноэкранное закаленное стекло с защитой от подглядывания   iP15 Pro Max(10PCS)(BF10)</t>
  </si>
  <si>
    <t xml:space="preserve">6941991131264</t>
  </si>
  <si>
    <t xml:space="preserve">Armor полноэкранное HD закаленное стекло набор iP15 Pro(10PCS)(BF9)</t>
  </si>
  <si>
    <t xml:space="preserve">6941991131158</t>
  </si>
  <si>
    <t xml:space="preserve">http://gofile.me/649X4/ThgedCR0K</t>
  </si>
  <si>
    <t xml:space="preserve">Armor полноэкранное HD закаленное стекло набор iP15 Pro Max(10PCS)(BF9)</t>
  </si>
  <si>
    <t xml:space="preserve">6941991131165</t>
  </si>
  <si>
    <t xml:space="preserve">Diamond armor полноэкранное 5D закаленное стекло с большой дугой набор дляiP15(10шт)(BF8)</t>
  </si>
  <si>
    <t xml:space="preserve">1. Матовое стекло с высоким содержанием алюминия высотой 0,4 мм обладает более высокой твердостью и более устойчиво к ударам.
2. 120сс от края до края, с большой дугой по краю, которая более закругленная и не травмирует ваши руки.
3. Супер гладкое, защита от отпечатков пальцев и жировых следов, защита от царапин, чувствительно к касаниям.
4. 10шт в упаковке.</t>
  </si>
  <si>
    <t xml:space="preserve">http://gofile.me/649X4/W4LaQIr7b</t>
  </si>
  <si>
    <t xml:space="preserve">Diamond armor полноэкранное 5D закаленное стекло с большой дугой набор дляiP15 Plus(10шт)(BF8)</t>
  </si>
  <si>
    <t xml:space="preserve">Diamond armor полноэкранное 5D закаленное стекло с большой дугой набор дляiP15 Pro(10шт)(BF8)</t>
  </si>
  <si>
    <t xml:space="preserve">6941991106064</t>
  </si>
  <si>
    <t xml:space="preserve">http://gofile.me/649X4/QqhJolu1M</t>
  </si>
  <si>
    <t xml:space="preserve">Diamond armor полноэкранное 5D закаленное стекло с большой дугой набор дляiP15 Pro Max(10шт)(BF8)</t>
  </si>
  <si>
    <t xml:space="preserve">6941991106071</t>
  </si>
  <si>
    <t xml:space="preserve">Diamond armor полноэкранное закаленное стекло с защитой от подглядывания набор для iP15(10шт)(BF7)</t>
  </si>
  <si>
    <t xml:space="preserve">1. 0.33мм стекло с высоким содержанием алюминия + 330 AB клей с защитой от подглядывания.
2. Клей с защитой от подглядывания 30 градусов, высокая четкость, хороший угол для защиты конфиденциальности, не вредит глазам
3. Супер гладкое, защита от отпечатков пальцев и жировых следов, защита от царапин, чувствительно к касаниям.
4. 10шт в упаковке.</t>
  </si>
  <si>
    <t xml:space="preserve">Diamond armor полноэкранное закаленное стекло с защитой от подглядывания набор для iP15 Plus(10шт)(BF7)</t>
  </si>
  <si>
    <t xml:space="preserve">Diamond armor полноэкранное закаленное стекло с защитой от подглядывания набор для iP15 Pro(10шт)(BF7)</t>
  </si>
  <si>
    <t xml:space="preserve">6941991106101</t>
  </si>
  <si>
    <t xml:space="preserve">http://gofile.me/649X4/BMpyHb9xF</t>
  </si>
  <si>
    <t xml:space="preserve">Diamond armor полноэкранное закаленное стекло с защитой от подглядывания набор для iP15 Pro Max(10шт)(BF7)</t>
  </si>
  <si>
    <t xml:space="preserve">6941991106118</t>
  </si>
  <si>
    <t xml:space="preserve">Diamond armor полноэкранное HD закаленное стекло набор для iP15(10шт)(BF6)</t>
  </si>
  <si>
    <t xml:space="preserve">1. Стекло с высоким содержанием алюминия толщиной 0,3мм.
2. Полноэкранное, шелкография, защита экрана.
3. Защита от отпечатков пальцев и жира, гидро-/олеофобное, защита от царапин.
4. 10шт в упаковке.</t>
  </si>
  <si>
    <t xml:space="preserve">http://gofile.me/649X4/ZLhX1SuXo</t>
  </si>
  <si>
    <t xml:space="preserve">Diamond armor полноэкранное HD закаленное стекло набор для iP15 Plus(10шт)(BF6)</t>
  </si>
  <si>
    <t xml:space="preserve">Diamond armor полноэкранное HD закаленное стекло набор для iP15 Pro(10шт)(BF6)</t>
  </si>
  <si>
    <t xml:space="preserve">6941991106026</t>
  </si>
  <si>
    <t xml:space="preserve">http://gofile.me/649X4/oEtq0FX5W</t>
  </si>
  <si>
    <t xml:space="preserve">Diamond armor полноэкранное HD закаленное стекло набор для iP15 Pro Max(10шт)(BF6)</t>
  </si>
  <si>
    <t xml:space="preserve">6941991106033</t>
  </si>
  <si>
    <t xml:space="preserve">iP 14 Series</t>
  </si>
  <si>
    <t xml:space="preserve">Diamond armor полноэкранное 5D закаленное стекло с большой дугой набор для iP17e/16e/14/13/13 Pro(BF8)(10шт)</t>
  </si>
  <si>
    <t xml:space="preserve">6941991100758</t>
  </si>
  <si>
    <t xml:space="preserve">http://gofile.me/649X4/aPN1FdE7Y</t>
  </si>
  <si>
    <t xml:space="preserve">Diamond armor полноэкранное 5D закаленное стекло с большой дугой набор для iP14 Plus/13 Pro Max(BF8)(10шт)</t>
  </si>
  <si>
    <t xml:space="preserve">6941991100765</t>
  </si>
  <si>
    <t xml:space="preserve">Diamond armor полноэкранное 5D закаленное стекло с большой дугой набор для iP14 Pro(BF8)(10шт)</t>
  </si>
  <si>
    <t xml:space="preserve">6941991100772</t>
  </si>
  <si>
    <t xml:space="preserve">http://gofile.me/649X4/6CiEXXLYM</t>
  </si>
  <si>
    <t xml:space="preserve">Diamond armor полноэкранное 5D закаленное стекло с большой дугой набор для iP14 Pro Max(BF8)(10шт)</t>
  </si>
  <si>
    <t xml:space="preserve">6941991100789</t>
  </si>
  <si>
    <t xml:space="preserve">Diamond armor полноэкранное закаленное стекло с защитой от подглядывания набор для  iP17e/16e/14/13/13 Pro(BF7)(10шт)</t>
  </si>
  <si>
    <t xml:space="preserve">6941991100659</t>
  </si>
  <si>
    <t xml:space="preserve">http://gofile.me/649X4/nrq2fZwN7</t>
  </si>
  <si>
    <t xml:space="preserve">Diamond armor полноэкранное закаленное стекло с защитой от подглядывания набор для  iP14 Plus/13 Pro Max(BF7)(10шт)</t>
  </si>
  <si>
    <t xml:space="preserve">6941991100666</t>
  </si>
  <si>
    <t xml:space="preserve">Diamond armor полноэкранное закаленное стекло с защитой от подглядывания набор для  iP14 Pro(BF7)(10шт)</t>
  </si>
  <si>
    <t xml:space="preserve">6941991100673</t>
  </si>
  <si>
    <t xml:space="preserve">http://gofile.me/649X4/oeFEDrjY5</t>
  </si>
  <si>
    <t xml:space="preserve">Diamond armor полноэкранное закаленное стекло с защитой от подглядывания набор для  iP14 Pro Max(BF7)(10шт)</t>
  </si>
  <si>
    <t xml:space="preserve">6941991100680</t>
  </si>
  <si>
    <t xml:space="preserve">Diamond armor полноэкранное HD закаленное стекло набор для iP17e/16e/14/13/13 Pro(BF6)(10шт)</t>
  </si>
  <si>
    <t xml:space="preserve">6941991100550</t>
  </si>
  <si>
    <t xml:space="preserve">http://gofile.me/649X4/d19aarYJe</t>
  </si>
  <si>
    <t xml:space="preserve">Diamond armor полноэкранное HD закаленное стекло набор для iP14 Plus/13 Pro Max(BF6)(10шт)</t>
  </si>
  <si>
    <t xml:space="preserve">6941991100567</t>
  </si>
  <si>
    <t xml:space="preserve">Diamond armor полноэкранное HD закаленное стекло набор для iP14 Pro(BF6)(10шт)</t>
  </si>
  <si>
    <t xml:space="preserve">6941991100574</t>
  </si>
  <si>
    <t xml:space="preserve">http://gofile.me/649X4/cCZIddwfz</t>
  </si>
  <si>
    <t xml:space="preserve">Diamond armor полноэкранное HD закаленное стекло набор для iP14 Pro Max(BF6)(10шт)</t>
  </si>
  <si>
    <t xml:space="preserve">6941991100581</t>
  </si>
  <si>
    <t xml:space="preserve">iP 12 Series</t>
  </si>
  <si>
    <t xml:space="preserve">Diamond armor полноэкранное 5D закаленное стекло с большой дугой набор для iP12/12 Pro(BF8)(10шт)</t>
  </si>
  <si>
    <t xml:space="preserve">6941991100734</t>
  </si>
  <si>
    <t xml:space="preserve">http://gofile.me/649X4/jOQj0iHlo</t>
  </si>
  <si>
    <t xml:space="preserve">Diamond armor полноэкранное 5D закаленное стекло с большой дугой набор для iP12 Pro Max(BF8)(10шт)</t>
  </si>
  <si>
    <t xml:space="preserve">6941991100741</t>
  </si>
  <si>
    <t xml:space="preserve">Diamond armor полноэкранное закаленное стекло с защитой от подглядывания набор для  iP12/12 Pro(BF7)(10шт)</t>
  </si>
  <si>
    <t xml:space="preserve">6941991100635</t>
  </si>
  <si>
    <t xml:space="preserve">http://gofile.me/649X4/lZUPNkd0H</t>
  </si>
  <si>
    <t xml:space="preserve">Diamond armor полноэкранное закаленное стекло с защитой от подглядывания набор для  iP12 Pro Max(BF7)(10шт)</t>
  </si>
  <si>
    <t xml:space="preserve">6941991100642</t>
  </si>
  <si>
    <t xml:space="preserve">Diamond armor полноэкранное HD закаленное стекло набор для iP12/12 Pro(BF6)(10шт)</t>
  </si>
  <si>
    <t xml:space="preserve">6941991100536</t>
  </si>
  <si>
    <t xml:space="preserve">http://gofile.me/649X4/cRiTPGVl3</t>
  </si>
  <si>
    <t xml:space="preserve">Diamond armor полноэкранное HD закаленное стекло набор для iP12 Pro Max(BF6)(10шт)</t>
  </si>
  <si>
    <t xml:space="preserve">6941991100543</t>
  </si>
  <si>
    <t xml:space="preserve">iP X/11 Series</t>
  </si>
  <si>
    <t xml:space="preserve">Diamond armor полноэкранное 5D закаленное стекло с большой дугой набор для iPX/XS/11 Pro(BF8)(10шт)</t>
  </si>
  <si>
    <t xml:space="preserve">6941991100703</t>
  </si>
  <si>
    <t xml:space="preserve">http://gofile.me/649X4/CNfI9aTJq</t>
  </si>
  <si>
    <t xml:space="preserve">Diamond armor полноэкранное 5D закаленное стекло с большой дугой набор для iPXR/11(BF8)(10шт)</t>
  </si>
  <si>
    <t xml:space="preserve">6941991100710</t>
  </si>
  <si>
    <t xml:space="preserve">Diamond armor полноэкранное 5D закаленное стекло с большой дугой набор для iPXS Max/11 Pro Max(BF8)(10шт)</t>
  </si>
  <si>
    <t xml:space="preserve">6941991100727</t>
  </si>
  <si>
    <t xml:space="preserve">Diamond armor полноэкранное закаленное стекло с защитой от подглядывания набор для  iPX/XS/11 Pro(BF7)(10шт)</t>
  </si>
  <si>
    <t xml:space="preserve">6941991100604</t>
  </si>
  <si>
    <t xml:space="preserve">http://gofile.me/649X4/l9NZxgwBQ</t>
  </si>
  <si>
    <t xml:space="preserve">Diamond armor полноэкранное закаленное стекло с защитой от подглядывания набор для  iPXR/11(BF7)(10шт)</t>
  </si>
  <si>
    <t xml:space="preserve">6941991100611</t>
  </si>
  <si>
    <t xml:space="preserve">Diamond armor полноэкранное закаленное стекло с защитой от подглядывания набор для  iPXS Max/11 Pro Max(BF7)(10шт)</t>
  </si>
  <si>
    <t xml:space="preserve">6941991100628</t>
  </si>
  <si>
    <t xml:space="preserve">Diamond armor полноэкранное HD закаленное стекло набор для iPX/XS/11 Pro(BF6)(10шт)</t>
  </si>
  <si>
    <t xml:space="preserve">6941991100505</t>
  </si>
  <si>
    <t xml:space="preserve">http://gofile.me/649X4/zv9IMwSOZ</t>
  </si>
  <si>
    <t xml:space="preserve">Diamond armor полноэкранное HD закаленное стекло набор для iPXR/11(BF6)(10шт)</t>
  </si>
  <si>
    <t xml:space="preserve">6941991100512</t>
  </si>
  <si>
    <t xml:space="preserve">Diamond armor полноэкранное HD закаленное стекло набор для iPXS Max/11 Pro Max(BF6)(10шт)</t>
  </si>
  <si>
    <t xml:space="preserve">6941991100529</t>
  </si>
  <si>
    <t xml:space="preserve">Чехлы</t>
  </si>
  <si>
    <t xml:space="preserve">Picture</t>
  </si>
  <si>
    <t xml:space="preserve">Package</t>
  </si>
  <si>
    <t xml:space="preserve">EAN Code</t>
  </si>
  <si>
    <t xml:space="preserve">Color</t>
  </si>
  <si>
    <t xml:space="preserve">Description</t>
  </si>
  <si>
    <t xml:space="preserve">Package
G.W.(g)</t>
  </si>
  <si>
    <t xml:space="preserve">Carton
G.W.(kg)</t>
  </si>
  <si>
    <t xml:space="preserve">Color box size (cm)</t>
  </si>
  <si>
    <t xml:space="preserve">Inner carton packing Qty(PCS)</t>
  </si>
  <si>
    <t xml:space="preserve">Small box Size(cm)</t>
  </si>
  <si>
    <t xml:space="preserve">Carton packing Qty(PCS)</t>
  </si>
  <si>
    <t xml:space="preserve">Carton Size(cm)</t>
  </si>
  <si>
    <t xml:space="preserve">Products for Apple's iPhone XS/XR/XS Max Case</t>
  </si>
  <si>
    <t xml:space="preserve">Products for Apple's iPhone Case</t>
  </si>
  <si>
    <t xml:space="preserve">Стёкла для iPhone</t>
  </si>
  <si>
    <t xml:space="preserve">Products for Apple's iPhone X/XS/XR/XS Max Screen Protector</t>
  </si>
  <si>
    <t xml:space="preserve">Products for Apple's iPhone Screen Protector</t>
  </si>
  <si>
    <t xml:space="preserve">Стёкла серии Elephant</t>
  </si>
  <si>
    <t xml:space="preserve">Серия</t>
  </si>
  <si>
    <t xml:space="preserve">Модель / совместимость</t>
  </si>
  <si>
    <t xml:space="preserve">Единица заказа</t>
  </si>
  <si>
    <t xml:space="preserve">iP</t>
  </si>
  <si>
    <t xml:space="preserve">huawei</t>
  </si>
  <si>
    <t xml:space="preserve">xiaomi</t>
  </si>
  <si>
    <t xml:space="preserve">Samsung</t>
  </si>
  <si>
    <t xml:space="preserve">OPPO</t>
  </si>
  <si>
    <t xml:space="preserve">vivo</t>
  </si>
  <si>
    <t xml:space="preserve">Elephant</t>
  </si>
  <si>
    <t xml:space="preserve">iP 11</t>
  </si>
  <si>
    <t xml:space="preserve">шт.</t>
  </si>
  <si>
    <t xml:space="preserve">P30</t>
  </si>
  <si>
    <t xml:space="preserve">Enjoy10 Plus</t>
  </si>
  <si>
    <t xml:space="preserve">Redmi K30</t>
  </si>
  <si>
    <t xml:space="preserve">Mi 9SE</t>
  </si>
  <si>
    <t xml:space="preserve">J6-2018</t>
  </si>
  <si>
    <t xml:space="preserve">M51</t>
  </si>
  <si>
    <t xml:space="preserve">F11 Pro</t>
  </si>
  <si>
    <t xml:space="preserve">R15/R15 Pro/K1</t>
  </si>
  <si>
    <t xml:space="preserve">Y5S/Y19</t>
  </si>
  <si>
    <t xml:space="preserve">V20 2021</t>
  </si>
  <si>
    <t xml:space="preserve">iP 11 Pro</t>
  </si>
  <si>
    <t xml:space="preserve">P30 LITE (2020)</t>
  </si>
  <si>
    <t xml:space="preserve">Enjoy10</t>
  </si>
  <si>
    <t xml:space="preserve">Redmi K20/K20 Pro</t>
  </si>
  <si>
    <t xml:space="preserve">MI 10 Youth edition/Mi10lite
/Youth 5G</t>
  </si>
  <si>
    <t xml:space="preserve">J8-2018</t>
  </si>
  <si>
    <t xml:space="preserve">NOTE 20</t>
  </si>
  <si>
    <t xml:space="preserve">F11/A9/A9X</t>
  </si>
  <si>
    <t xml:space="preserve">R17/RX17 Neo/R17 Pro/R15X/K3</t>
  </si>
  <si>
    <t xml:space="preserve">S5/V17 PRO</t>
  </si>
  <si>
    <t xml:space="preserve">V21 4G/5G</t>
  </si>
  <si>
    <t xml:space="preserve">iP 11 Pro Max</t>
  </si>
  <si>
    <t xml:space="preserve">P40</t>
  </si>
  <si>
    <t xml:space="preserve">Enjoy9S</t>
  </si>
  <si>
    <t xml:space="preserve">Redmi 8/8A</t>
  </si>
  <si>
    <t xml:space="preserve">Mi 8 Explore edition</t>
  </si>
  <si>
    <t xml:space="preserve">J4/J6 Plus</t>
  </si>
  <si>
    <t xml:space="preserve">S20 FE</t>
  </si>
  <si>
    <t xml:space="preserve">F9/F9 Pro/A7X</t>
  </si>
  <si>
    <t xml:space="preserve">Realme X50 pro (5G)</t>
  </si>
  <si>
    <t xml:space="preserve">S6</t>
  </si>
  <si>
    <t xml:space="preserve">Y12A</t>
  </si>
  <si>
    <r>
      <rPr>
        <sz val="11"/>
        <color rgb="FF202020"/>
        <rFont val="Arial"/>
        <family val="0"/>
        <charset val="1"/>
      </rPr>
      <t xml:space="preserve">iP Xs</t>
    </r>
    <r>
      <rPr>
        <sz val="11"/>
        <color rgb="FF202020"/>
        <rFont val="Noto Sans"/>
        <family val="2"/>
      </rPr>
      <t xml:space="preserve">（</t>
    </r>
    <r>
      <rPr>
        <sz val="11"/>
        <color rgb="FF202020"/>
        <rFont val="Arial"/>
        <family val="0"/>
        <charset val="1"/>
      </rPr>
      <t xml:space="preserve">5.8</t>
    </r>
    <r>
      <rPr>
        <sz val="11"/>
        <color rgb="FF202020"/>
        <rFont val="Noto Sans"/>
        <family val="2"/>
      </rPr>
      <t xml:space="preserve">）</t>
    </r>
  </si>
  <si>
    <t xml:space="preserve">P40 Lite</t>
  </si>
  <si>
    <t xml:space="preserve">Enjoy9/A7</t>
  </si>
  <si>
    <t xml:space="preserve">Redmi Note 8T</t>
  </si>
  <si>
    <t xml:space="preserve">Mi 8/8 Pro/8 UD</t>
  </si>
  <si>
    <t xml:space="preserve">J4/J6 Prime</t>
  </si>
  <si>
    <t xml:space="preserve">A32 4G</t>
  </si>
  <si>
    <t xml:space="preserve">F7/A3</t>
  </si>
  <si>
    <t xml:space="preserve">Realme x50m</t>
  </si>
  <si>
    <t xml:space="preserve">V17 PRO</t>
  </si>
  <si>
    <r>
      <rPr>
        <sz val="11"/>
        <color rgb="FF202020"/>
        <rFont val="Arial"/>
        <family val="0"/>
        <charset val="1"/>
      </rPr>
      <t xml:space="preserve">iP Xr</t>
    </r>
    <r>
      <rPr>
        <sz val="11"/>
        <color rgb="FF202020"/>
        <rFont val="Noto Sans"/>
        <family val="2"/>
      </rPr>
      <t xml:space="preserve">（</t>
    </r>
    <r>
      <rPr>
        <sz val="11"/>
        <color rgb="FF202020"/>
        <rFont val="Arial"/>
        <family val="0"/>
        <charset val="1"/>
      </rPr>
      <t xml:space="preserve">6.1</t>
    </r>
    <r>
      <rPr>
        <sz val="11"/>
        <color rgb="FF202020"/>
        <rFont val="Noto Sans"/>
        <family val="2"/>
      </rPr>
      <t xml:space="preserve">）</t>
    </r>
  </si>
  <si>
    <t xml:space="preserve">P40 LITE (5G)</t>
  </si>
  <si>
    <t xml:space="preserve">Enjoy9E/A5S</t>
  </si>
  <si>
    <t xml:space="preserve">Redmi Note8</t>
  </si>
  <si>
    <t xml:space="preserve">Mi A3</t>
  </si>
  <si>
    <t xml:space="preserve">J4 Core</t>
  </si>
  <si>
    <t xml:space="preserve">A12/M12/F12</t>
  </si>
  <si>
    <t xml:space="preserve">F5/A73/A75</t>
  </si>
  <si>
    <t xml:space="preserve">Realme x50</t>
  </si>
  <si>
    <t xml:space="preserve">V17</t>
  </si>
  <si>
    <r>
      <rPr>
        <sz val="11"/>
        <color rgb="FF202020"/>
        <rFont val="Arial"/>
        <family val="0"/>
        <charset val="1"/>
      </rPr>
      <t xml:space="preserve">iP Xs Max</t>
    </r>
    <r>
      <rPr>
        <sz val="11"/>
        <color rgb="FF202020"/>
        <rFont val="Noto Sans"/>
        <family val="2"/>
      </rPr>
      <t xml:space="preserve">（</t>
    </r>
    <r>
      <rPr>
        <sz val="11"/>
        <color rgb="FF202020"/>
        <rFont val="Arial"/>
        <family val="0"/>
        <charset val="1"/>
      </rPr>
      <t xml:space="preserve">6.5</t>
    </r>
    <r>
      <rPr>
        <sz val="11"/>
        <color rgb="FF202020"/>
        <rFont val="Noto Sans"/>
        <family val="2"/>
      </rPr>
      <t xml:space="preserve">）</t>
    </r>
  </si>
  <si>
    <t xml:space="preserve">P40 LITE E/Y7P</t>
  </si>
  <si>
    <t xml:space="preserve">Enjoy8/Play7C</t>
  </si>
  <si>
    <t xml:space="preserve">Redmi Note8 Pro</t>
  </si>
  <si>
    <t xml:space="preserve">Mi A3 Pro</t>
  </si>
  <si>
    <t xml:space="preserve">J7 Prime</t>
  </si>
  <si>
    <t xml:space="preserve">F52</t>
  </si>
  <si>
    <t xml:space="preserve">A91</t>
  </si>
  <si>
    <t xml:space="preserve">A11</t>
  </si>
  <si>
    <r>
      <rPr>
        <sz val="9"/>
        <color theme="1" tint="0.2499"/>
        <rFont val="微软雅黑"/>
        <family val="0"/>
        <charset val="134"/>
      </rPr>
      <t xml:space="preserve">V15/S1</t>
    </r>
    <r>
      <rPr>
        <sz val="9"/>
        <color theme="1" tint="0.2499"/>
        <rFont val="Noto Sans"/>
        <family val="2"/>
      </rPr>
      <t xml:space="preserve">（</t>
    </r>
    <r>
      <rPr>
        <sz val="9"/>
        <color theme="1" tint="0.2499"/>
        <rFont val="微软雅黑"/>
        <family val="0"/>
        <charset val="134"/>
      </rPr>
      <t xml:space="preserve">domestic edition </t>
    </r>
    <r>
      <rPr>
        <sz val="9"/>
        <color theme="1" tint="0.2499"/>
        <rFont val="Noto Sans"/>
        <family val="2"/>
      </rPr>
      <t xml:space="preserve">）</t>
    </r>
    <r>
      <rPr>
        <sz val="9"/>
        <color theme="1" tint="0.2499"/>
        <rFont val="微软雅黑"/>
        <family val="0"/>
        <charset val="134"/>
      </rPr>
      <t xml:space="preserve">/NEX</t>
    </r>
  </si>
  <si>
    <t xml:space="preserve">iP 6-4.7</t>
  </si>
  <si>
    <t xml:space="preserve">P30 Lite/Nova4E</t>
  </si>
  <si>
    <t xml:space="preserve">Enjoy8E/Play7A</t>
  </si>
  <si>
    <t xml:space="preserve">Redmi 7</t>
  </si>
  <si>
    <t xml:space="preserve">Mi 6X/A2</t>
  </si>
  <si>
    <t xml:space="preserve">J7 Pro</t>
  </si>
  <si>
    <t xml:space="preserve">A02/M02</t>
  </si>
  <si>
    <t xml:space="preserve">A9-2020</t>
  </si>
  <si>
    <t xml:space="preserve">A11X</t>
  </si>
  <si>
    <r>
      <rPr>
        <sz val="9"/>
        <color theme="1" tint="0.2499"/>
        <rFont val="微软雅黑"/>
        <family val="0"/>
        <charset val="134"/>
      </rPr>
      <t xml:space="preserve">V15 Pro/S1 Pro</t>
    </r>
    <r>
      <rPr>
        <sz val="9"/>
        <color theme="1" tint="0.2499"/>
        <rFont val="Noto Sans"/>
        <family val="2"/>
      </rPr>
      <t xml:space="preserve">（</t>
    </r>
    <r>
      <rPr>
        <sz val="9"/>
        <color theme="1" tint="0.2499"/>
        <rFont val="微软雅黑"/>
        <family val="0"/>
        <charset val="134"/>
      </rPr>
      <t xml:space="preserve">domestic edition </t>
    </r>
    <r>
      <rPr>
        <sz val="9"/>
        <color theme="1" tint="0.2499"/>
        <rFont val="Noto Sans"/>
        <family val="2"/>
      </rPr>
      <t xml:space="preserve">）</t>
    </r>
    <r>
      <rPr>
        <sz val="9"/>
        <color theme="1" tint="0.2499"/>
        <rFont val="微软雅黑"/>
        <family val="0"/>
        <charset val="134"/>
      </rPr>
      <t xml:space="preserve">/X27/NEX 2</t>
    </r>
  </si>
  <si>
    <t xml:space="preserve">iP 6-5.5</t>
  </si>
  <si>
    <t xml:space="preserve">P20 Lite-2019/Nova5i</t>
  </si>
  <si>
    <t xml:space="preserve">Enjoy8E Lite/Play7</t>
  </si>
  <si>
    <t xml:space="preserve">Redmi 7A</t>
  </si>
  <si>
    <t xml:space="preserve">Mi 5X/A1</t>
  </si>
  <si>
    <t xml:space="preserve">J2 Core</t>
  </si>
  <si>
    <t xml:space="preserve">A02S/M02S/F02S</t>
  </si>
  <si>
    <t xml:space="preserve">A5-2020</t>
  </si>
  <si>
    <t xml:space="preserve">A11K</t>
  </si>
  <si>
    <t xml:space="preserve">V11/V11 Pro/X23/X21S</t>
  </si>
  <si>
    <t xml:space="preserve">iP 7/8-4.7</t>
  </si>
  <si>
    <t xml:space="preserve">P20 Lite/Nova3E</t>
  </si>
  <si>
    <t xml:space="preserve">Honor 30/30s</t>
  </si>
  <si>
    <t xml:space="preserve">Redmi Note7/Note7 Pro</t>
  </si>
  <si>
    <t xml:space="preserve">Mi  Play</t>
  </si>
  <si>
    <t xml:space="preserve">Jean 2</t>
  </si>
  <si>
    <t xml:space="preserve">A03S</t>
  </si>
  <si>
    <t xml:space="preserve">A1K</t>
  </si>
  <si>
    <t xml:space="preserve">A12</t>
  </si>
  <si>
    <t xml:space="preserve">V11i/V11India/Y97</t>
  </si>
  <si>
    <t xml:space="preserve">iP 7/8-5.5</t>
  </si>
  <si>
    <t xml:space="preserve">P Smart S</t>
  </si>
  <si>
    <t xml:space="preserve">Honor 30 lite</t>
  </si>
  <si>
    <t xml:space="preserve">Redmi Note7S</t>
  </si>
  <si>
    <t xml:space="preserve">MI 10T 5G</t>
  </si>
  <si>
    <t xml:space="preserve">Wide 4</t>
  </si>
  <si>
    <t xml:space="preserve">A21/A21S</t>
  </si>
  <si>
    <t xml:space="preserve">AX7 Pro</t>
  </si>
  <si>
    <t xml:space="preserve">A31</t>
  </si>
  <si>
    <t xml:space="preserve">V19</t>
  </si>
  <si>
    <t xml:space="preserve">iP SE-(2020)</t>
  </si>
  <si>
    <t xml:space="preserve">P-Smart Z</t>
  </si>
  <si>
    <t xml:space="preserve">Honor 20E</t>
  </si>
  <si>
    <t xml:space="preserve">Redmi 6/6A</t>
  </si>
  <si>
    <t xml:space="preserve">MI 10T LITE 5G</t>
  </si>
  <si>
    <t xml:space="preserve">A22 4G/M22/M32 4G/F22 4G</t>
  </si>
  <si>
    <t xml:space="preserve">A7/AX7/A7N/A5S/AX5S</t>
  </si>
  <si>
    <t xml:space="preserve">A52</t>
  </si>
  <si>
    <t xml:space="preserve">V20</t>
  </si>
  <si>
    <t xml:space="preserve">iP 12 mini</t>
  </si>
  <si>
    <t xml:space="preserve">P-Smart 2020</t>
  </si>
  <si>
    <t xml:space="preserve">Honor 20S</t>
  </si>
  <si>
    <t xml:space="preserve">Redmi 6 Pro/Mi A2 Lite</t>
  </si>
  <si>
    <t xml:space="preserve">MI 10T PRO 5G</t>
  </si>
  <si>
    <t xml:space="preserve">A51</t>
  </si>
  <si>
    <t xml:space="preserve">M32 5G</t>
  </si>
  <si>
    <t xml:space="preserve">A5/A3S/AX5</t>
  </si>
  <si>
    <t xml:space="preserve">A72</t>
  </si>
  <si>
    <t xml:space="preserve">V20 SE</t>
  </si>
  <si>
    <t xml:space="preserve">iP 12/ 12 Pro</t>
  </si>
  <si>
    <t xml:space="preserve">P-Smart 2021</t>
  </si>
  <si>
    <t xml:space="preserve">Honor 20/20 Pro</t>
  </si>
  <si>
    <t xml:space="preserve">Redmi Note6/Mi 8 Lite</t>
  </si>
  <si>
    <t xml:space="preserve">Redmi 10X(4G)</t>
  </si>
  <si>
    <t xml:space="preserve">A71</t>
  </si>
  <si>
    <t xml:space="preserve">A42/M42 5G</t>
  </si>
  <si>
    <t xml:space="preserve">A1/A83/F5 Youth</t>
  </si>
  <si>
    <t xml:space="preserve">A92</t>
  </si>
  <si>
    <t xml:space="preserve">Y9S</t>
  </si>
  <si>
    <t xml:space="preserve">iP 12 Pro Max</t>
  </si>
  <si>
    <t xml:space="preserve">Y6S</t>
  </si>
  <si>
    <t xml:space="preserve">Honor 20 Lite/10 Lite</t>
  </si>
  <si>
    <t xml:space="preserve">Redmi Note6 Pro</t>
  </si>
  <si>
    <t xml:space="preserve">Redmi 10X(5G)</t>
  </si>
  <si>
    <t xml:space="preserve">A59/A59S/F1S</t>
  </si>
  <si>
    <t xml:space="preserve">A92S</t>
  </si>
  <si>
    <t xml:space="preserve">Y7S/S1global edition</t>
  </si>
  <si>
    <t xml:space="preserve">iP13 mini</t>
  </si>
  <si>
    <t xml:space="preserve">Y9prime-2019</t>
  </si>
  <si>
    <t xml:space="preserve">Honor 20/10i</t>
  </si>
  <si>
    <t xml:space="preserve">Redmi 5 Plus/Note5 global edition</t>
  </si>
  <si>
    <t xml:space="preserve">Redmi 10X pro(5G)</t>
  </si>
  <si>
    <t xml:space="preserve">Note10 Lite</t>
  </si>
  <si>
    <t xml:space="preserve">A72 4G/5G</t>
  </si>
  <si>
    <t xml:space="preserve">Realme C11</t>
  </si>
  <si>
    <t xml:space="preserve">ACE 2</t>
  </si>
  <si>
    <t xml:space="preserve">Y3</t>
  </si>
  <si>
    <t xml:space="preserve">iP13 /13 Pro</t>
  </si>
  <si>
    <t xml:space="preserve">Y9-2019/Enjoy9 Plus</t>
  </si>
  <si>
    <t xml:space="preserve">Honor 9X/9X Pro</t>
  </si>
  <si>
    <t xml:space="preserve">Redmi Note5 Pro/Note5 domestic edition</t>
  </si>
  <si>
    <t xml:space="preserve">REDMI NOTE 9 PRO</t>
  </si>
  <si>
    <r>
      <rPr>
        <sz val="9"/>
        <color theme="1" tint="0.2499"/>
        <rFont val="微软雅黑"/>
        <family val="0"/>
        <charset val="134"/>
      </rPr>
      <t xml:space="preserve">S10 Lite</t>
    </r>
    <r>
      <rPr>
        <sz val="9"/>
        <color theme="1" tint="0.2499"/>
        <rFont val="Noto Sans"/>
        <family val="2"/>
      </rPr>
      <t xml:space="preserve">（</t>
    </r>
    <r>
      <rPr>
        <sz val="9"/>
        <color theme="1" tint="0.2499"/>
        <rFont val="微软雅黑"/>
        <family val="0"/>
        <charset val="134"/>
      </rPr>
      <t xml:space="preserve">2020</t>
    </r>
    <r>
      <rPr>
        <sz val="9"/>
        <color theme="1" tint="0.2499"/>
        <rFont val="Noto Sans"/>
        <family val="2"/>
      </rPr>
      <t xml:space="preserve">）</t>
    </r>
  </si>
  <si>
    <t xml:space="preserve">Realme Q</t>
  </si>
  <si>
    <t xml:space="preserve">F15</t>
  </si>
  <si>
    <t xml:space="preserve">Y11-2019</t>
  </si>
  <si>
    <t xml:space="preserve">iP 13 Pro Max</t>
  </si>
  <si>
    <t xml:space="preserve">Y7/Y7pro/Y7prime-2019</t>
  </si>
  <si>
    <t xml:space="preserve">Honor X10</t>
  </si>
  <si>
    <t xml:space="preserve">Redmi Y3</t>
  </si>
  <si>
    <t xml:space="preserve">REDMI NOTE 9 PRO MAX</t>
  </si>
  <si>
    <r>
      <rPr>
        <sz val="9"/>
        <color theme="1" tint="0.2499"/>
        <rFont val="微软雅黑"/>
        <family val="0"/>
        <charset val="134"/>
      </rPr>
      <t xml:space="preserve">S10E/S10 Lite (</t>
    </r>
    <r>
      <rPr>
        <sz val="9"/>
        <color theme="1" tint="0.2499"/>
        <rFont val="Noto Sans"/>
        <family val="2"/>
      </rPr>
      <t xml:space="preserve">老款</t>
    </r>
    <r>
      <rPr>
        <sz val="9"/>
        <color theme="1" tint="0.2499"/>
        <rFont val="微软雅黑"/>
        <family val="0"/>
        <charset val="134"/>
      </rPr>
      <t xml:space="preserve">)</t>
    </r>
  </si>
  <si>
    <t xml:space="preserve">Realme X3 Superzoom</t>
  </si>
  <si>
    <t xml:space="preserve">F17 PRO/F19 PRO/A94</t>
  </si>
  <si>
    <t xml:space="preserve">Y12</t>
  </si>
  <si>
    <t xml:space="preserve">iP 14 6.1</t>
  </si>
  <si>
    <t xml:space="preserve">Y6/Y6pro/Y6prime-2019</t>
  </si>
  <si>
    <t xml:space="preserve">Honor 9C</t>
  </si>
  <si>
    <t xml:space="preserve">MiCC9</t>
  </si>
  <si>
    <t xml:space="preserve">REDMI NOTE 9S</t>
  </si>
  <si>
    <t xml:space="preserve">A10/M10</t>
  </si>
  <si>
    <t xml:space="preserve">Realme x3</t>
  </si>
  <si>
    <t xml:space="preserve">A15 2020/A15S/A35</t>
  </si>
  <si>
    <t xml:space="preserve">Y15</t>
  </si>
  <si>
    <t xml:space="preserve">iP 14 Plus  6.1</t>
  </si>
  <si>
    <t xml:space="preserve">Y5/Y5pro/Y5prime-2019</t>
  </si>
  <si>
    <t xml:space="preserve">Honor 8X</t>
  </si>
  <si>
    <t xml:space="preserve">MiCC9 Meitu edition</t>
  </si>
  <si>
    <t xml:space="preserve">REDMI NOTE 9</t>
  </si>
  <si>
    <t xml:space="preserve">A20/A30/A50</t>
  </si>
  <si>
    <t xml:space="preserve">Realme x2 pro</t>
  </si>
  <si>
    <t xml:space="preserve">A32/A33/A53S 4G</t>
  </si>
  <si>
    <t xml:space="preserve">Y17</t>
  </si>
  <si>
    <t xml:space="preserve">iP 14 pro 6.1</t>
  </si>
  <si>
    <t xml:space="preserve">Y9-2018/Enjoy8 Plus</t>
  </si>
  <si>
    <t xml:space="preserve">Honor 8A Pro</t>
  </si>
  <si>
    <t xml:space="preserve">MiCC9e</t>
  </si>
  <si>
    <t xml:space="preserve">Redmi K40/K40 Pro</t>
  </si>
  <si>
    <t xml:space="preserve">A60/M40</t>
  </si>
  <si>
    <t xml:space="preserve">Realme X2</t>
  </si>
  <si>
    <t xml:space="preserve">A95 5G</t>
  </si>
  <si>
    <t xml:space="preserve">Y19</t>
  </si>
  <si>
    <t xml:space="preserve">iP 14 Pro Max 6.7</t>
  </si>
  <si>
    <t xml:space="preserve">Y7/Y7pro/Y7prime-2018</t>
  </si>
  <si>
    <t xml:space="preserve">Honor 8S</t>
  </si>
  <si>
    <t xml:space="preserve">Mi 9 Lite</t>
  </si>
  <si>
    <r>
      <rPr>
        <sz val="9"/>
        <color theme="1" tint="0.2499"/>
        <rFont val="微软雅黑"/>
        <family val="0"/>
        <charset val="134"/>
      </rPr>
      <t xml:space="preserve">Redmi k40</t>
    </r>
    <r>
      <rPr>
        <sz val="9"/>
        <color theme="1" tint="0.2499"/>
        <rFont val="Noto Sans"/>
        <family val="2"/>
      </rPr>
      <t xml:space="preserve">游戏增强版</t>
    </r>
    <r>
      <rPr>
        <sz val="9"/>
        <color theme="1" tint="0.2499"/>
        <rFont val="微软雅黑"/>
        <family val="0"/>
        <charset val="134"/>
      </rPr>
      <t xml:space="preserve">/POCO F3 GT</t>
    </r>
  </si>
  <si>
    <t xml:space="preserve">A70</t>
  </si>
  <si>
    <t xml:space="preserve">Realme XT PRO</t>
  </si>
  <si>
    <t xml:space="preserve">A52 /A72/A73 5G/A92/K7X/A74 5G/A93 5G</t>
  </si>
  <si>
    <t xml:space="preserve">Y20</t>
  </si>
  <si>
    <t xml:space="preserve">Y6/Y6pro/Y6prime-2018</t>
  </si>
  <si>
    <t xml:space="preserve">Honor 7S</t>
  </si>
  <si>
    <t xml:space="preserve">Mi 9 Pro(5G)</t>
  </si>
  <si>
    <t xml:space="preserve">Redmi 10i</t>
  </si>
  <si>
    <t xml:space="preserve">A80/A90</t>
  </si>
  <si>
    <t xml:space="preserve">Realme XT</t>
  </si>
  <si>
    <t xml:space="preserve">A93 4G</t>
  </si>
  <si>
    <t xml:space="preserve">Y20I</t>
  </si>
  <si>
    <t xml:space="preserve">Y5/Y5pro/Y5prime-2018</t>
  </si>
  <si>
    <t xml:space="preserve">Honor 8C/Play 8C</t>
  </si>
  <si>
    <t xml:space="preserve">Mi 9T Pro</t>
  </si>
  <si>
    <t xml:space="preserve">Redmi 10</t>
  </si>
  <si>
    <t xml:space="preserve">A90 (5G)</t>
  </si>
  <si>
    <t xml:space="preserve">Realme X</t>
  </si>
  <si>
    <t xml:space="preserve">Y30</t>
  </si>
  <si>
    <t xml:space="preserve">Y5Lite-2018</t>
  </si>
  <si>
    <t xml:space="preserve">Honor 8A/Play 8A</t>
  </si>
  <si>
    <t xml:space="preserve">Mi 9T</t>
  </si>
  <si>
    <t xml:space="preserve">Redmi Note10 4G/10S/10 5G</t>
  </si>
  <si>
    <t xml:space="preserve">A10S</t>
  </si>
  <si>
    <t xml:space="preserve">Realme X Lite</t>
  </si>
  <si>
    <t xml:space="preserve">A54 5G/A74 5G</t>
  </si>
  <si>
    <t xml:space="preserve">Y50</t>
  </si>
  <si>
    <t xml:space="preserve">NOVA 7</t>
  </si>
  <si>
    <t xml:space="preserve">Honor 8/Play 8</t>
  </si>
  <si>
    <t xml:space="preserve">Mi 9/9 Explore edition</t>
  </si>
  <si>
    <t xml:space="preserve">Redmi Note10 Pro/NOTE 10 PRO max</t>
  </si>
  <si>
    <t xml:space="preserve">A20S</t>
  </si>
  <si>
    <t xml:space="preserve">Realme 5 Pro</t>
  </si>
  <si>
    <t xml:space="preserve">A55/A16/REALME V11/C20/C21/C21Y/A53S 5G</t>
  </si>
  <si>
    <t xml:space="preserve">Y70S</t>
  </si>
  <si>
    <t xml:space="preserve">NOVA 7SE</t>
  </si>
  <si>
    <t xml:space="preserve">Honor Play 9A</t>
  </si>
  <si>
    <t xml:space="preserve">Redmi 9/9A/9C/9AT</t>
  </si>
  <si>
    <t xml:space="preserve">A30S</t>
  </si>
  <si>
    <t xml:space="preserve">Realme 6 Pro</t>
  </si>
  <si>
    <t xml:space="preserve">RENO 3 PRO</t>
  </si>
  <si>
    <t xml:space="preserve">Y95/Y93/Y93S/Y91/Y91i</t>
  </si>
  <si>
    <t xml:space="preserve">Nova 7i</t>
  </si>
  <si>
    <t xml:space="preserve">Honor Play 3</t>
  </si>
  <si>
    <t xml:space="preserve">Redmi Note8/NOTE8 2021</t>
  </si>
  <si>
    <t xml:space="preserve">A40S</t>
  </si>
  <si>
    <t xml:space="preserve">Realme 5</t>
  </si>
  <si>
    <r>
      <rPr>
        <sz val="9"/>
        <color theme="1" tint="0.2499"/>
        <rFont val="微软雅黑"/>
        <family val="0"/>
        <charset val="134"/>
      </rPr>
      <t xml:space="preserve">RENO 4(5G domestic edition</t>
    </r>
    <r>
      <rPr>
        <sz val="9"/>
        <color theme="1" tint="0.2499"/>
        <rFont val="Noto Sans"/>
        <family val="2"/>
      </rPr>
      <t xml:space="preserve">）</t>
    </r>
  </si>
  <si>
    <t xml:space="preserve">Y90</t>
  </si>
  <si>
    <t xml:space="preserve">Nova 6 (5G)</t>
  </si>
  <si>
    <t xml:space="preserve">Honor Play 3E</t>
  </si>
  <si>
    <t xml:space="preserve">Mi Poco X3/X3 NFC</t>
  </si>
  <si>
    <t xml:space="preserve">A50S</t>
  </si>
  <si>
    <t xml:space="preserve">Realme 6</t>
  </si>
  <si>
    <r>
      <rPr>
        <sz val="9"/>
        <color theme="1" tint="0.2499"/>
        <rFont val="微软雅黑"/>
        <family val="0"/>
        <charset val="134"/>
      </rPr>
      <t xml:space="preserve">RENO 4(4G india</t>
    </r>
    <r>
      <rPr>
        <sz val="9"/>
        <color theme="1" tint="0.2499"/>
        <rFont val="Noto Sans"/>
        <family val="2"/>
      </rPr>
      <t xml:space="preserve">）</t>
    </r>
  </si>
  <si>
    <t xml:space="preserve">Y85/Y89/V9</t>
  </si>
  <si>
    <t xml:space="preserve">Nova6-SE</t>
  </si>
  <si>
    <t xml:space="preserve">Honor V20</t>
  </si>
  <si>
    <t xml:space="preserve">POCO X3 GT</t>
  </si>
  <si>
    <t xml:space="preserve">A70S</t>
  </si>
  <si>
    <t xml:space="preserve">Realme 3 Pro</t>
  </si>
  <si>
    <t xml:space="preserve">RENO 4Z 5G</t>
  </si>
  <si>
    <t xml:space="preserve">Y83/Y83 Pro/Y81/Y81i</t>
  </si>
  <si>
    <t xml:space="preserve">Nova5/Nova5 Pro</t>
  </si>
  <si>
    <t xml:space="preserve">Honor V10 Lite</t>
  </si>
  <si>
    <t xml:space="preserve">MI POCO M3 PRO</t>
  </si>
  <si>
    <t xml:space="preserve">A10E</t>
  </si>
  <si>
    <t xml:space="preserve">Realme 3i</t>
  </si>
  <si>
    <t xml:space="preserve">RENO 4SE</t>
  </si>
  <si>
    <t xml:space="preserve">Z5/Z1X</t>
  </si>
  <si>
    <t xml:space="preserve">Nova5T</t>
  </si>
  <si>
    <t xml:space="preserve">Honor Magic 2</t>
  </si>
  <si>
    <t xml:space="preserve">MI 10T 5G/MI 10T LITE 5G/MI 10T PRO 5G</t>
  </si>
  <si>
    <t xml:space="preserve">A20E</t>
  </si>
  <si>
    <t xml:space="preserve">Realme 3</t>
  </si>
  <si>
    <t xml:space="preserve">RENO 4F</t>
  </si>
  <si>
    <t xml:space="preserve">Z5X/Z1 Pro</t>
  </si>
  <si>
    <t xml:space="preserve">Nova5i Pro</t>
  </si>
  <si>
    <t xml:space="preserve">Honor Play 4T</t>
  </si>
  <si>
    <t xml:space="preserve">MI 11 LITE</t>
  </si>
  <si>
    <t xml:space="preserve">A750/A7-2018</t>
  </si>
  <si>
    <t xml:space="preserve">Realme C2</t>
  </si>
  <si>
    <t xml:space="preserve">RENO 4 LITE</t>
  </si>
  <si>
    <t xml:space="preserve">Z3/Z3i</t>
  </si>
  <si>
    <t xml:space="preserve">Nova5i</t>
  </si>
  <si>
    <t xml:space="preserve">Honor Play 4T pro</t>
  </si>
  <si>
    <t xml:space="preserve">Mi Poco X2</t>
  </si>
  <si>
    <t xml:space="preserve">MI 11X/11i/11X PRO</t>
  </si>
  <si>
    <t xml:space="preserve">A530/A8-2018</t>
  </si>
  <si>
    <t xml:space="preserve">Realme C3(I)</t>
  </si>
  <si>
    <t xml:space="preserve">RENO5/5K</t>
  </si>
  <si>
    <t xml:space="preserve">Z1/Z1i/Z1 Lite/Z3X</t>
  </si>
  <si>
    <r>
      <rPr>
        <sz val="11"/>
        <rFont val="Arial"/>
        <family val="0"/>
        <charset val="1"/>
      </rPr>
      <t xml:space="preserve">iP Xs</t>
    </r>
    <r>
      <rPr>
        <sz val="11"/>
        <rFont val="Noto Sans"/>
        <family val="2"/>
      </rPr>
      <t xml:space="preserve">（</t>
    </r>
    <r>
      <rPr>
        <sz val="11"/>
        <rFont val="Arial"/>
        <family val="0"/>
        <charset val="1"/>
      </rPr>
      <t xml:space="preserve">5.8</t>
    </r>
    <r>
      <rPr>
        <sz val="11"/>
        <rFont val="Noto Sans"/>
        <family val="2"/>
      </rPr>
      <t xml:space="preserve">）</t>
    </r>
  </si>
  <si>
    <t xml:space="preserve">Nova4</t>
  </si>
  <si>
    <t xml:space="preserve">Honor Play 4 pro</t>
  </si>
  <si>
    <t xml:space="preserve">Mi Poco X3</t>
  </si>
  <si>
    <t xml:space="preserve">A730/A8 Plus-2018</t>
  </si>
  <si>
    <t xml:space="preserve">Realme 2 Pro</t>
  </si>
  <si>
    <t xml:space="preserve">RENO 5F</t>
  </si>
  <si>
    <t xml:space="preserve">iQOO Pro</t>
  </si>
  <si>
    <t xml:space="preserve">Nova3/Nova3i/Mate20 Lite/Maimang7</t>
  </si>
  <si>
    <t xml:space="preserve">Honor play 4</t>
  </si>
  <si>
    <t xml:space="preserve">Mi Poco X3 NFC</t>
  </si>
  <si>
    <t xml:space="preserve">A6-2018</t>
  </si>
  <si>
    <t xml:space="preserve">Realme 2</t>
  </si>
  <si>
    <t xml:space="preserve">RENO 5Z 5G/F19 PRO+</t>
  </si>
  <si>
    <t xml:space="preserve">iQOO</t>
  </si>
  <si>
    <t xml:space="preserve">Nova2i/Mate10 Lite/Maimang6</t>
  </si>
  <si>
    <t xml:space="preserve">Honor Y5P</t>
  </si>
  <si>
    <t xml:space="preserve">MI Poco F2</t>
  </si>
  <si>
    <t xml:space="preserve">A6 Plus-2018/A9 Star Lite</t>
  </si>
  <si>
    <r>
      <rPr>
        <sz val="9"/>
        <color theme="1" tint="0.2499"/>
        <rFont val="微软雅黑"/>
        <family val="0"/>
        <charset val="134"/>
      </rPr>
      <t xml:space="preserve">Realme C1</t>
    </r>
    <r>
      <rPr>
        <sz val="9"/>
        <color theme="1" tint="0.2499"/>
        <rFont val="Noto Sans"/>
        <family val="2"/>
      </rPr>
      <t xml:space="preserve">（</t>
    </r>
    <r>
      <rPr>
        <sz val="9"/>
        <color theme="1" tint="0.2499"/>
        <rFont val="微软雅黑"/>
        <family val="0"/>
        <charset val="134"/>
      </rPr>
      <t xml:space="preserve">2019</t>
    </r>
    <r>
      <rPr>
        <sz val="9"/>
        <color theme="1" tint="0.2499"/>
        <rFont val="Noto Sans"/>
        <family val="2"/>
      </rPr>
      <t xml:space="preserve">）</t>
    </r>
  </si>
  <si>
    <t xml:space="preserve">RENO 6/6Z</t>
  </si>
  <si>
    <t xml:space="preserve">iQOO Neo</t>
  </si>
  <si>
    <t xml:space="preserve">P-Smart 2019/NovaLite 3/Maimang8</t>
  </si>
  <si>
    <t xml:space="preserve">Honor Y7P</t>
  </si>
  <si>
    <t xml:space="preserve">MI POCO F2 PRO</t>
  </si>
  <si>
    <t xml:space="preserve">J4-2018</t>
  </si>
  <si>
    <t xml:space="preserve">Realme U1</t>
  </si>
  <si>
    <t xml:space="preserve">REALME Q3/Q3i 5G</t>
  </si>
  <si>
    <t xml:space="preserve">iQOO 3 (5G)</t>
  </si>
  <si>
    <t xml:space="preserve">Y7P-2020</t>
  </si>
  <si>
    <t xml:space="preserve">Y9A</t>
  </si>
  <si>
    <t xml:space="preserve">MI POCO M2 PRO</t>
  </si>
  <si>
    <t xml:space="preserve">A2 core/J2 Core</t>
  </si>
  <si>
    <t xml:space="preserve">Reno  4</t>
  </si>
  <si>
    <t xml:space="preserve">S1 Pro</t>
  </si>
  <si>
    <t xml:space="preserve">Nova7i</t>
  </si>
  <si>
    <t xml:space="preserve">P50</t>
  </si>
  <si>
    <t xml:space="preserve">M20</t>
  </si>
  <si>
    <t xml:space="preserve">Reno 3 Youth</t>
  </si>
  <si>
    <t xml:space="preserve">Realme X50 (5G)</t>
  </si>
  <si>
    <t xml:space="preserve">U3</t>
  </si>
  <si>
    <t xml:space="preserve">NovaLite 2</t>
  </si>
  <si>
    <t xml:space="preserve">M30</t>
  </si>
  <si>
    <t xml:space="preserve">Reno 3 Pro (5G)</t>
  </si>
  <si>
    <t xml:space="preserve">Realme X3</t>
  </si>
  <si>
    <t xml:space="preserve">U3X</t>
  </si>
  <si>
    <t xml:space="preserve">mate 30</t>
  </si>
  <si>
    <r>
      <rPr>
        <sz val="9"/>
        <color theme="1" tint="0.2499"/>
        <rFont val="微软雅黑"/>
        <family val="0"/>
        <charset val="134"/>
      </rPr>
      <t xml:space="preserve">HW Honor 20LITE</t>
    </r>
    <r>
      <rPr>
        <sz val="9"/>
        <color theme="1" tint="0.2499"/>
        <rFont val="Noto Sans"/>
        <family val="2"/>
      </rPr>
      <t xml:space="preserve">（</t>
    </r>
    <r>
      <rPr>
        <sz val="9"/>
        <color theme="1" tint="0.2499"/>
        <rFont val="微软雅黑"/>
        <family val="0"/>
        <charset val="134"/>
      </rPr>
      <t xml:space="preserve">domestic edition</t>
    </r>
    <r>
      <rPr>
        <sz val="9"/>
        <color theme="1" tint="0.2499"/>
        <rFont val="Noto Sans"/>
        <family val="2"/>
      </rPr>
      <t xml:space="preserve">）</t>
    </r>
    <r>
      <rPr>
        <sz val="9"/>
        <color theme="1" tint="0.2499"/>
        <rFont val="微软雅黑"/>
        <family val="0"/>
        <charset val="134"/>
      </rPr>
      <t xml:space="preserve">/ Enjoy10S/PLAY 4TPRO
/Y8P/PSMART S/</t>
    </r>
    <r>
      <rPr>
        <sz val="9"/>
        <color theme="1" tint="0.2499"/>
        <rFont val="Noto Sans"/>
        <family val="2"/>
      </rPr>
      <t xml:space="preserve">荣耀</t>
    </r>
    <r>
      <rPr>
        <sz val="9"/>
        <color theme="1" tint="0.2499"/>
        <rFont val="微软雅黑"/>
        <family val="0"/>
        <charset val="134"/>
      </rPr>
      <t xml:space="preserve">30i</t>
    </r>
  </si>
  <si>
    <t xml:space="preserve">M10S</t>
  </si>
  <si>
    <t xml:space="preserve">Reno 3</t>
  </si>
  <si>
    <t xml:space="preserve">Realme X3 SUPERZOOM</t>
  </si>
  <si>
    <t xml:space="preserve">U20</t>
  </si>
  <si>
    <t xml:space="preserve">Mate30 Lite</t>
  </si>
  <si>
    <t xml:space="preserve">M30S</t>
  </si>
  <si>
    <t xml:space="preserve">Reno 2</t>
  </si>
  <si>
    <t xml:space="preserve">Realme 7i/Realme c17</t>
  </si>
  <si>
    <t xml:space="preserve">U10</t>
  </si>
  <si>
    <t xml:space="preserve">Enjoy Z(5G)</t>
  </si>
  <si>
    <t xml:space="preserve">A01CORE/M01 CORE</t>
  </si>
  <si>
    <t xml:space="preserve">Reno  2Z</t>
  </si>
  <si>
    <t xml:space="preserve">Realme Narzo 30 5G</t>
  </si>
  <si>
    <t xml:space="preserve">U1</t>
  </si>
  <si>
    <r>
      <rPr>
        <sz val="11"/>
        <rFont val="Arial"/>
        <family val="0"/>
        <charset val="1"/>
      </rPr>
      <t xml:space="preserve">iP Xr</t>
    </r>
    <r>
      <rPr>
        <sz val="11"/>
        <rFont val="Noto Sans"/>
        <family val="2"/>
      </rPr>
      <t xml:space="preserve">（</t>
    </r>
    <r>
      <rPr>
        <sz val="11"/>
        <rFont val="Arial"/>
        <family val="0"/>
        <charset val="1"/>
      </rPr>
      <t xml:space="preserve">6.1</t>
    </r>
    <r>
      <rPr>
        <sz val="11"/>
        <rFont val="Noto Sans"/>
        <family val="2"/>
      </rPr>
      <t xml:space="preserve">）</t>
    </r>
  </si>
  <si>
    <t xml:space="preserve">Enjoy20 plus</t>
  </si>
  <si>
    <t xml:space="preserve">Honor Play 5T Youth</t>
  </si>
  <si>
    <t xml:space="preserve">A01/M01</t>
  </si>
  <si>
    <t xml:space="preserve">Reno 2F</t>
  </si>
  <si>
    <t xml:space="preserve">Realme Narzo 30 Pro</t>
  </si>
  <si>
    <t xml:space="preserve">X50</t>
  </si>
  <si>
    <t xml:space="preserve">Enjoy 20 pro</t>
  </si>
  <si>
    <t xml:space="preserve">M01S</t>
  </si>
  <si>
    <t xml:space="preserve">Reno Z</t>
  </si>
  <si>
    <t xml:space="preserve">Realme C11/C11 2021/C12/C15/C20/C20A/C21/C21Y/C25/C25S</t>
  </si>
  <si>
    <t xml:space="preserve">X30</t>
  </si>
  <si>
    <t xml:space="preserve">Enjoy 20</t>
  </si>
  <si>
    <t xml:space="preserve">MI 9A</t>
  </si>
  <si>
    <t xml:space="preserve">M11</t>
  </si>
  <si>
    <t xml:space="preserve">Reno</t>
  </si>
  <si>
    <t xml:space="preserve">REALME 7/REALME NARZO 30 PRO 5G/REALME V13/REALME 8 5G</t>
  </si>
  <si>
    <t xml:space="preserve">X30Pro</t>
  </si>
  <si>
    <t xml:space="preserve">Enjoy10E/Play9A/Y6P</t>
  </si>
  <si>
    <t xml:space="preserve">MI 9C</t>
  </si>
  <si>
    <t xml:space="preserve">M21</t>
  </si>
  <si>
    <t xml:space="preserve">Reno Zoom edition</t>
  </si>
  <si>
    <t xml:space="preserve">REALME 7 PRO</t>
  </si>
  <si>
    <t xml:space="preserve">G1</t>
  </si>
  <si>
    <t xml:space="preserve">Enjoy10S/Y8P</t>
  </si>
  <si>
    <t xml:space="preserve">M31</t>
  </si>
  <si>
    <t xml:space="preserve">Reno (5G)</t>
  </si>
  <si>
    <t xml:space="preserve">REALME X7/REALME V15 5G</t>
  </si>
  <si>
    <t xml:space="preserve">Z6</t>
  </si>
  <si>
    <t xml:space="preserve">REALME X7 PRO</t>
  </si>
  <si>
    <t xml:space="preserve">REALME 8 4G/REALME 8 PRO</t>
  </si>
  <si>
    <r>
      <rPr>
        <sz val="11"/>
        <rFont val="Arial"/>
        <family val="0"/>
        <charset val="1"/>
      </rPr>
      <t xml:space="preserve">iP Xs Max</t>
    </r>
    <r>
      <rPr>
        <sz val="11"/>
        <rFont val="Noto Sans"/>
        <family val="2"/>
      </rPr>
      <t xml:space="preserve">（</t>
    </r>
    <r>
      <rPr>
        <sz val="11"/>
        <rFont val="Arial"/>
        <family val="0"/>
        <charset val="1"/>
      </rPr>
      <t xml:space="preserve">6.5</t>
    </r>
    <r>
      <rPr>
        <sz val="11"/>
        <rFont val="Noto Sans"/>
        <family val="2"/>
      </rPr>
      <t xml:space="preserve">）</t>
    </r>
  </si>
  <si>
    <r>
      <rPr>
        <sz val="11"/>
        <rFont val="Arial"/>
        <family val="0"/>
        <charset val="1"/>
      </rPr>
      <t xml:space="preserve">V15/S1</t>
    </r>
    <r>
      <rPr>
        <sz val="11"/>
        <rFont val="Noto Sans"/>
        <family val="2"/>
      </rPr>
      <t xml:space="preserve">（</t>
    </r>
    <r>
      <rPr>
        <sz val="11"/>
        <rFont val="Arial"/>
        <family val="0"/>
        <charset val="1"/>
      </rPr>
      <t xml:space="preserve">domestic edition </t>
    </r>
    <r>
      <rPr>
        <sz val="11"/>
        <rFont val="Noto Sans"/>
        <family val="2"/>
      </rPr>
      <t xml:space="preserve">）</t>
    </r>
    <r>
      <rPr>
        <sz val="11"/>
        <rFont val="Arial"/>
        <family val="0"/>
        <charset val="1"/>
      </rPr>
      <t xml:space="preserve">/NEX</t>
    </r>
  </si>
  <si>
    <r>
      <rPr>
        <sz val="11"/>
        <rFont val="Arial"/>
        <family val="0"/>
        <charset val="1"/>
      </rPr>
      <t xml:space="preserve">V15 Pro/S1 Pro</t>
    </r>
    <r>
      <rPr>
        <sz val="11"/>
        <rFont val="Noto Sans"/>
        <family val="2"/>
      </rPr>
      <t xml:space="preserve">（</t>
    </r>
    <r>
      <rPr>
        <sz val="11"/>
        <rFont val="Arial"/>
        <family val="0"/>
        <charset val="1"/>
      </rPr>
      <t xml:space="preserve">domestic edition </t>
    </r>
    <r>
      <rPr>
        <sz val="11"/>
        <rFont val="Noto Sans"/>
        <family val="2"/>
      </rPr>
      <t xml:space="preserve">）</t>
    </r>
    <r>
      <rPr>
        <sz val="11"/>
        <rFont val="Arial"/>
        <family val="0"/>
        <charset val="1"/>
      </rPr>
      <t xml:space="preserve">/X27/NEX 2</t>
    </r>
  </si>
  <si>
    <r>
      <rPr>
        <sz val="11"/>
        <rFont val="Arial"/>
        <family val="0"/>
        <charset val="1"/>
      </rPr>
      <t xml:space="preserve">S10 Lite</t>
    </r>
    <r>
      <rPr>
        <sz val="11"/>
        <rFont val="Noto Sans"/>
        <family val="2"/>
      </rPr>
      <t xml:space="preserve">（</t>
    </r>
    <r>
      <rPr>
        <sz val="11"/>
        <rFont val="Arial"/>
        <family val="0"/>
        <charset val="1"/>
      </rPr>
      <t xml:space="preserve">2020</t>
    </r>
    <r>
      <rPr>
        <sz val="11"/>
        <rFont val="Noto Sans"/>
        <family val="2"/>
      </rPr>
      <t xml:space="preserve">）</t>
    </r>
  </si>
  <si>
    <r>
      <rPr>
        <sz val="11"/>
        <rFont val="Arial"/>
        <family val="0"/>
        <charset val="1"/>
      </rPr>
      <t xml:space="preserve">S10E/S10 Lite (</t>
    </r>
    <r>
      <rPr>
        <sz val="11"/>
        <rFont val="Noto Sans"/>
        <family val="2"/>
      </rPr>
      <t xml:space="preserve">老款</t>
    </r>
    <r>
      <rPr>
        <sz val="11"/>
        <rFont val="Arial"/>
        <family val="0"/>
        <charset val="1"/>
      </rPr>
      <t xml:space="preserve">)</t>
    </r>
  </si>
  <si>
    <r>
      <rPr>
        <sz val="11"/>
        <rFont val="Arial"/>
        <family val="0"/>
        <charset val="1"/>
      </rPr>
      <t xml:space="preserve">Redmi k40</t>
    </r>
    <r>
      <rPr>
        <sz val="11"/>
        <rFont val="Noto Sans"/>
        <family val="2"/>
      </rPr>
      <t xml:space="preserve">游戏增强版</t>
    </r>
    <r>
      <rPr>
        <sz val="11"/>
        <rFont val="Arial"/>
        <family val="0"/>
        <charset val="1"/>
      </rPr>
      <t xml:space="preserve">/POCO F3 GT</t>
    </r>
  </si>
  <si>
    <r>
      <rPr>
        <sz val="11"/>
        <rFont val="Arial"/>
        <family val="0"/>
        <charset val="1"/>
      </rPr>
      <t xml:space="preserve">RENO 4(5G domestic edition</t>
    </r>
    <r>
      <rPr>
        <sz val="11"/>
        <rFont val="Noto Sans"/>
        <family val="2"/>
      </rPr>
      <t xml:space="preserve">）</t>
    </r>
  </si>
  <si>
    <r>
      <rPr>
        <sz val="11"/>
        <rFont val="Arial"/>
        <family val="0"/>
        <charset val="1"/>
      </rPr>
      <t xml:space="preserve">RENO 4(4G india</t>
    </r>
    <r>
      <rPr>
        <sz val="11"/>
        <rFont val="Noto Sans"/>
        <family val="2"/>
      </rPr>
      <t xml:space="preserve">）</t>
    </r>
  </si>
  <si>
    <r>
      <rPr>
        <sz val="11"/>
        <rFont val="Arial"/>
        <family val="0"/>
        <charset val="1"/>
      </rPr>
      <t xml:space="preserve">Realme C1</t>
    </r>
    <r>
      <rPr>
        <sz val="11"/>
        <rFont val="Noto Sans"/>
        <family val="2"/>
      </rPr>
      <t xml:space="preserve">（</t>
    </r>
    <r>
      <rPr>
        <sz val="11"/>
        <rFont val="Arial"/>
        <family val="0"/>
        <charset val="1"/>
      </rPr>
      <t xml:space="preserve">2019</t>
    </r>
    <r>
      <rPr>
        <sz val="11"/>
        <rFont val="Noto Sans"/>
        <family val="2"/>
      </rPr>
      <t xml:space="preserve">）</t>
    </r>
  </si>
  <si>
    <r>
      <rPr>
        <sz val="11"/>
        <rFont val="Arial"/>
        <family val="0"/>
        <charset val="1"/>
      </rPr>
      <t xml:space="preserve">HW Honor 20LITE</t>
    </r>
    <r>
      <rPr>
        <sz val="11"/>
        <rFont val="Noto Sans"/>
        <family val="2"/>
      </rPr>
      <t xml:space="preserve">（</t>
    </r>
    <r>
      <rPr>
        <sz val="11"/>
        <rFont val="Arial"/>
        <family val="0"/>
        <charset val="1"/>
      </rPr>
      <t xml:space="preserve">domestic edition</t>
    </r>
    <r>
      <rPr>
        <sz val="11"/>
        <rFont val="Noto Sans"/>
        <family val="2"/>
      </rPr>
      <t xml:space="preserve">）</t>
    </r>
    <r>
      <rPr>
        <sz val="11"/>
        <rFont val="Arial"/>
        <family val="0"/>
        <charset val="1"/>
      </rPr>
      <t xml:space="preserve">/ Enjoy10S/PLAY 4TPRO
/Y8P/PSMART S/</t>
    </r>
    <r>
      <rPr>
        <sz val="11"/>
        <rFont val="Noto Sans"/>
        <family val="2"/>
      </rPr>
      <t xml:space="preserve">荣耀</t>
    </r>
    <r>
      <rPr>
        <sz val="11"/>
        <rFont val="Arial"/>
        <family val="0"/>
        <charset val="1"/>
      </rPr>
      <t xml:space="preserve">30i</t>
    </r>
  </si>
  <si>
    <t xml:space="preserve">Стёкла BF5, BF4, BF3</t>
  </si>
  <si>
    <r>
      <rPr>
        <b val="true"/>
        <sz val="10"/>
        <color rgb="FF202020"/>
        <rFont val="Arial"/>
        <family val="0"/>
        <charset val="1"/>
      </rPr>
      <t xml:space="preserve">Security seriesзакаленная пленка с защитой от подглядывания (BF5)</t>
    </r>
    <r>
      <rPr>
        <b val="true"/>
        <sz val="10"/>
        <color rgb="FF202020"/>
        <rFont val="Noto Sans"/>
        <family val="2"/>
      </rPr>
      <t xml:space="preserve">（ </t>
    </r>
    <r>
      <rPr>
        <b val="true"/>
        <sz val="10"/>
        <color rgb="FF202020"/>
        <rFont val="Arial"/>
        <family val="0"/>
        <charset val="1"/>
      </rPr>
      <t xml:space="preserve">iP </t>
    </r>
    <r>
      <rPr>
        <b val="true"/>
        <sz val="10"/>
        <color rgb="FF202020"/>
        <rFont val="Noto Sans"/>
        <family val="2"/>
      </rPr>
      <t xml:space="preserve">）</t>
    </r>
  </si>
  <si>
    <t xml:space="preserve">BF5</t>
  </si>
  <si>
    <t xml:space="preserve">iP X/Xs/11 Pro чёрный</t>
  </si>
  <si>
    <t xml:space="preserve">iP13 mini чёрный</t>
  </si>
  <si>
    <t xml:space="preserve">iP16 / iP 15  6.1</t>
  </si>
  <si>
    <t xml:space="preserve">iP Xr/11 чёрный</t>
  </si>
  <si>
    <t xml:space="preserve">iP13 /13 Pro  чёрный</t>
  </si>
  <si>
    <t xml:space="preserve">iP16 Plus / iP 15 Plus  6.7</t>
  </si>
  <si>
    <t xml:space="preserve">iP Xs Max/11 Pro Max чёрный</t>
  </si>
  <si>
    <t xml:space="preserve">iP 13 Pro Max  чёрный</t>
  </si>
  <si>
    <t xml:space="preserve">iP 14 pro 6.7</t>
  </si>
  <si>
    <t xml:space="preserve">iP 15 Pro 6.1</t>
  </si>
  <si>
    <t xml:space="preserve">iP 12 mini чёрный</t>
  </si>
  <si>
    <t xml:space="preserve">iP 15 Pro Max 6.7</t>
  </si>
  <si>
    <t xml:space="preserve">iP 12/12 Pro чёрный</t>
  </si>
  <si>
    <t xml:space="preserve">iP 16 Pro/iP 17 6.3</t>
  </si>
  <si>
    <t xml:space="preserve">iP 12 Pro Max чёрный</t>
  </si>
  <si>
    <t xml:space="preserve">iP 16 Pro Max 6.9</t>
  </si>
  <si>
    <t xml:space="preserve">iP 17 Air</t>
  </si>
  <si>
    <t xml:space="preserve">iP 17 Pro</t>
  </si>
  <si>
    <t xml:space="preserve">iP 17 Pro Max</t>
  </si>
  <si>
    <r>
      <rPr>
        <b val="true"/>
        <i val="true"/>
        <sz val="11"/>
        <color rgb="FF171717"/>
        <rFont val="Arial"/>
        <family val="0"/>
        <charset val="1"/>
      </rPr>
      <t xml:space="preserve">Clear series защитная пленка высокой прозрачности, прозрачный(BF4)</t>
    </r>
    <r>
      <rPr>
        <b val="true"/>
        <i val="true"/>
        <sz val="11"/>
        <color rgb="FF171717"/>
        <rFont val="Noto Sans"/>
        <family val="2"/>
      </rPr>
      <t xml:space="preserve">（ </t>
    </r>
    <r>
      <rPr>
        <b val="true"/>
        <i val="true"/>
        <sz val="11"/>
        <color rgb="FF171717"/>
        <rFont val="Arial"/>
        <family val="0"/>
        <charset val="1"/>
      </rPr>
      <t xml:space="preserve">iP )</t>
    </r>
  </si>
  <si>
    <t xml:space="preserve">iP 5/5s/SE-4</t>
  </si>
  <si>
    <t xml:space="preserve">iP X/Xs/11 pro(5.8)</t>
  </si>
  <si>
    <t xml:space="preserve">iP12 mini</t>
  </si>
  <si>
    <t xml:space="preserve">iP 14 Pro</t>
  </si>
  <si>
    <t xml:space="preserve">iP 16 Pro 6.3</t>
  </si>
  <si>
    <t xml:space="preserve">iP 6/6s-4.7</t>
  </si>
  <si>
    <t xml:space="preserve">iP 7 plus/8 plus-5.5</t>
  </si>
  <si>
    <t xml:space="preserve">iP Xr/11 (6.1)</t>
  </si>
  <si>
    <t xml:space="preserve">iP12/12 Pro</t>
  </si>
  <si>
    <t xml:space="preserve">iP 14Pro Max</t>
  </si>
  <si>
    <t xml:space="preserve">iP 6 plus/6s plus-5.5</t>
  </si>
  <si>
    <t xml:space="preserve">iP Xs Max/11 Pro Max (6.5)</t>
  </si>
  <si>
    <t xml:space="preserve">iP16 / iP 15</t>
  </si>
  <si>
    <r>
      <rPr>
        <b val="true"/>
        <i val="true"/>
        <sz val="11"/>
        <color rgb="FF171717"/>
        <rFont val="Arial"/>
        <family val="0"/>
        <charset val="1"/>
      </rPr>
      <t xml:space="preserve">Список тем для полноэкранной печати</t>
    </r>
    <r>
      <rPr>
        <b val="true"/>
        <i val="true"/>
        <sz val="11"/>
        <color rgb="FF171717"/>
        <rFont val="Noto Sans"/>
        <family val="2"/>
      </rPr>
      <t xml:space="preserve">（</t>
    </r>
    <r>
      <rPr>
        <b val="true"/>
        <i val="true"/>
        <sz val="11"/>
        <color rgb="FF171717"/>
        <rFont val="Arial"/>
        <family val="0"/>
        <charset val="1"/>
      </rPr>
      <t xml:space="preserve">BF3 </t>
    </r>
    <r>
      <rPr>
        <b val="true"/>
        <i val="true"/>
        <sz val="11"/>
        <color rgb="FF171717"/>
        <rFont val="Noto Sans"/>
        <family val="2"/>
      </rPr>
      <t xml:space="preserve">）（ </t>
    </r>
    <r>
      <rPr>
        <b val="true"/>
        <i val="true"/>
        <sz val="11"/>
        <color rgb="FF171717"/>
        <rFont val="Arial"/>
        <family val="0"/>
        <charset val="1"/>
      </rPr>
      <t xml:space="preserve">iP </t>
    </r>
    <r>
      <rPr>
        <b val="true"/>
        <i val="true"/>
        <sz val="11"/>
        <color rgb="FF171717"/>
        <rFont val="Noto Sans"/>
        <family val="2"/>
      </rPr>
      <t xml:space="preserve">）</t>
    </r>
  </si>
  <si>
    <t xml:space="preserve">iP 6/6s-4.7 чёрный</t>
  </si>
  <si>
    <t xml:space="preserve">iP 7/8-4.7 чёрный</t>
  </si>
  <si>
    <t xml:space="preserve">iP X/Xs/11 pro(5.8) чёрный</t>
  </si>
  <si>
    <t xml:space="preserve">iP12 mini чёрный</t>
  </si>
  <si>
    <t xml:space="preserve">iP 6/6s-4.7 white</t>
  </si>
  <si>
    <t xml:space="preserve">iP 7/8-4.7 white</t>
  </si>
  <si>
    <t xml:space="preserve">iP Xr/11 (6.1) чёрный</t>
  </si>
  <si>
    <t xml:space="preserve">iP12/12 Pro чёрный</t>
  </si>
  <si>
    <t xml:space="preserve">iP16 Plus / iP 15 Plus</t>
  </si>
  <si>
    <t xml:space="preserve">BF4</t>
  </si>
  <si>
    <t xml:space="preserve">iP 6 plus/6s plus-5.5 чёрный</t>
  </si>
  <si>
    <t xml:space="preserve">iP 7 plus/8 plus-5.5 чёрный</t>
  </si>
  <si>
    <t xml:space="preserve">iP Xs Max/11 Pro Max (6.5) чёрный</t>
  </si>
  <si>
    <t xml:space="preserve">iP 6 plus/6s plus-5.5 white</t>
  </si>
  <si>
    <t xml:space="preserve">iP 7 plus/8 plus-5.5 white</t>
  </si>
  <si>
    <t xml:space="preserve">BF3</t>
  </si>
  <si>
    <t xml:space="preserve">Материалы и стеллажи</t>
  </si>
  <si>
    <t xml:space="preserve">Name</t>
  </si>
  <si>
    <t xml:space="preserve">Inventory quantity</t>
  </si>
  <si>
    <r>
      <rPr>
        <sz val="11"/>
        <color rgb="FF202020"/>
        <rFont val="Arial"/>
        <family val="0"/>
        <charset val="1"/>
      </rPr>
      <t xml:space="preserve">BOROFONE.BN203 </t>
    </r>
    <r>
      <rPr>
        <sz val="11"/>
        <color rgb="FF202020"/>
        <rFont val="Noto Sans"/>
        <family val="2"/>
      </rPr>
      <t xml:space="preserve">地面方向指引贴
</t>
    </r>
    <r>
      <rPr>
        <sz val="11"/>
        <color rgb="FF202020"/>
        <rFont val="Arial"/>
        <family val="0"/>
        <charset val="1"/>
      </rPr>
      <t xml:space="preserve">BN203 Floor directional sticker</t>
    </r>
  </si>
  <si>
    <t xml:space="preserve">Material process: 130g adhesive car pasted with matte film
Size: 400×400mm; Weight: 3.7g
Thickness: 130g (gram weight)
Packing quantity: 1000шт
Packing size: 65*50*30cm; Weight: 38kg</t>
  </si>
  <si>
    <t xml:space="preserve">Предзаказ</t>
  </si>
  <si>
    <r>
      <rPr>
        <sz val="11"/>
        <color rgb="FF202020"/>
        <rFont val="Arial"/>
        <family val="0"/>
        <charset val="1"/>
      </rPr>
      <t xml:space="preserve">BOROFONE.BN202 </t>
    </r>
    <r>
      <rPr>
        <sz val="11"/>
        <color rgb="FF202020"/>
        <rFont val="Noto Sans"/>
        <family val="2"/>
      </rPr>
      <t xml:space="preserve">自动晴雨伞</t>
    </r>
    <r>
      <rPr>
        <sz val="11"/>
        <color rgb="FF202020"/>
        <rFont val="Arial"/>
        <family val="0"/>
        <charset val="1"/>
      </rPr>
      <t xml:space="preserve">21</t>
    </r>
    <r>
      <rPr>
        <sz val="11"/>
        <color rgb="FF202020"/>
        <rFont val="Noto Sans"/>
        <family val="2"/>
      </rPr>
      <t xml:space="preserve">寸 米黄色
</t>
    </r>
    <r>
      <rPr>
        <sz val="11"/>
        <color rgb="FF202020"/>
        <rFont val="Arial"/>
        <family val="0"/>
        <charset val="1"/>
      </rPr>
      <t xml:space="preserve">BN202 automatic umbrella 21 inch</t>
    </r>
  </si>
  <si>
    <r>
      <rPr>
        <sz val="9"/>
        <color theme="1" tint="0.2499"/>
        <rFont val="微软雅黑"/>
        <family val="0"/>
        <charset val="134"/>
      </rPr>
      <t xml:space="preserve">Material: чёрный  tape+Fiber steel+Iron+Plastic
size</t>
    </r>
    <r>
      <rPr>
        <sz val="9"/>
        <color theme="1" tint="0.2499"/>
        <rFont val="Noto Sans"/>
        <family val="2"/>
      </rPr>
      <t xml:space="preserve">：</t>
    </r>
    <r>
      <rPr>
        <sz val="9"/>
        <color theme="1" tint="0.2499"/>
        <rFont val="微软雅黑"/>
        <family val="0"/>
        <charset val="134"/>
      </rPr>
      <t xml:space="preserve">21 inch</t>
    </r>
  </si>
  <si>
    <r>
      <rPr>
        <sz val="11"/>
        <color rgb="FF202020"/>
        <rFont val="Arial"/>
        <family val="0"/>
        <charset val="1"/>
      </rPr>
      <t xml:space="preserve">BN201 </t>
    </r>
    <r>
      <rPr>
        <sz val="11"/>
        <color rgb="FF202020"/>
        <rFont val="Noto Sans"/>
        <family val="2"/>
      </rPr>
      <t xml:space="preserve">无纺布购物袋 白色</t>
    </r>
    <r>
      <rPr>
        <sz val="11"/>
        <color rgb="FF202020"/>
        <rFont val="Arial"/>
        <family val="0"/>
        <charset val="1"/>
      </rPr>
      <t xml:space="preserve">(40*30*10CM)
BN201 Non woven shopping bag white(40*30*10CM)</t>
    </r>
  </si>
  <si>
    <r>
      <rPr>
        <sz val="9"/>
        <color theme="1" tint="0.2499"/>
        <rFont val="微软雅黑"/>
        <family val="0"/>
        <charset val="134"/>
      </rPr>
      <t xml:space="preserve">Material: Non woven fabric
size</t>
    </r>
    <r>
      <rPr>
        <sz val="9"/>
        <color theme="1" tint="0.2499"/>
        <rFont val="Noto Sans"/>
        <family val="2"/>
      </rPr>
      <t xml:space="preserve">：</t>
    </r>
    <r>
      <rPr>
        <sz val="9"/>
        <color theme="1" tint="0.2499"/>
        <rFont val="微软雅黑"/>
        <family val="0"/>
        <charset val="134"/>
      </rPr>
      <t xml:space="preserve">40*30*10cm</t>
    </r>
  </si>
  <si>
    <r>
      <rPr>
        <sz val="11"/>
        <color rgb="FF202020"/>
        <rFont val="Arial"/>
        <family val="0"/>
        <charset val="1"/>
      </rPr>
      <t xml:space="preserve">BOROFONE.</t>
    </r>
    <r>
      <rPr>
        <sz val="11"/>
        <color rgb="FF202020"/>
        <rFont val="Noto Sans"/>
        <family val="2"/>
      </rPr>
      <t xml:space="preserve">定制咖啡杯 白色</t>
    </r>
    <r>
      <rPr>
        <sz val="11"/>
        <color rgb="FF202020"/>
        <rFont val="Arial"/>
        <family val="0"/>
        <charset val="1"/>
      </rPr>
      <t xml:space="preserve">(280ml)
BOROFONE.Customized cafee cup(280ml)</t>
    </r>
  </si>
  <si>
    <r>
      <rPr>
        <sz val="9"/>
        <color theme="1" tint="0.2499"/>
        <rFont val="微软雅黑"/>
        <family val="0"/>
        <charset val="134"/>
      </rPr>
      <t xml:space="preserve">Material: Ceramic
capacity</t>
    </r>
    <r>
      <rPr>
        <sz val="9"/>
        <color theme="1" tint="0.2499"/>
        <rFont val="Noto Sans"/>
        <family val="2"/>
      </rPr>
      <t xml:space="preserve">：</t>
    </r>
    <r>
      <rPr>
        <sz val="9"/>
        <color theme="1" tint="0.2499"/>
        <rFont val="微软雅黑"/>
        <family val="0"/>
        <charset val="134"/>
      </rPr>
      <t xml:space="preserve">280ml</t>
    </r>
  </si>
  <si>
    <r>
      <rPr>
        <sz val="11"/>
        <color rgb="FF202020"/>
        <rFont val="Arial"/>
        <family val="0"/>
        <charset val="1"/>
      </rPr>
      <t xml:space="preserve">BN10 </t>
    </r>
    <r>
      <rPr>
        <sz val="11"/>
        <color rgb="FF202020"/>
        <rFont val="Noto Sans"/>
        <family val="2"/>
      </rPr>
      <t xml:space="preserve">汽车遮阳挡
</t>
    </r>
    <r>
      <rPr>
        <sz val="11"/>
        <color rgb="FF202020"/>
        <rFont val="Arial"/>
        <family val="0"/>
        <charset val="1"/>
      </rPr>
      <t xml:space="preserve">BN10 Car sunshade</t>
    </r>
  </si>
  <si>
    <t xml:space="preserve">Material: Silver coated polyester fabric
Packaging size: 45 * 46 * 1cm
Product size: 140 * 80cm
Weight: 150g</t>
  </si>
  <si>
    <t xml:space="preserve">pre-order</t>
  </si>
  <si>
    <r>
      <rPr>
        <sz val="11"/>
        <color rgb="FF202020"/>
        <rFont val="Arial"/>
        <family val="0"/>
        <charset val="1"/>
      </rPr>
      <t xml:space="preserve">BOROFONE.BN09 </t>
    </r>
    <r>
      <rPr>
        <sz val="11"/>
        <color rgb="FF202020"/>
        <rFont val="Noto Sans"/>
        <family val="2"/>
      </rPr>
      <t xml:space="preserve">展示挂板</t>
    </r>
    <r>
      <rPr>
        <sz val="11"/>
        <color rgb="FF202020"/>
        <rFont val="Arial"/>
        <family val="0"/>
        <charset val="1"/>
      </rPr>
      <t xml:space="preserve">(5шт)
BN09 Display stand(5шт)</t>
    </r>
  </si>
  <si>
    <t xml:space="preserve">Material: Polyester (Chunya Textile) fabric+Iron pipe
Packing: 5 шт/carton
2.8m knife type flagpole, 50x180cm double flag [double flag cloth 70g polyester (spring yartex) cloth] + flat tube + cross base + water bladder. 2шт aluminum rod + 1шт glass fiber rod Wall thickness 1.0mm</t>
  </si>
  <si>
    <r>
      <rPr>
        <sz val="11"/>
        <color rgb="FF202020"/>
        <rFont val="Arial"/>
        <family val="0"/>
        <charset val="1"/>
      </rPr>
      <t xml:space="preserve">BOROFONE.BN08 </t>
    </r>
    <r>
      <rPr>
        <sz val="11"/>
        <color rgb="FF202020"/>
        <rFont val="Noto Sans"/>
        <family val="2"/>
      </rPr>
      <t xml:space="preserve">刀型旗</t>
    </r>
    <r>
      <rPr>
        <sz val="11"/>
        <color rgb="FF202020"/>
        <rFont val="Arial"/>
        <family val="0"/>
        <charset val="1"/>
      </rPr>
      <t xml:space="preserve">5шт) BN08 sail shaped flag (5шт)</t>
    </r>
  </si>
  <si>
    <r>
      <rPr>
        <sz val="9"/>
        <color theme="1" tint="0.2499"/>
        <rFont val="微软雅黑"/>
        <family val="0"/>
        <charset val="134"/>
      </rPr>
      <t xml:space="preserve">Material: PVC foam board (Andy board/Shaffer board)
Packing size:76.8*51.6*7.6cm
size</t>
    </r>
    <r>
      <rPr>
        <sz val="9"/>
        <color theme="1" tint="0.2499"/>
        <rFont val="Noto Sans"/>
        <family val="2"/>
      </rPr>
      <t xml:space="preserve">：</t>
    </r>
    <r>
      <rPr>
        <sz val="9"/>
        <color theme="1" tint="0.2499"/>
        <rFont val="微软雅黑"/>
        <family val="0"/>
        <charset val="134"/>
      </rPr>
      <t xml:space="preserve">500*800MM
Packing Weight:5Kg</t>
    </r>
  </si>
  <si>
    <r>
      <rPr>
        <sz val="11"/>
        <color rgb="FF202020"/>
        <rFont val="Arial"/>
        <family val="0"/>
        <charset val="1"/>
      </rPr>
      <t xml:space="preserve">BOROFONE.BN06</t>
    </r>
    <r>
      <rPr>
        <sz val="11"/>
        <color rgb="FF202020"/>
        <rFont val="Noto Sans"/>
        <family val="2"/>
      </rPr>
      <t xml:space="preserve">落地</t>
    </r>
    <r>
      <rPr>
        <sz val="11"/>
        <color rgb="FF202020"/>
        <rFont val="Arial"/>
        <family val="0"/>
        <charset val="1"/>
      </rPr>
      <t xml:space="preserve">PVC</t>
    </r>
    <r>
      <rPr>
        <sz val="11"/>
        <color rgb="FF202020"/>
        <rFont val="Noto Sans"/>
        <family val="2"/>
      </rPr>
      <t xml:space="preserve">挂钩展示架</t>
    </r>
    <r>
      <rPr>
        <sz val="11"/>
        <color rgb="FF202020"/>
        <rFont val="Arial"/>
        <family val="0"/>
        <charset val="1"/>
      </rPr>
      <t xml:space="preserve">(5шт)
BN06 Region PVC hook display stand(5шт)</t>
    </r>
  </si>
  <si>
    <t xml:space="preserve">Product material: high-density reinforced PVC board, reinforced hooks L120mm * 30 pieces
Product size: W600 * D300 * H1600mm; Product weight: 24.4Kg
Packaging size: 1560 * 620 * 95m</t>
  </si>
  <si>
    <r>
      <rPr>
        <sz val="10"/>
        <color theme="1" tint="0.2499"/>
        <rFont val="微软雅黑"/>
        <family val="0"/>
        <charset val="134"/>
      </rPr>
      <t xml:space="preserve">0 </t>
    </r>
    <r>
      <rPr>
        <sz val="10"/>
        <color theme="1" tint="0.2499"/>
        <rFont val="Noto Sans"/>
        <family val="2"/>
      </rPr>
      <t xml:space="preserve">个</t>
    </r>
  </si>
  <si>
    <r>
      <rPr>
        <sz val="11"/>
        <color rgb="FF202020"/>
        <rFont val="Arial"/>
        <family val="0"/>
        <charset val="1"/>
      </rPr>
      <t xml:space="preserve">BN05 Smart watch display stand</t>
    </r>
    <r>
      <rPr>
        <sz val="11"/>
        <color rgb="FF202020"/>
        <rFont val="Noto Sans"/>
        <family val="2"/>
      </rPr>
      <t xml:space="preserve">（智能手表展示托架）</t>
    </r>
  </si>
  <si>
    <r>
      <rPr>
        <sz val="9"/>
        <color theme="1" tint="0.2499"/>
        <rFont val="微软雅黑"/>
        <family val="0"/>
        <charset val="134"/>
      </rPr>
      <t xml:space="preserve">Product material: transparent acrylic(polymethyl methacrylate)
size</t>
    </r>
    <r>
      <rPr>
        <sz val="9"/>
        <color theme="1" tint="0.2499"/>
        <rFont val="Noto Sans"/>
        <family val="2"/>
      </rPr>
      <t xml:space="preserve">： </t>
    </r>
    <r>
      <rPr>
        <sz val="9"/>
        <color theme="1" tint="0.2499"/>
        <rFont val="微软雅黑"/>
        <family val="0"/>
        <charset val="134"/>
      </rPr>
      <t xml:space="preserve">L40*W40*H80mm</t>
    </r>
  </si>
  <si>
    <r>
      <rPr>
        <sz val="11"/>
        <color rgb="FF202020"/>
        <rFont val="Arial"/>
        <family val="0"/>
        <charset val="1"/>
      </rPr>
      <t xml:space="preserve">HN34 </t>
    </r>
    <r>
      <rPr>
        <sz val="11"/>
        <color rgb="FF202020"/>
        <rFont val="Noto Sans"/>
        <family val="2"/>
      </rPr>
      <t xml:space="preserve">金属车载支架展示架
</t>
    </r>
    <r>
      <rPr>
        <sz val="11"/>
        <color rgb="FF202020"/>
        <rFont val="Arial"/>
        <family val="0"/>
        <charset val="1"/>
      </rPr>
      <t xml:space="preserve">HN34 metal car holder display stand</t>
    </r>
  </si>
  <si>
    <t xml:space="preserve">Material: Cold rolled steel plate
Packing size:130*80*90mm
Package weight:0.4kg</t>
  </si>
  <si>
    <r>
      <rPr>
        <sz val="11"/>
        <color rgb="FF202020"/>
        <rFont val="Arial"/>
        <family val="0"/>
        <charset val="1"/>
      </rPr>
      <t xml:space="preserve">HN19 </t>
    </r>
    <r>
      <rPr>
        <sz val="11"/>
        <color rgb="FF202020"/>
        <rFont val="Noto Sans"/>
        <family val="2"/>
      </rPr>
      <t xml:space="preserve">智能手表展示架</t>
    </r>
    <r>
      <rPr>
        <sz val="11"/>
        <color rgb="FF202020"/>
        <rFont val="Arial"/>
        <family val="0"/>
        <charset val="1"/>
      </rPr>
      <t xml:space="preserve">(2шт)
HN19 Smart watch display stand(2шт)</t>
    </r>
  </si>
  <si>
    <t xml:space="preserve">Product material: transparent acrylic(polymethyl methacrylate)
Product size: 120*170*H40mm
Packing size: 155*190*65mm
Package weight: 0.76KG
Note: The color page prints itself</t>
  </si>
  <si>
    <t xml:space="preserve">HOCO версия 8.0 (передняя сторона) &amp; BOROFONE версия 6.0 (задняя сторона) цветные коробки (560X245X310)</t>
  </si>
  <si>
    <r>
      <rPr>
        <sz val="9"/>
        <color theme="1" tint="0.2499"/>
        <rFont val="微软雅黑"/>
        <family val="0"/>
        <charset val="134"/>
      </rPr>
      <t xml:space="preserve">Размер</t>
    </r>
    <r>
      <rPr>
        <sz val="9"/>
        <color theme="1" tint="0.2499"/>
        <rFont val="Noto Sans"/>
        <family val="2"/>
      </rPr>
      <t xml:space="preserve">：</t>
    </r>
    <r>
      <rPr>
        <sz val="9"/>
        <color theme="1" tint="0.2499"/>
        <rFont val="微软雅黑"/>
        <family val="0"/>
        <charset val="134"/>
      </rPr>
      <t xml:space="preserve">560X245X310mm</t>
    </r>
  </si>
  <si>
    <r>
      <rPr>
        <sz val="11"/>
        <color rgb="FF202020"/>
        <rFont val="Arial"/>
        <family val="0"/>
        <charset val="1"/>
      </rPr>
      <t xml:space="preserve">BOROFONE Wall paper 6.0 version
BOROFONE.</t>
    </r>
    <r>
      <rPr>
        <sz val="11"/>
        <color rgb="FF202020"/>
        <rFont val="Noto Sans"/>
        <family val="2"/>
      </rPr>
      <t xml:space="preserve">墙纸背胶</t>
    </r>
    <r>
      <rPr>
        <sz val="11"/>
        <color rgb="FF202020"/>
        <rFont val="Arial"/>
        <family val="0"/>
        <charset val="1"/>
      </rPr>
      <t xml:space="preserve">6.0</t>
    </r>
    <r>
      <rPr>
        <sz val="11"/>
        <color rgb="FF202020"/>
        <rFont val="Noto Sans"/>
        <family val="2"/>
      </rPr>
      <t xml:space="preserve">版本（</t>
    </r>
    <r>
      <rPr>
        <sz val="11"/>
        <color rgb="FF202020"/>
        <rFont val="Arial"/>
        <family val="0"/>
        <charset val="1"/>
      </rPr>
      <t xml:space="preserve">18</t>
    </r>
    <r>
      <rPr>
        <sz val="11"/>
        <color rgb="FF202020"/>
        <rFont val="Noto Sans"/>
        <family val="2"/>
      </rPr>
      <t xml:space="preserve">平方一套）</t>
    </r>
  </si>
  <si>
    <r>
      <rPr>
        <sz val="9"/>
        <color theme="1" tint="0.2499"/>
        <rFont val="微软雅黑"/>
        <family val="0"/>
        <charset val="134"/>
      </rPr>
      <t xml:space="preserve">(18</t>
    </r>
    <r>
      <rPr>
        <sz val="9"/>
        <color theme="1" tint="0.2499"/>
        <rFont val="Noto Sans"/>
        <family val="2"/>
      </rPr>
      <t xml:space="preserve">㎡</t>
    </r>
    <r>
      <rPr>
        <sz val="9"/>
        <color theme="1" tint="0.2499"/>
        <rFont val="微软雅黑"/>
        <family val="0"/>
        <charset val="134"/>
      </rPr>
      <t xml:space="preserve">/комплект)
(1m*3m)*6шт</t>
    </r>
  </si>
  <si>
    <r>
      <rPr>
        <sz val="11"/>
        <color rgb="FF202020"/>
        <rFont val="Arial"/>
        <family val="0"/>
        <charset val="1"/>
      </rPr>
      <t xml:space="preserve">BOROFONE.2024</t>
    </r>
    <r>
      <rPr>
        <sz val="11"/>
        <color rgb="FF202020"/>
        <rFont val="Noto Sans"/>
        <family val="2"/>
      </rPr>
      <t xml:space="preserve">款形象店圆领</t>
    </r>
    <r>
      <rPr>
        <sz val="11"/>
        <color rgb="FF202020"/>
        <rFont val="Arial"/>
        <family val="0"/>
        <charset val="1"/>
      </rPr>
      <t xml:space="preserve">T</t>
    </r>
    <r>
      <rPr>
        <sz val="11"/>
        <color rgb="FF202020"/>
        <rFont val="Noto Sans"/>
        <family val="2"/>
      </rPr>
      <t xml:space="preserve">恤 深灰色
</t>
    </r>
    <r>
      <rPr>
        <sz val="11"/>
        <color rgb="FF202020"/>
        <rFont val="Arial"/>
        <family val="0"/>
        <charset val="1"/>
      </rPr>
      <t xml:space="preserve">BOROFONE.2024 Special store round neck T-shirt-</t>
    </r>
  </si>
  <si>
    <t xml:space="preserve">Материал: 100% полиэстер
(Размеры: S, M, L, XL, XXL, XXXL, XXXXL)</t>
  </si>
  <si>
    <t xml:space="preserve">/</t>
  </si>
  <si>
    <t xml:space="preserve">BOROFONE shop 2018 футболка (S,M,L,XL,XXL)</t>
  </si>
  <si>
    <t xml:space="preserve">Material: Cotton+Polyester Fiber - Knitted
(S,M,L,XL,XXL)</t>
  </si>
  <si>
    <t xml:space="preserve">BOROFONE пакет</t>
  </si>
  <si>
    <r>
      <rPr>
        <sz val="9"/>
        <color theme="1" tint="0.2499"/>
        <rFont val="微软雅黑"/>
        <family val="0"/>
        <charset val="134"/>
      </rPr>
      <t xml:space="preserve">Material: PE (polyethylene)
big size</t>
    </r>
    <r>
      <rPr>
        <sz val="9"/>
        <color theme="1" tint="0.2499"/>
        <rFont val="Noto Sans"/>
        <family val="2"/>
      </rPr>
      <t xml:space="preserve">：</t>
    </r>
    <r>
      <rPr>
        <sz val="9"/>
        <color theme="1" tint="0.2499"/>
        <rFont val="微软雅黑"/>
        <family val="0"/>
        <charset val="134"/>
      </rPr>
      <t xml:space="preserve">40X58X18
       small size</t>
    </r>
    <r>
      <rPr>
        <sz val="9"/>
        <color theme="1" tint="0.2499"/>
        <rFont val="Noto Sans"/>
        <family val="2"/>
      </rPr>
      <t xml:space="preserve">：</t>
    </r>
    <r>
      <rPr>
        <sz val="9"/>
        <color theme="1" tint="0.2499"/>
        <rFont val="微软雅黑"/>
        <family val="0"/>
        <charset val="134"/>
      </rPr>
      <t xml:space="preserve">30X42X13</t>
    </r>
  </si>
  <si>
    <t xml:space="preserve">BOROFONE roller pen
08489</t>
  </si>
  <si>
    <t xml:space="preserve">Material: Plastic</t>
  </si>
  <si>
    <t xml:space="preserve">Название</t>
  </si>
  <si>
    <t xml:space="preserve">Размер (Д*Ш*В)
(L*W*H)</t>
  </si>
  <si>
    <t xml:space="preserve">Кол-во в коробке/Вес/CBM</t>
  </si>
  <si>
    <r>
      <rPr>
        <b val="true"/>
        <sz val="10"/>
        <color rgb="FF202020"/>
        <rFont val="Noto Sans"/>
        <family val="2"/>
      </rPr>
      <t xml:space="preserve">备注 </t>
    </r>
    <r>
      <rPr>
        <b val="true"/>
        <sz val="10"/>
        <color rgb="FF202020"/>
        <rFont val="Arial"/>
        <family val="0"/>
        <charset val="1"/>
      </rPr>
      <t xml:space="preserve">Remark</t>
    </r>
  </si>
  <si>
    <t xml:space="preserve">A1 Hook Shelf  3.0</t>
  </si>
  <si>
    <t xml:space="preserve">Спецификация: Л1200*Д300*Х2400мм
Размер упаковки-А.1260*340*200мм
Размер упаковки-Б.1220*650*100мм
Вес: 55,4 кг
Материал: железный квадратный проход 30 * 30 мм, электростатическая краска для распыления горячего расплава, плита МДФ со средним волокном, рекламное изображение плиты Шеврон из ПВХ, белый логотип для шелкографии, гальванический серебряный крючок L200 мм * 60 штук.</t>
  </si>
  <si>
    <r>
      <rPr>
        <sz val="9"/>
        <color theme="1" tint="0.2499"/>
        <rFont val="Noto Sans"/>
        <family val="2"/>
      </rPr>
      <t xml:space="preserve">单个货架打包件数
</t>
    </r>
    <r>
      <rPr>
        <sz val="9"/>
        <color theme="1" tint="0.2499"/>
        <rFont val="微软雅黑"/>
        <family val="0"/>
        <charset val="134"/>
      </rPr>
      <t xml:space="preserve">Packing Cartons Qty per Set</t>
    </r>
    <r>
      <rPr>
        <sz val="9"/>
        <color theme="1" tint="0.2499"/>
        <rFont val="Noto Sans"/>
        <family val="2"/>
      </rPr>
      <t xml:space="preserve">：</t>
    </r>
    <r>
      <rPr>
        <sz val="9"/>
        <color theme="1" tint="0.2499"/>
        <rFont val="微软雅黑"/>
        <family val="0"/>
        <charset val="134"/>
      </rPr>
      <t xml:space="preserve">2pc
</t>
    </r>
    <r>
      <rPr>
        <sz val="9"/>
        <color theme="1" tint="0.2499"/>
        <rFont val="Noto Sans"/>
        <family val="2"/>
      </rPr>
      <t xml:space="preserve">单个货架重量
</t>
    </r>
    <r>
      <rPr>
        <sz val="9"/>
        <color theme="1" tint="0.2499"/>
        <rFont val="微软雅黑"/>
        <family val="0"/>
        <charset val="134"/>
      </rPr>
      <t xml:space="preserve">Product Weight(kg)/set</t>
    </r>
    <r>
      <rPr>
        <sz val="9"/>
        <color theme="1" tint="0.2499"/>
        <rFont val="Noto Sans"/>
        <family val="2"/>
      </rPr>
      <t xml:space="preserve">：</t>
    </r>
    <r>
      <rPr>
        <sz val="9"/>
        <color theme="1" tint="0.2499"/>
        <rFont val="微软雅黑"/>
        <family val="0"/>
        <charset val="134"/>
      </rPr>
      <t xml:space="preserve">55.4kg
</t>
    </r>
    <r>
      <rPr>
        <sz val="9"/>
        <color theme="1" tint="0.2499"/>
        <rFont val="Noto Sans"/>
        <family val="2"/>
      </rPr>
      <t xml:space="preserve">打包尺寸：
</t>
    </r>
    <r>
      <rPr>
        <sz val="9"/>
        <color theme="1" tint="0.2499"/>
        <rFont val="微软雅黑"/>
        <family val="0"/>
        <charset val="134"/>
      </rPr>
      <t xml:space="preserve">Packing size:0.166</t>
    </r>
  </si>
  <si>
    <t xml:space="preserve">Доставка в
Шэньчжэнь / Гуанчжоу
Доставка: 6 дней</t>
  </si>
  <si>
    <t xml:space="preserve">A2 Laminated Board Shelf  3.0</t>
  </si>
  <si>
    <r>
      <rPr>
        <sz val="9"/>
        <color rgb="FFFF0000"/>
        <rFont val="微软雅黑"/>
        <family val="0"/>
        <charset val="134"/>
      </rPr>
      <t xml:space="preserve">Размер</t>
    </r>
    <r>
      <rPr>
        <sz val="9"/>
        <color rgb="FFFF0000"/>
        <rFont val="Noto Sans"/>
        <family val="2"/>
      </rPr>
      <t xml:space="preserve">：</t>
    </r>
    <r>
      <rPr>
        <sz val="9"/>
        <color rgb="FFFF0000"/>
        <rFont val="微软雅黑"/>
        <family val="0"/>
        <charset val="134"/>
      </rPr>
      <t xml:space="preserve">Д600*Г300*В2400мм
                Размер упаковки: 1250*640*130 мм
Вес: 31,8 кг
</t>
    </r>
    <r>
      <rPr>
        <sz val="9"/>
        <color theme="1" tint="0.2499"/>
        <rFont val="微软雅黑"/>
        <family val="0"/>
        <charset val="134"/>
      </rPr>
      <t xml:space="preserve">Материал: железный квадратный проход 30 * 30 мм, электростатическая краска для горячего распыления, древесная плита МДФ со средним содержанием волокна, шелкография черный логотип, гальванический серебряный крючок L200 мм * 20 / диаметр проволоки * 5 мм, крест Фигурная скобка *5.</t>
    </r>
  </si>
  <si>
    <r>
      <rPr>
        <sz val="9"/>
        <color theme="1" tint="0.2499"/>
        <rFont val="Noto Sans"/>
        <family val="2"/>
      </rPr>
      <t xml:space="preserve">单个货架打包件数
</t>
    </r>
    <r>
      <rPr>
        <sz val="8.5"/>
        <color rgb="FF333333"/>
        <rFont val="微软雅黑"/>
        <family val="0"/>
        <charset val="134"/>
      </rPr>
      <t xml:space="preserve">Packing  Cartons Qty per Set</t>
    </r>
    <r>
      <rPr>
        <sz val="8.5"/>
        <color rgb="FF333333"/>
        <rFont val="Noto Sans"/>
        <family val="2"/>
      </rPr>
      <t xml:space="preserve">：</t>
    </r>
    <r>
      <rPr>
        <sz val="8.5"/>
        <color rgb="FF333333"/>
        <rFont val="微软雅黑"/>
        <family val="0"/>
        <charset val="134"/>
      </rPr>
      <t xml:space="preserve">1pc
</t>
    </r>
    <r>
      <rPr>
        <sz val="9"/>
        <color theme="1" tint="0.2499"/>
        <rFont val="微软雅黑"/>
        <family val="0"/>
        <charset val="134"/>
      </rPr>
      <t xml:space="preserve">
</t>
    </r>
    <r>
      <rPr>
        <sz val="9"/>
        <color theme="1" tint="0.2499"/>
        <rFont val="Noto Sans"/>
        <family val="2"/>
      </rPr>
      <t xml:space="preserve">单个货架重量
</t>
    </r>
    <r>
      <rPr>
        <sz val="9"/>
        <color theme="1" tint="0.2499"/>
        <rFont val="微软雅黑"/>
        <family val="0"/>
        <charset val="134"/>
      </rPr>
      <t xml:space="preserve">Product Weight(kg)/set</t>
    </r>
    <r>
      <rPr>
        <sz val="9"/>
        <color theme="1" tint="0.2499"/>
        <rFont val="Noto Sans"/>
        <family val="2"/>
      </rPr>
      <t xml:space="preserve">：</t>
    </r>
    <r>
      <rPr>
        <sz val="9"/>
        <color theme="1" tint="0.2499"/>
        <rFont val="微软雅黑"/>
        <family val="0"/>
        <charset val="134"/>
      </rPr>
      <t xml:space="preserve">31.8kg
</t>
    </r>
    <r>
      <rPr>
        <sz val="9"/>
        <color theme="1" tint="0.2499"/>
        <rFont val="Noto Sans"/>
        <family val="2"/>
      </rPr>
      <t xml:space="preserve">体积</t>
    </r>
    <r>
      <rPr>
        <sz val="9"/>
        <color theme="1" tint="0.2499"/>
        <rFont val="微软雅黑"/>
        <family val="0"/>
        <charset val="134"/>
      </rPr>
      <t xml:space="preserve">CBM/set</t>
    </r>
    <r>
      <rPr>
        <sz val="9"/>
        <color theme="1" tint="0.2499"/>
        <rFont val="Noto Sans"/>
        <family val="2"/>
      </rPr>
      <t xml:space="preserve">：</t>
    </r>
    <r>
      <rPr>
        <sz val="9"/>
        <color theme="1" tint="0.2499"/>
        <rFont val="微软雅黑"/>
        <family val="0"/>
        <charset val="134"/>
      </rPr>
      <t xml:space="preserve">0.104</t>
    </r>
  </si>
  <si>
    <t xml:space="preserve">T03 Experience desk standard 3.0</t>
  </si>
  <si>
    <t xml:space="preserve">Технические характеристики: Л1000*Д550*Х980мм
Вес продукта: 44,5 кг
Размер упаковки: 1020*590*140 мм
Материал: железный квадратный проход 30 * 30 мм, электростатическая распыляемая краска-расплав, древесная плита МДФ из среднего волокна, рекламная покраска полипропиленового клея, гальванический серебряный крючок L200 мм * 30 / диаметр проволоки * 5 мм + L100 мм * 30 / диаметр проволоки * 4 мм, поперечная скоба * 4</t>
  </si>
  <si>
    <r>
      <rPr>
        <sz val="9"/>
        <color theme="1" tint="0.2499"/>
        <rFont val="Noto Sans"/>
        <family val="2"/>
      </rPr>
      <t xml:space="preserve">单个货架打包件数
</t>
    </r>
    <r>
      <rPr>
        <sz val="9"/>
        <color theme="1" tint="0.2499"/>
        <rFont val="微软雅黑"/>
        <family val="0"/>
        <charset val="134"/>
      </rPr>
      <t xml:space="preserve">Packing Cartons Qty per Set</t>
    </r>
    <r>
      <rPr>
        <sz val="9"/>
        <color theme="1" tint="0.2499"/>
        <rFont val="Noto Sans"/>
        <family val="2"/>
      </rPr>
      <t xml:space="preserve">：</t>
    </r>
    <r>
      <rPr>
        <sz val="9"/>
        <color theme="1" tint="0.2499"/>
        <rFont val="微软雅黑"/>
        <family val="0"/>
        <charset val="134"/>
      </rPr>
      <t xml:space="preserve">1pc
</t>
    </r>
    <r>
      <rPr>
        <sz val="9"/>
        <color theme="1" tint="0.2499"/>
        <rFont val="Noto Sans"/>
        <family val="2"/>
      </rPr>
      <t xml:space="preserve">单个货架重量
</t>
    </r>
    <r>
      <rPr>
        <sz val="9"/>
        <color theme="1" tint="0.2499"/>
        <rFont val="微软雅黑"/>
        <family val="0"/>
        <charset val="134"/>
      </rPr>
      <t xml:space="preserve">Product Weight(kg)/set</t>
    </r>
    <r>
      <rPr>
        <sz val="9"/>
        <color theme="1" tint="0.2499"/>
        <rFont val="Noto Sans"/>
        <family val="2"/>
      </rPr>
      <t xml:space="preserve">：</t>
    </r>
    <r>
      <rPr>
        <sz val="9"/>
        <color theme="1" tint="0.2499"/>
        <rFont val="微软雅黑"/>
        <family val="0"/>
        <charset val="134"/>
      </rPr>
      <t xml:space="preserve">44.5kg
</t>
    </r>
    <r>
      <rPr>
        <sz val="9"/>
        <color theme="1" tint="0.2499"/>
        <rFont val="Noto Sans"/>
        <family val="2"/>
      </rPr>
      <t xml:space="preserve">打包尺寸：
</t>
    </r>
    <r>
      <rPr>
        <sz val="9"/>
        <color theme="1" tint="0.2499"/>
        <rFont val="微软雅黑"/>
        <family val="0"/>
        <charset val="134"/>
      </rPr>
      <t xml:space="preserve">Packing size:0.0843</t>
    </r>
  </si>
  <si>
    <t xml:space="preserve">3m Combination( 2set A1,1set A2)3.0</t>
  </si>
  <si>
    <r>
      <rPr>
        <sz val="9"/>
        <color theme="1" tint="0.2499"/>
        <rFont val="微软雅黑"/>
        <family val="0"/>
        <charset val="134"/>
      </rPr>
      <t xml:space="preserve">size</t>
    </r>
    <r>
      <rPr>
        <sz val="9"/>
        <color theme="1" tint="0.2499"/>
        <rFont val="Noto Sans"/>
        <family val="2"/>
      </rPr>
      <t xml:space="preserve">：</t>
    </r>
    <r>
      <rPr>
        <sz val="9"/>
        <color theme="1" tint="0.2499"/>
        <rFont val="微软雅黑"/>
        <family val="0"/>
        <charset val="134"/>
      </rPr>
      <t xml:space="preserve">L3000*D300*H2400mm</t>
    </r>
  </si>
  <si>
    <r>
      <rPr>
        <sz val="9"/>
        <color theme="1" tint="0.2499"/>
        <rFont val="Noto Sans"/>
        <family val="2"/>
      </rPr>
      <t xml:space="preserve">单个货架打包件数
</t>
    </r>
    <r>
      <rPr>
        <sz val="8.5"/>
        <color rgb="FF333333"/>
        <rFont val="微软雅黑"/>
        <family val="0"/>
        <charset val="134"/>
      </rPr>
      <t xml:space="preserve">Packing  Cartons Qty per Set</t>
    </r>
    <r>
      <rPr>
        <sz val="8.5"/>
        <color rgb="FF333333"/>
        <rFont val="Noto Sans"/>
        <family val="2"/>
      </rPr>
      <t xml:space="preserve">：</t>
    </r>
    <r>
      <rPr>
        <sz val="9"/>
        <color theme="1" tint="0.2499"/>
        <rFont val="微软雅黑"/>
        <family val="0"/>
        <charset val="134"/>
      </rPr>
      <t xml:space="preserve">5</t>
    </r>
    <r>
      <rPr>
        <sz val="8.5"/>
        <color rgb="FF333333"/>
        <rFont val="微软雅黑"/>
        <family val="0"/>
        <charset val="134"/>
      </rPr>
      <t xml:space="preserve">pc
</t>
    </r>
    <r>
      <rPr>
        <sz val="9"/>
        <color theme="1" tint="0.2499"/>
        <rFont val="微软雅黑"/>
        <family val="0"/>
        <charset val="134"/>
      </rPr>
      <t xml:space="preserve">
</t>
    </r>
    <r>
      <rPr>
        <sz val="9"/>
        <color theme="1" tint="0.2499"/>
        <rFont val="Noto Sans"/>
        <family val="2"/>
      </rPr>
      <t xml:space="preserve">单个货架重量
</t>
    </r>
    <r>
      <rPr>
        <sz val="9"/>
        <color theme="1" tint="0.2499"/>
        <rFont val="微软雅黑"/>
        <family val="0"/>
        <charset val="134"/>
      </rPr>
      <t xml:space="preserve">Product Weight(kg)/set</t>
    </r>
    <r>
      <rPr>
        <sz val="9"/>
        <color theme="1" tint="0.2499"/>
        <rFont val="Noto Sans"/>
        <family val="2"/>
      </rPr>
      <t xml:space="preserve">：</t>
    </r>
    <r>
      <rPr>
        <sz val="9"/>
        <color theme="1" tint="0.2499"/>
        <rFont val="微软雅黑"/>
        <family val="0"/>
        <charset val="134"/>
      </rPr>
      <t xml:space="preserve">142.6kg
</t>
    </r>
    <r>
      <rPr>
        <sz val="9"/>
        <color theme="1" tint="0.2499"/>
        <rFont val="Noto Sans"/>
        <family val="2"/>
      </rPr>
      <t xml:space="preserve">体积</t>
    </r>
    <r>
      <rPr>
        <sz val="9"/>
        <color theme="1" tint="0.2499"/>
        <rFont val="微软雅黑"/>
        <family val="0"/>
        <charset val="134"/>
      </rPr>
      <t xml:space="preserve">CBM/set</t>
    </r>
    <r>
      <rPr>
        <sz val="9"/>
        <color theme="1" tint="0.2499"/>
        <rFont val="Noto Sans"/>
        <family val="2"/>
      </rPr>
      <t xml:space="preserve">：</t>
    </r>
    <r>
      <rPr>
        <sz val="9"/>
        <color theme="1" tint="0.2499"/>
        <rFont val="微软雅黑"/>
        <family val="0"/>
        <charset val="134"/>
      </rPr>
      <t xml:space="preserve">0.436m³</t>
    </r>
  </si>
  <si>
    <t xml:space="preserve">3.6m Combination ( 2set A1, 2set A2)3.0</t>
  </si>
  <si>
    <r>
      <rPr>
        <sz val="9"/>
        <color theme="1" tint="0.2499"/>
        <rFont val="微软雅黑"/>
        <family val="0"/>
        <charset val="134"/>
      </rPr>
      <t xml:space="preserve">size</t>
    </r>
    <r>
      <rPr>
        <sz val="9"/>
        <color theme="1" tint="0.2499"/>
        <rFont val="Noto Sans"/>
        <family val="2"/>
      </rPr>
      <t xml:space="preserve">：</t>
    </r>
    <r>
      <rPr>
        <sz val="9"/>
        <color theme="1" tint="0.2499"/>
        <rFont val="微软雅黑"/>
        <family val="0"/>
        <charset val="134"/>
      </rPr>
      <t xml:space="preserve">L3600*D300*H2400mm</t>
    </r>
  </si>
  <si>
    <r>
      <rPr>
        <sz val="9"/>
        <color theme="1" tint="0.2499"/>
        <rFont val="Noto Sans"/>
        <family val="2"/>
      </rPr>
      <t xml:space="preserve">单个货架打包件数
</t>
    </r>
    <r>
      <rPr>
        <sz val="8.5"/>
        <color rgb="FF333333"/>
        <rFont val="微软雅黑"/>
        <family val="0"/>
        <charset val="134"/>
      </rPr>
      <t xml:space="preserve">Packing  Cartons Qty per Set</t>
    </r>
    <r>
      <rPr>
        <sz val="8.5"/>
        <color rgb="FF333333"/>
        <rFont val="Noto Sans"/>
        <family val="2"/>
      </rPr>
      <t xml:space="preserve">：</t>
    </r>
    <r>
      <rPr>
        <sz val="9"/>
        <color theme="1" tint="0.2499"/>
        <rFont val="微软雅黑"/>
        <family val="0"/>
        <charset val="134"/>
      </rPr>
      <t xml:space="preserve">6pc
</t>
    </r>
    <r>
      <rPr>
        <sz val="9"/>
        <color theme="1" tint="0.2499"/>
        <rFont val="Noto Sans"/>
        <family val="2"/>
      </rPr>
      <t xml:space="preserve">单个货架重量
</t>
    </r>
    <r>
      <rPr>
        <sz val="9"/>
        <color theme="1" tint="0.2499"/>
        <rFont val="微软雅黑"/>
        <family val="0"/>
        <charset val="134"/>
      </rPr>
      <t xml:space="preserve">Product Weight(kg)/set</t>
    </r>
    <r>
      <rPr>
        <sz val="9"/>
        <color theme="1" tint="0.2499"/>
        <rFont val="Noto Sans"/>
        <family val="2"/>
      </rPr>
      <t xml:space="preserve">：</t>
    </r>
    <r>
      <rPr>
        <sz val="9"/>
        <color theme="1" tint="0.2499"/>
        <rFont val="微软雅黑"/>
        <family val="0"/>
        <charset val="134"/>
      </rPr>
      <t xml:space="preserve">174.4kg
</t>
    </r>
    <r>
      <rPr>
        <sz val="9"/>
        <color theme="1" tint="0.2499"/>
        <rFont val="Noto Sans"/>
        <family val="2"/>
      </rPr>
      <t xml:space="preserve">体积</t>
    </r>
    <r>
      <rPr>
        <sz val="9"/>
        <color theme="1" tint="0.2499"/>
        <rFont val="微软雅黑"/>
        <family val="0"/>
        <charset val="134"/>
      </rPr>
      <t xml:space="preserve">CBM/set</t>
    </r>
    <r>
      <rPr>
        <sz val="9"/>
        <color theme="1" tint="0.2499"/>
        <rFont val="Noto Sans"/>
        <family val="2"/>
      </rPr>
      <t xml:space="preserve">：</t>
    </r>
    <r>
      <rPr>
        <sz val="9"/>
        <color theme="1" tint="0.2499"/>
        <rFont val="微软雅黑"/>
        <family val="0"/>
        <charset val="134"/>
      </rPr>
      <t xml:space="preserve">0.54m³</t>
    </r>
  </si>
  <si>
    <t xml:space="preserve">4.2m Combination( 2et A1, 3set A2)3.0</t>
  </si>
  <si>
    <r>
      <rPr>
        <sz val="9"/>
        <color theme="1" tint="0.2499"/>
        <rFont val="微软雅黑"/>
        <family val="0"/>
        <charset val="134"/>
      </rPr>
      <t xml:space="preserve">size</t>
    </r>
    <r>
      <rPr>
        <sz val="9"/>
        <color theme="1" tint="0.2499"/>
        <rFont val="Noto Sans"/>
        <family val="2"/>
      </rPr>
      <t xml:space="preserve">：</t>
    </r>
    <r>
      <rPr>
        <sz val="9"/>
        <color theme="1" tint="0.2499"/>
        <rFont val="微软雅黑"/>
        <family val="0"/>
        <charset val="134"/>
      </rPr>
      <t xml:space="preserve">L4200*D300*H2400mm</t>
    </r>
  </si>
  <si>
    <r>
      <rPr>
        <sz val="9"/>
        <color theme="1" tint="0.2499"/>
        <rFont val="Noto Sans"/>
        <family val="2"/>
      </rPr>
      <t xml:space="preserve">单个货架打包件数
</t>
    </r>
    <r>
      <rPr>
        <sz val="8"/>
        <color theme="1" tint="0.2499"/>
        <rFont val="微软雅黑"/>
        <family val="0"/>
        <charset val="134"/>
      </rPr>
      <t xml:space="preserve">Packing Cartons Qty per Set</t>
    </r>
    <r>
      <rPr>
        <sz val="8"/>
        <color theme="1" tint="0.2499"/>
        <rFont val="Noto Sans"/>
        <family val="2"/>
      </rPr>
      <t xml:space="preserve">：</t>
    </r>
    <r>
      <rPr>
        <sz val="9"/>
        <color theme="1" tint="0.2499"/>
        <rFont val="微软雅黑"/>
        <family val="0"/>
        <charset val="134"/>
      </rPr>
      <t xml:space="preserve">7pc
</t>
    </r>
    <r>
      <rPr>
        <sz val="9"/>
        <color theme="1" tint="0.2499"/>
        <rFont val="Noto Sans"/>
        <family val="2"/>
      </rPr>
      <t xml:space="preserve">单个货架重量
</t>
    </r>
    <r>
      <rPr>
        <sz val="9"/>
        <color theme="1" tint="0.2499"/>
        <rFont val="微软雅黑"/>
        <family val="0"/>
        <charset val="134"/>
      </rPr>
      <t xml:space="preserve">Product Weight(kg)/set</t>
    </r>
    <r>
      <rPr>
        <sz val="9"/>
        <color theme="1" tint="0.2499"/>
        <rFont val="Noto Sans"/>
        <family val="2"/>
      </rPr>
      <t xml:space="preserve">：</t>
    </r>
    <r>
      <rPr>
        <sz val="9"/>
        <color theme="1" tint="0.2499"/>
        <rFont val="微软雅黑"/>
        <family val="0"/>
        <charset val="134"/>
      </rPr>
      <t xml:space="preserve">206.2kg
</t>
    </r>
    <r>
      <rPr>
        <sz val="9"/>
        <color theme="1" tint="0.2499"/>
        <rFont val="Noto Sans"/>
        <family val="2"/>
      </rPr>
      <t xml:space="preserve">体积</t>
    </r>
    <r>
      <rPr>
        <sz val="9"/>
        <color theme="1" tint="0.2499"/>
        <rFont val="微软雅黑"/>
        <family val="0"/>
        <charset val="134"/>
      </rPr>
      <t xml:space="preserve">CBM/set</t>
    </r>
    <r>
      <rPr>
        <sz val="9"/>
        <color theme="1" tint="0.2499"/>
        <rFont val="Noto Sans"/>
        <family val="2"/>
      </rPr>
      <t xml:space="preserve">：</t>
    </r>
    <r>
      <rPr>
        <sz val="9"/>
        <color theme="1" tint="0.2499"/>
        <rFont val="微软雅黑"/>
        <family val="0"/>
        <charset val="134"/>
      </rPr>
      <t xml:space="preserve">0.644m³</t>
    </r>
  </si>
  <si>
    <t xml:space="preserve">4.8m Combination( 4set A1)3.0</t>
  </si>
  <si>
    <r>
      <rPr>
        <sz val="9"/>
        <color theme="1" tint="0.2499"/>
        <rFont val="微软雅黑"/>
        <family val="0"/>
        <charset val="134"/>
      </rPr>
      <t xml:space="preserve">size</t>
    </r>
    <r>
      <rPr>
        <sz val="9"/>
        <color theme="1" tint="0.2499"/>
        <rFont val="Noto Sans"/>
        <family val="2"/>
      </rPr>
      <t xml:space="preserve">：</t>
    </r>
    <r>
      <rPr>
        <sz val="9"/>
        <color theme="1" tint="0.2499"/>
        <rFont val="微软雅黑"/>
        <family val="0"/>
        <charset val="134"/>
      </rPr>
      <t xml:space="preserve">L4800*D300*H2400mm</t>
    </r>
  </si>
  <si>
    <r>
      <rPr>
        <sz val="9"/>
        <color theme="1" tint="0.2499"/>
        <rFont val="Noto Sans"/>
        <family val="2"/>
      </rPr>
      <t xml:space="preserve">单个货架打包件数
</t>
    </r>
    <r>
      <rPr>
        <sz val="8"/>
        <color theme="1" tint="0.2499"/>
        <rFont val="微软雅黑"/>
        <family val="0"/>
        <charset val="134"/>
      </rPr>
      <t xml:space="preserve">Packing  Cartons Qty per Set</t>
    </r>
    <r>
      <rPr>
        <sz val="8"/>
        <color theme="1" tint="0.2499"/>
        <rFont val="Noto Sans"/>
        <family val="2"/>
      </rPr>
      <t xml:space="preserve">：</t>
    </r>
    <r>
      <rPr>
        <sz val="9"/>
        <color theme="1" tint="0.2499"/>
        <rFont val="微软雅黑"/>
        <family val="0"/>
        <charset val="134"/>
      </rPr>
      <t xml:space="preserve">8</t>
    </r>
    <r>
      <rPr>
        <sz val="8"/>
        <color theme="1" tint="0.2499"/>
        <rFont val="微软雅黑"/>
        <family val="0"/>
        <charset val="134"/>
      </rPr>
      <t xml:space="preserve">pc
</t>
    </r>
    <r>
      <rPr>
        <sz val="9"/>
        <color theme="1" tint="0.2499"/>
        <rFont val="微软雅黑"/>
        <family val="0"/>
        <charset val="134"/>
      </rPr>
      <t xml:space="preserve">
</t>
    </r>
    <r>
      <rPr>
        <sz val="9"/>
        <color theme="1" tint="0.2499"/>
        <rFont val="Noto Sans"/>
        <family val="2"/>
      </rPr>
      <t xml:space="preserve">单个货架重量
</t>
    </r>
    <r>
      <rPr>
        <sz val="9"/>
        <color theme="1" tint="0.2499"/>
        <rFont val="微软雅黑"/>
        <family val="0"/>
        <charset val="134"/>
      </rPr>
      <t xml:space="preserve">Product Weight(kg)/set</t>
    </r>
    <r>
      <rPr>
        <sz val="9"/>
        <color theme="1" tint="0.2499"/>
        <rFont val="Noto Sans"/>
        <family val="2"/>
      </rPr>
      <t xml:space="preserve">：</t>
    </r>
    <r>
      <rPr>
        <sz val="9"/>
        <color theme="1" tint="0.2499"/>
        <rFont val="微软雅黑"/>
        <family val="0"/>
        <charset val="134"/>
      </rPr>
      <t xml:space="preserve">221.6kg
</t>
    </r>
    <r>
      <rPr>
        <sz val="9"/>
        <color theme="1" tint="0.2499"/>
        <rFont val="Noto Sans"/>
        <family val="2"/>
      </rPr>
      <t xml:space="preserve">体积</t>
    </r>
    <r>
      <rPr>
        <sz val="9"/>
        <color theme="1" tint="0.2499"/>
        <rFont val="微软雅黑"/>
        <family val="0"/>
        <charset val="134"/>
      </rPr>
      <t xml:space="preserve">CBM/set</t>
    </r>
    <r>
      <rPr>
        <sz val="9"/>
        <color theme="1" tint="0.2499"/>
        <rFont val="Noto Sans"/>
        <family val="2"/>
      </rPr>
      <t xml:space="preserve">：</t>
    </r>
    <r>
      <rPr>
        <sz val="9"/>
        <color theme="1" tint="0.2499"/>
        <rFont val="微软雅黑"/>
        <family val="0"/>
        <charset val="134"/>
      </rPr>
      <t xml:space="preserve">0.664m³</t>
    </r>
  </si>
  <si>
    <t xml:space="preserve">5.4m Combination( 4set A1, 1set A2)3.0</t>
  </si>
  <si>
    <r>
      <rPr>
        <sz val="9"/>
        <color theme="1" tint="0.2499"/>
        <rFont val="微软雅黑"/>
        <family val="0"/>
        <charset val="134"/>
      </rPr>
      <t xml:space="preserve">size</t>
    </r>
    <r>
      <rPr>
        <sz val="9"/>
        <color theme="1" tint="0.2499"/>
        <rFont val="Noto Sans"/>
        <family val="2"/>
      </rPr>
      <t xml:space="preserve">：</t>
    </r>
    <r>
      <rPr>
        <sz val="9"/>
        <color theme="1" tint="0.2499"/>
        <rFont val="微软雅黑"/>
        <family val="0"/>
        <charset val="134"/>
      </rPr>
      <t xml:space="preserve">L5400*D300*H2400mm</t>
    </r>
  </si>
  <si>
    <r>
      <rPr>
        <sz val="9"/>
        <color theme="1" tint="0.2499"/>
        <rFont val="Noto Sans"/>
        <family val="2"/>
      </rPr>
      <t xml:space="preserve">单个货架打包件数
</t>
    </r>
    <r>
      <rPr>
        <sz val="8"/>
        <color theme="1" tint="0.2499"/>
        <rFont val="微软雅黑"/>
        <family val="0"/>
        <charset val="134"/>
      </rPr>
      <t xml:space="preserve">Packing  Cartons Qty per Set</t>
    </r>
    <r>
      <rPr>
        <sz val="9"/>
        <color theme="1" tint="0.2499"/>
        <rFont val="Noto Sans"/>
        <family val="2"/>
      </rPr>
      <t xml:space="preserve">：</t>
    </r>
    <r>
      <rPr>
        <sz val="9"/>
        <color theme="1" tint="0.2499"/>
        <rFont val="微软雅黑"/>
        <family val="0"/>
        <charset val="134"/>
      </rPr>
      <t xml:space="preserve">9pc
</t>
    </r>
    <r>
      <rPr>
        <sz val="9"/>
        <color theme="1" tint="0.2499"/>
        <rFont val="Noto Sans"/>
        <family val="2"/>
      </rPr>
      <t xml:space="preserve">单个货架重量
</t>
    </r>
    <r>
      <rPr>
        <sz val="9"/>
        <color theme="1" tint="0.2499"/>
        <rFont val="微软雅黑"/>
        <family val="0"/>
        <charset val="134"/>
      </rPr>
      <t xml:space="preserve">Product Weight(kg)/set</t>
    </r>
    <r>
      <rPr>
        <sz val="9"/>
        <color theme="1" tint="0.2499"/>
        <rFont val="Noto Sans"/>
        <family val="2"/>
      </rPr>
      <t xml:space="preserve">：</t>
    </r>
    <r>
      <rPr>
        <sz val="9"/>
        <color theme="1" tint="0.2499"/>
        <rFont val="微软雅黑"/>
        <family val="0"/>
        <charset val="134"/>
      </rPr>
      <t xml:space="preserve">253.4kg
</t>
    </r>
    <r>
      <rPr>
        <sz val="9"/>
        <color theme="1" tint="0.2499"/>
        <rFont val="Noto Sans"/>
        <family val="2"/>
      </rPr>
      <t xml:space="preserve">体积</t>
    </r>
    <r>
      <rPr>
        <sz val="9"/>
        <color theme="1" tint="0.2499"/>
        <rFont val="微软雅黑"/>
        <family val="0"/>
        <charset val="134"/>
      </rPr>
      <t xml:space="preserve">CBM/set</t>
    </r>
    <r>
      <rPr>
        <sz val="9"/>
        <color theme="1" tint="0.2499"/>
        <rFont val="Noto Sans"/>
        <family val="2"/>
      </rPr>
      <t xml:space="preserve">：</t>
    </r>
    <r>
      <rPr>
        <sz val="9"/>
        <color theme="1" tint="0.2499"/>
        <rFont val="微软雅黑"/>
        <family val="0"/>
        <charset val="134"/>
      </rPr>
      <t xml:space="preserve">0.768m³</t>
    </r>
  </si>
  <si>
    <t xml:space="preserve">BN04 Single-sided promotional hook display stand</t>
  </si>
  <si>
    <t xml:space="preserve">Спецификация: W800 * D300 * H1760мм.
Размер упаковки:94.5*46*17.5cm,Вес: 20.5кг.
Материал: железный квадратный проход 30 * 30 мм, электростатическая краска для горячего распыления, древесная плита МДФ из среднего волокна, рекламная картина из полипропилена, черный слоган шелкографии, гальванический серебряный крючок L150 мм * 40 / диаметр проволоки * 4 мм (если вам нужно сопоставить 9,79 ₽ / шт.), поперечная скоба * 5.</t>
  </si>
  <si>
    <r>
      <rPr>
        <sz val="9"/>
        <color theme="1" tint="0.2499"/>
        <rFont val="Noto Sans"/>
        <family val="2"/>
      </rPr>
      <t xml:space="preserve">单个货架打包件数
</t>
    </r>
    <r>
      <rPr>
        <sz val="9"/>
        <color theme="1" tint="0.2499"/>
        <rFont val="微软雅黑"/>
        <family val="0"/>
        <charset val="134"/>
      </rPr>
      <t xml:space="preserve">Packing Cartons Qty per Set</t>
    </r>
    <r>
      <rPr>
        <sz val="9"/>
        <color theme="1" tint="0.2499"/>
        <rFont val="Noto Sans"/>
        <family val="2"/>
      </rPr>
      <t xml:space="preserve">：</t>
    </r>
    <r>
      <rPr>
        <sz val="9"/>
        <color theme="1" tint="0.2499"/>
        <rFont val="微软雅黑"/>
        <family val="0"/>
        <charset val="134"/>
      </rPr>
      <t xml:space="preserve">1pc
</t>
    </r>
    <r>
      <rPr>
        <sz val="9"/>
        <color theme="1" tint="0.2499"/>
        <rFont val="Noto Sans"/>
        <family val="2"/>
      </rPr>
      <t xml:space="preserve">单个货架重量
</t>
    </r>
    <r>
      <rPr>
        <sz val="9"/>
        <color theme="1" tint="0.2499"/>
        <rFont val="微软雅黑"/>
        <family val="0"/>
        <charset val="134"/>
      </rPr>
      <t xml:space="preserve">Product Weight(kg)/set</t>
    </r>
    <r>
      <rPr>
        <sz val="9"/>
        <color theme="1" tint="0.2499"/>
        <rFont val="Noto Sans"/>
        <family val="2"/>
      </rPr>
      <t xml:space="preserve">：</t>
    </r>
    <r>
      <rPr>
        <sz val="9"/>
        <color theme="1" tint="0.2499"/>
        <rFont val="微软雅黑"/>
        <family val="0"/>
        <charset val="134"/>
      </rPr>
      <t xml:space="preserve">19.3kg
</t>
    </r>
    <r>
      <rPr>
        <sz val="9"/>
        <color theme="1" tint="0.2499"/>
        <rFont val="Noto Sans"/>
        <family val="2"/>
      </rPr>
      <t xml:space="preserve">打包尺寸：
</t>
    </r>
    <r>
      <rPr>
        <sz val="9"/>
        <color theme="1" tint="0.2499"/>
        <rFont val="微软雅黑"/>
        <family val="0"/>
        <charset val="134"/>
      </rPr>
      <t xml:space="preserve">Packing size::94.5*46*17.5cm</t>
    </r>
  </si>
</sst>
</file>

<file path=xl/styles.xml><?xml version="1.0" encoding="utf-8"?>
<styleSheet xmlns="http://schemas.openxmlformats.org/spreadsheetml/2006/main">
  <numFmts count="9">
    <numFmt numFmtId="164" formatCode="General"/>
    <numFmt numFmtId="166" formatCode="0.00_ "/>
    <numFmt numFmtId="167" formatCode="0"/>
    <numFmt numFmtId="168" formatCode="#,##0.00&quot; ₽&quot;"/>
    <numFmt numFmtId="169" formatCode="0.###"/>
    <numFmt numFmtId="170" formatCode="0.000_ "/>
    <numFmt numFmtId="171" formatCode="#,##0"/>
    <numFmt numFmtId="173" formatCode="@"/>
    <numFmt numFmtId="174" formatCode="0_ "/>
  </numFmts>
  <fonts count="91">
    <font>
      <sz val="12"/>
      <name val="宋体"/>
      <family val="0"/>
      <charset val="134"/>
    </font>
    <font>
      <sz val="10"/>
      <name val="Arial"/>
      <family val="0"/>
    </font>
    <font>
      <sz val="10"/>
      <name val="Arial"/>
      <family val="0"/>
    </font>
    <font>
      <sz val="10"/>
      <name val="Arial"/>
      <family val="0"/>
    </font>
    <font>
      <sz val="10"/>
      <name val="Arial"/>
      <family val="0"/>
      <charset val="1"/>
    </font>
    <font>
      <sz val="11"/>
      <color rgb="FF000000"/>
      <name val="宋体"/>
      <family val="0"/>
      <charset val="134"/>
    </font>
    <font>
      <sz val="10"/>
      <color rgb="FF000000"/>
      <name val="宋体"/>
      <family val="0"/>
      <charset val="134"/>
    </font>
    <font>
      <sz val="12"/>
      <name val="微软雅黑"/>
      <family val="0"/>
      <charset val="134"/>
    </font>
    <font>
      <sz val="11"/>
      <color theme="1"/>
      <name val="等线"/>
      <family val="0"/>
      <charset val="134"/>
    </font>
    <font>
      <b val="true"/>
      <sz val="18"/>
      <color theme="1" tint="0.15"/>
      <name val="微软雅黑"/>
      <family val="0"/>
      <charset val="134"/>
    </font>
    <font>
      <b val="true"/>
      <sz val="10"/>
      <color theme="1" tint="0.2499"/>
      <name val="微软雅黑"/>
      <family val="0"/>
      <charset val="134"/>
    </font>
    <font>
      <sz val="10"/>
      <color theme="1" tint="0.2499"/>
      <name val="微软雅黑"/>
      <family val="0"/>
      <charset val="134"/>
    </font>
    <font>
      <sz val="9"/>
      <color theme="1" tint="0.2499"/>
      <name val="微软雅黑"/>
      <family val="0"/>
      <charset val="134"/>
    </font>
    <font>
      <u val="single"/>
      <sz val="11"/>
      <color rgb="FF0000FF"/>
      <name val="等线"/>
      <family val="0"/>
      <charset val="134"/>
    </font>
    <font>
      <sz val="9"/>
      <color theme="1"/>
      <name val="微软雅黑"/>
      <family val="0"/>
      <charset val="134"/>
    </font>
    <font>
      <sz val="9"/>
      <color theme="1"/>
      <name val="宋体"/>
      <family val="0"/>
      <charset val="134"/>
    </font>
    <font>
      <sz val="10"/>
      <color theme="1"/>
      <name val="微软雅黑"/>
      <family val="0"/>
      <charset val="134"/>
    </font>
    <font>
      <sz val="10"/>
      <color theme="1"/>
      <name val="宋体"/>
      <family val="0"/>
      <charset val="134"/>
    </font>
    <font>
      <b val="true"/>
      <sz val="9"/>
      <color theme="1" tint="0.2499"/>
      <name val="微软雅黑"/>
      <family val="0"/>
      <charset val="134"/>
    </font>
    <font>
      <sz val="11"/>
      <color theme="1" tint="0.2499"/>
      <name val="微软雅黑"/>
      <family val="0"/>
      <charset val="134"/>
    </font>
    <font>
      <sz val="9"/>
      <color theme="1" tint="0.2499"/>
      <name val="Noto Sans"/>
      <family val="2"/>
    </font>
    <font>
      <b val="true"/>
      <sz val="8"/>
      <name val="微软雅黑"/>
      <family val="0"/>
      <charset val="134"/>
    </font>
    <font>
      <sz val="8"/>
      <name val="微软雅黑"/>
      <family val="0"/>
      <charset val="134"/>
    </font>
    <font>
      <sz val="8"/>
      <color theme="1"/>
      <name val="微软雅黑"/>
      <family val="0"/>
      <charset val="134"/>
    </font>
    <font>
      <sz val="9"/>
      <name val="微软雅黑"/>
      <family val="0"/>
      <charset val="134"/>
    </font>
    <font>
      <b val="true"/>
      <sz val="11"/>
      <color theme="1"/>
      <name val="等线"/>
      <family val="0"/>
      <charset val="134"/>
    </font>
    <font>
      <b val="true"/>
      <sz val="13"/>
      <color rgb="FF171717"/>
      <name val="Arial"/>
      <family val="0"/>
      <charset val="1"/>
    </font>
    <font>
      <b val="true"/>
      <sz val="10"/>
      <color rgb="FF202020"/>
      <name val="Arial"/>
      <family val="0"/>
      <charset val="1"/>
    </font>
    <font>
      <sz val="9"/>
      <color rgb="FF000000"/>
      <name val="微软雅黑"/>
      <family val="0"/>
      <charset val="134"/>
    </font>
    <font>
      <b val="true"/>
      <i val="true"/>
      <sz val="11"/>
      <color rgb="FF171717"/>
      <name val="Arial"/>
      <family val="0"/>
      <charset val="1"/>
    </font>
    <font>
      <sz val="11"/>
      <color rgb="FF202020"/>
      <name val="Arial"/>
      <family val="0"/>
      <charset val="1"/>
    </font>
    <font>
      <sz val="9"/>
      <color theme="1" tint="0.2499"/>
      <name val="Calibri"/>
      <family val="0"/>
      <charset val="1"/>
    </font>
    <font>
      <sz val="10"/>
      <color rgb="FF202020"/>
      <name val="Arial"/>
      <family val="0"/>
      <charset val="1"/>
    </font>
    <font>
      <b val="true"/>
      <sz val="11"/>
      <color rgb="FF1F2937"/>
      <name val="Arial"/>
      <family val="0"/>
      <charset val="1"/>
    </font>
    <font>
      <u val="single"/>
      <sz val="9"/>
      <color theme="1" tint="0.2499"/>
      <name val="微软雅黑"/>
      <family val="0"/>
      <charset val="134"/>
    </font>
    <font>
      <b val="true"/>
      <sz val="12"/>
      <color theme="1" tint="0.2499"/>
      <name val="微软雅黑"/>
      <family val="0"/>
      <charset val="134"/>
    </font>
    <font>
      <sz val="8"/>
      <color rgb="FF000000"/>
      <name val="微软雅黑"/>
      <family val="0"/>
      <charset val="134"/>
    </font>
    <font>
      <u val="single"/>
      <sz val="8"/>
      <color theme="1" tint="0.2499"/>
      <name val="微软雅黑"/>
      <family val="0"/>
      <charset val="134"/>
    </font>
    <font>
      <b val="true"/>
      <sz val="12"/>
      <name val="微软雅黑"/>
      <family val="0"/>
      <charset val="134"/>
    </font>
    <font>
      <sz val="9"/>
      <color theme="1" tint="0.25"/>
      <name val="微软雅黑"/>
      <family val="0"/>
      <charset val="134"/>
    </font>
    <font>
      <u val="single"/>
      <sz val="9"/>
      <color theme="1" tint="0.25"/>
      <name val="微软雅黑"/>
      <family val="0"/>
      <charset val="134"/>
    </font>
    <font>
      <b val="true"/>
      <sz val="9"/>
      <color rgb="FFED752D"/>
      <name val="微软雅黑"/>
      <family val="0"/>
      <charset val="134"/>
    </font>
    <font>
      <b val="true"/>
      <sz val="10"/>
      <color rgb="FFED752D"/>
      <name val="微软雅黑"/>
      <family val="0"/>
      <charset val="134"/>
    </font>
    <font>
      <b val="true"/>
      <sz val="9"/>
      <color rgb="FFFF0000"/>
      <name val="微软雅黑"/>
      <family val="0"/>
      <charset val="134"/>
    </font>
    <font>
      <sz val="11"/>
      <color rgb="FF202020"/>
      <name val="Noto Sans"/>
      <family val="2"/>
    </font>
    <font>
      <b val="true"/>
      <sz val="9"/>
      <color rgb="FFFF0000"/>
      <name val="Noto Sans"/>
      <family val="2"/>
    </font>
    <font>
      <b val="true"/>
      <sz val="11"/>
      <color rgb="FF202020"/>
      <name val="Arial"/>
      <family val="0"/>
      <charset val="1"/>
    </font>
    <font>
      <sz val="11"/>
      <color theme="1"/>
      <name val="微软雅黑"/>
      <family val="0"/>
      <charset val="134"/>
    </font>
    <font>
      <u val="single"/>
      <sz val="9"/>
      <color theme="1" tint="0.3499"/>
      <name val="微软雅黑"/>
      <family val="0"/>
      <charset val="134"/>
    </font>
    <font>
      <sz val="9"/>
      <color theme="1" tint="0.25"/>
      <name val="Times New Roman"/>
      <family val="0"/>
      <charset val="134"/>
    </font>
    <font>
      <b val="true"/>
      <sz val="9"/>
      <color theme="0" tint="-0.25"/>
      <name val="微软雅黑"/>
      <family val="0"/>
      <charset val="134"/>
    </font>
    <font>
      <b val="true"/>
      <sz val="9"/>
      <color theme="5"/>
      <name val="微软雅黑"/>
      <family val="0"/>
      <charset val="134"/>
    </font>
    <font>
      <sz val="9"/>
      <color theme="1" tint="0.25"/>
      <name val="Noto Sans"/>
      <family val="2"/>
    </font>
    <font>
      <u val="single"/>
      <sz val="9"/>
      <color theme="1" tint="0.35"/>
      <name val="微软雅黑"/>
      <family val="0"/>
      <charset val="134"/>
    </font>
    <font>
      <b val="true"/>
      <i val="true"/>
      <sz val="11"/>
      <color rgb="FF171717"/>
      <name val="Noto Sans"/>
      <family val="2"/>
    </font>
    <font>
      <sz val="9"/>
      <name val="Calibri"/>
      <family val="0"/>
      <charset val="1"/>
    </font>
    <font>
      <sz val="10"/>
      <name val="微软雅黑"/>
      <family val="0"/>
      <charset val="134"/>
    </font>
    <font>
      <b val="true"/>
      <sz val="9"/>
      <color rgb="FFED752D"/>
      <name val="Noto Sans"/>
      <family val="2"/>
    </font>
    <font>
      <sz val="10"/>
      <color rgb="FF202020"/>
      <name val="Noto Sans"/>
      <family val="2"/>
    </font>
    <font>
      <b val="true"/>
      <sz val="8"/>
      <color rgb="FF000000"/>
      <name val="微软雅黑"/>
      <family val="0"/>
      <charset val="134"/>
    </font>
    <font>
      <sz val="8"/>
      <color theme="1" tint="0.2499"/>
      <name val="微软雅黑"/>
      <family val="0"/>
      <charset val="134"/>
    </font>
    <font>
      <b val="true"/>
      <sz val="9"/>
      <name val="微软雅黑"/>
      <family val="0"/>
      <charset val="134"/>
    </font>
    <font>
      <b val="true"/>
      <sz val="8"/>
      <color rgb="FFED752D"/>
      <name val="微软雅黑"/>
      <family val="0"/>
      <charset val="134"/>
    </font>
    <font>
      <b val="true"/>
      <sz val="8"/>
      <color rgb="FFED752D"/>
      <name val="Noto Sans"/>
      <family val="2"/>
    </font>
    <font>
      <sz val="9"/>
      <color theme="1"/>
      <name val="Calibri"/>
      <family val="0"/>
      <charset val="1"/>
    </font>
    <font>
      <sz val="9"/>
      <color rgb="FF000000"/>
      <name val="Calibri"/>
      <family val="0"/>
      <charset val="1"/>
    </font>
    <font>
      <b val="true"/>
      <sz val="10"/>
      <color rgb="FF000000"/>
      <name val="Calibri"/>
      <family val="0"/>
      <charset val="1"/>
    </font>
    <font>
      <b val="true"/>
      <sz val="10"/>
      <name val="Calibri"/>
      <family val="0"/>
      <charset val="1"/>
    </font>
    <font>
      <b val="true"/>
      <sz val="13"/>
      <name val="Arial"/>
      <family val="0"/>
      <charset val="1"/>
    </font>
    <font>
      <b val="true"/>
      <sz val="11"/>
      <color rgb="FFFFFFFF"/>
      <name val="Arial"/>
      <family val="0"/>
      <charset val="1"/>
    </font>
    <font>
      <b val="true"/>
      <sz val="11"/>
      <color theme="1" tint="0.2499"/>
      <name val="微软雅黑"/>
      <family val="0"/>
      <charset val="134"/>
    </font>
    <font>
      <sz val="11"/>
      <name val="Arial"/>
      <family val="0"/>
      <charset val="1"/>
    </font>
    <font>
      <sz val="11"/>
      <name val="Noto Sans"/>
      <family val="2"/>
    </font>
    <font>
      <sz val="9"/>
      <color theme="0"/>
      <name val="微软雅黑"/>
      <family val="0"/>
      <charset val="134"/>
    </font>
    <font>
      <b val="true"/>
      <sz val="10"/>
      <color rgb="FF202020"/>
      <name val="Noto Sans"/>
      <family val="2"/>
    </font>
    <font>
      <sz val="10"/>
      <color rgb="FFFF0000"/>
      <name val="微软雅黑"/>
      <family val="0"/>
      <charset val="134"/>
    </font>
    <font>
      <sz val="11"/>
      <color theme="1"/>
      <name val="Calibri"/>
      <family val="0"/>
      <charset val="1"/>
    </font>
    <font>
      <sz val="16"/>
      <color theme="1"/>
      <name val="Calibri"/>
      <family val="0"/>
      <charset val="1"/>
    </font>
    <font>
      <sz val="16"/>
      <name val="微软雅黑"/>
      <family val="0"/>
      <charset val="134"/>
    </font>
    <font>
      <sz val="12"/>
      <name val="Calibri"/>
      <family val="0"/>
      <charset val="1"/>
    </font>
    <font>
      <sz val="10"/>
      <color theme="1" tint="0.2499"/>
      <name val="Noto Sans"/>
      <family val="2"/>
    </font>
    <font>
      <sz val="12"/>
      <color theme="1" tint="0.2499"/>
      <name val="微软雅黑"/>
      <family val="0"/>
      <charset val="134"/>
    </font>
    <font>
      <sz val="9"/>
      <color theme="1" tint="0.2499"/>
      <name val="SimSun"/>
      <family val="0"/>
      <charset val="134"/>
    </font>
    <font>
      <sz val="11"/>
      <color rgb="FF8B3100"/>
      <name val="Arial"/>
      <family val="0"/>
      <charset val="1"/>
    </font>
    <font>
      <sz val="9"/>
      <color rgb="FFFF0000"/>
      <name val="微软雅黑"/>
      <family val="0"/>
      <charset val="134"/>
    </font>
    <font>
      <sz val="9"/>
      <color rgb="FFFF0000"/>
      <name val="Noto Sans"/>
      <family val="2"/>
    </font>
    <font>
      <sz val="8.5"/>
      <color rgb="FF333333"/>
      <name val="微软雅黑"/>
      <family val="0"/>
      <charset val="134"/>
    </font>
    <font>
      <sz val="8.5"/>
      <color rgb="FF333333"/>
      <name val="Noto Sans"/>
      <family val="2"/>
    </font>
    <font>
      <sz val="8"/>
      <color theme="1" tint="0.2499"/>
      <name val="Noto Sans"/>
      <family val="2"/>
    </font>
    <font>
      <b val="true"/>
      <sz val="18"/>
      <color rgb="FF202020"/>
      <name val="Arial"/>
      <family val="0"/>
      <charset val="1"/>
    </font>
    <font>
      <sz val="11"/>
      <name val="Calibri"/>
      <family val="0"/>
      <charset val="1"/>
    </font>
  </fonts>
  <fills count="16">
    <fill>
      <patternFill patternType="none"/>
    </fill>
    <fill>
      <patternFill patternType="gray125"/>
    </fill>
    <fill>
      <patternFill patternType="solid">
        <fgColor theme="0" tint="-0.25"/>
        <bgColor rgb="FFC3C3C3"/>
      </patternFill>
    </fill>
    <fill>
      <patternFill patternType="solid">
        <fgColor theme="0" tint="-0.05"/>
        <bgColor rgb="FFF0F0F0"/>
      </patternFill>
    </fill>
    <fill>
      <patternFill patternType="solid">
        <fgColor theme="0"/>
        <bgColor rgb="FFFFF1E9"/>
      </patternFill>
    </fill>
    <fill>
      <patternFill patternType="solid">
        <fgColor rgb="FFB4B4B4"/>
        <bgColor rgb="FFBFBFBF"/>
      </patternFill>
    </fill>
    <fill>
      <patternFill patternType="solid">
        <fgColor rgb="FFF0F0F0"/>
        <bgColor rgb="FFF2F2F2"/>
      </patternFill>
    </fill>
    <fill>
      <patternFill patternType="solid">
        <fgColor rgb="FFD2D2D2"/>
        <bgColor rgb="FFD0D0D0"/>
      </patternFill>
    </fill>
    <fill>
      <patternFill patternType="solid">
        <fgColor rgb="FFE5ECFF"/>
        <bgColor rgb="FFF0F0F0"/>
      </patternFill>
    </fill>
    <fill>
      <patternFill patternType="solid">
        <fgColor rgb="FFFFFFCC"/>
        <bgColor rgb="FFFFF1E9"/>
      </patternFill>
    </fill>
    <fill>
      <patternFill patternType="solid">
        <fgColor rgb="FFFFF1E9"/>
        <bgColor rgb="FFF2F2F2"/>
      </patternFill>
    </fill>
    <fill>
      <patternFill patternType="solid">
        <fgColor rgb="FFC3C3C3"/>
        <bgColor rgb="FFBFBFBF"/>
      </patternFill>
    </fill>
    <fill>
      <patternFill patternType="solid">
        <fgColor rgb="FF315269"/>
        <bgColor rgb="FF404040"/>
      </patternFill>
    </fill>
    <fill>
      <patternFill patternType="solid">
        <fgColor rgb="FFFFFF00"/>
        <bgColor rgb="FFFFCC00"/>
      </patternFill>
    </fill>
    <fill>
      <patternFill patternType="solid">
        <fgColor rgb="FF1399FD"/>
        <bgColor rgb="FF3366FF"/>
      </patternFill>
    </fill>
    <fill>
      <patternFill patternType="solid">
        <fgColor rgb="FFFCE4D6"/>
        <bgColor rgb="FFFFF1E9"/>
      </patternFill>
    </fill>
  </fills>
  <borders count="18">
    <border diagonalUp="false" diagonalDown="false">
      <left/>
      <right/>
      <top/>
      <bottom/>
      <diagonal/>
    </border>
    <border diagonalUp="false" diagonalDown="false">
      <left style="thin">
        <color theme="0" tint="-0.05"/>
      </left>
      <right/>
      <top style="thin">
        <color theme="0" tint="-0.05"/>
      </top>
      <bottom/>
      <diagonal/>
    </border>
    <border diagonalUp="false" diagonalDown="false">
      <left style="thin">
        <color theme="0" tint="-0.15"/>
      </left>
      <right style="thin">
        <color theme="0" tint="-0.15"/>
      </right>
      <top/>
      <bottom style="thin">
        <color theme="0" tint="-0.15"/>
      </bottom>
      <diagonal/>
    </border>
    <border diagonalUp="false" diagonalDown="false">
      <left style="thin">
        <color theme="0" tint="-0.15"/>
      </left>
      <right style="thin">
        <color theme="0" tint="-0.15"/>
      </right>
      <top style="thin">
        <color theme="0" tint="-0.15"/>
      </top>
      <bottom style="thin">
        <color theme="0" tint="-0.15"/>
      </bottom>
      <diagonal/>
    </border>
    <border diagonalUp="false" diagonalDown="false">
      <left style="thin">
        <color rgb="FFD0D0D0"/>
      </left>
      <right/>
      <top style="thin">
        <color rgb="FFD0D0D0"/>
      </top>
      <bottom style="thin">
        <color rgb="FFD0D0D0"/>
      </bottom>
      <diagonal/>
    </border>
    <border diagonalUp="false" diagonalDown="false">
      <left style="thin">
        <color rgb="FFD0D0D0"/>
      </left>
      <right style="thin">
        <color rgb="FFD0D0D0"/>
      </right>
      <top style="thin">
        <color rgb="FFD0D0D0"/>
      </top>
      <bottom style="thin">
        <color rgb="FFD0D0D0"/>
      </bottom>
      <diagonal/>
    </border>
    <border diagonalUp="false" diagonalDown="false">
      <left style="thin">
        <color rgb="FFD0D0D0"/>
      </left>
      <right style="thin">
        <color rgb="FFD0D0D0"/>
      </right>
      <top style="thin">
        <color rgb="FFD0D0D0"/>
      </top>
      <bottom style="thin">
        <color theme="0" tint="-0.15"/>
      </bottom>
      <diagonal/>
    </border>
    <border diagonalUp="false" diagonalDown="false">
      <left style="thin"/>
      <right style="thin"/>
      <top style="thin"/>
      <bottom style="thin"/>
      <diagonal/>
    </border>
    <border diagonalUp="false" diagonalDown="false">
      <left style="thin">
        <color theme="0" tint="-0.15"/>
      </left>
      <right style="thin">
        <color theme="0" tint="-0.15"/>
      </right>
      <top style="thin">
        <color theme="0" tint="-0.15"/>
      </top>
      <bottom/>
      <diagonal/>
    </border>
    <border diagonalUp="false" diagonalDown="false">
      <left style="thin">
        <color theme="0" tint="-0.15"/>
      </left>
      <right/>
      <top style="thin">
        <color theme="0" tint="-0.15"/>
      </top>
      <bottom style="thin">
        <color theme="0" tint="-0.15"/>
      </bottom>
      <diagonal/>
    </border>
    <border diagonalUp="false" diagonalDown="false">
      <left/>
      <right/>
      <top style="thin">
        <color theme="0" tint="-0.15"/>
      </top>
      <bottom style="thin">
        <color theme="0" tint="-0.15"/>
      </bottom>
      <diagonal/>
    </border>
    <border diagonalUp="false" diagonalDown="false">
      <left/>
      <right style="thin">
        <color theme="0" tint="-0.15"/>
      </right>
      <top style="thin">
        <color theme="0" tint="-0.15"/>
      </top>
      <bottom style="thin">
        <color theme="0" tint="-0.15"/>
      </bottom>
      <diagonal/>
    </border>
    <border diagonalUp="false" diagonalDown="false">
      <left/>
      <right style="thin">
        <color theme="0" tint="-0.15"/>
      </right>
      <top/>
      <bottom style="thin">
        <color theme="0" tint="-0.15"/>
      </bottom>
      <diagonal/>
    </border>
    <border diagonalUp="false" diagonalDown="false">
      <left/>
      <right style="thin">
        <color theme="0" tint="-0.15"/>
      </right>
      <top style="thin">
        <color theme="0" tint="-0.15"/>
      </top>
      <bottom/>
      <diagonal/>
    </border>
    <border diagonalUp="false" diagonalDown="false">
      <left style="thin">
        <color theme="2"/>
      </left>
      <right style="thin">
        <color theme="2"/>
      </right>
      <top style="thin">
        <color theme="2"/>
      </top>
      <bottom style="thin">
        <color theme="2"/>
      </bottom>
      <diagonal/>
    </border>
    <border diagonalUp="false" diagonalDown="false">
      <left style="thin"/>
      <right style="thin"/>
      <top/>
      <bottom style="thin"/>
      <diagonal/>
    </border>
    <border diagonalUp="false" diagonalDown="false">
      <left style="thin">
        <color rgb="FFD0D0D0"/>
      </left>
      <right style="thin">
        <color theme="0" tint="-0.15"/>
      </right>
      <top style="thin">
        <color rgb="FFD0D0D0"/>
      </top>
      <bottom style="thin">
        <color rgb="FFD0D0D0"/>
      </bottom>
      <diagonal/>
    </border>
    <border diagonalUp="false" diagonalDown="false">
      <left style="thin">
        <color theme="2"/>
      </left>
      <right style="thin">
        <color theme="2"/>
      </right>
      <top style="thin">
        <color theme="2"/>
      </top>
      <bottom/>
      <diagonal/>
    </border>
  </borders>
  <cellStyleXfs count="24">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3" fillId="0" borderId="0" applyFont="true" applyBorder="false" applyAlignment="true" applyProtection="false">
      <alignment horizontal="general" vertical="center"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cellStyleXfs>
  <cellXfs count="303">
    <xf numFmtId="164" fontId="0" fillId="0" borderId="0" xfId="0" applyFont="false" applyBorder="false" applyAlignment="false" applyProtection="false">
      <alignment horizontal="general" vertical="center" textRotation="0" wrapText="false" indent="0" shrinkToFit="false"/>
      <protection locked="true" hidden="false"/>
    </xf>
    <xf numFmtId="164" fontId="7" fillId="0" borderId="0" xfId="0" applyFont="true" applyBorder="true" applyAlignment="true" applyProtection="true">
      <alignment horizontal="general" vertical="bottom" textRotation="0" wrapText="false" indent="0" shrinkToFit="false"/>
      <protection locked="true" hidden="false"/>
    </xf>
    <xf numFmtId="0" fontId="7" fillId="0" borderId="0" xfId="0" applyFont="true" applyBorder="tru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true">
      <alignment horizontal="center" vertical="center" textRotation="0" wrapText="false" indent="0" shrinkToFit="false"/>
      <protection locked="true" hidden="false"/>
    </xf>
    <xf numFmtId="164" fontId="8" fillId="0" borderId="0" xfId="0" applyFont="true" applyBorder="false" applyAlignment="true" applyProtection="true">
      <alignment horizontal="general" vertical="center" textRotation="0" wrapText="false" indent="0" shrinkToFit="false"/>
      <protection locked="true" hidden="false"/>
    </xf>
    <xf numFmtId="164" fontId="9" fillId="2" borderId="1" xfId="0" applyFont="true" applyBorder="true" applyAlignment="true" applyProtection="true">
      <alignment horizontal="center" vertical="center" textRotation="0" wrapText="false" indent="0" shrinkToFit="false"/>
      <protection locked="true" hidden="false"/>
    </xf>
    <xf numFmtId="164" fontId="10" fillId="3" borderId="2" xfId="0" applyFont="true" applyBorder="true" applyAlignment="true" applyProtection="true">
      <alignment horizontal="center" vertical="center" textRotation="0" wrapText="false" indent="0" shrinkToFit="false"/>
      <protection locked="true" hidden="false"/>
    </xf>
    <xf numFmtId="0" fontId="11" fillId="4" borderId="2" xfId="0" applyFont="true" applyBorder="true" applyAlignment="true" applyProtection="true">
      <alignment horizontal="center" vertical="center" textRotation="0" wrapText="true" indent="0" shrinkToFit="false"/>
      <protection locked="true" hidden="false"/>
    </xf>
    <xf numFmtId="0" fontId="10" fillId="3" borderId="2" xfId="0" applyFont="true" applyBorder="true" applyAlignment="true" applyProtection="true">
      <alignment horizontal="center" vertical="center" textRotation="0" wrapText="true" indent="0" shrinkToFit="false"/>
      <protection locked="true" hidden="false"/>
    </xf>
    <xf numFmtId="164" fontId="11" fillId="4" borderId="2"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true" applyAlignment="true" applyProtection="true">
      <alignment horizontal="general" vertical="center" textRotation="0" wrapText="false" indent="0" shrinkToFit="false"/>
      <protection locked="true" hidden="false"/>
    </xf>
    <xf numFmtId="164" fontId="12" fillId="3" borderId="2" xfId="20" applyFont="true" applyBorder="true" applyAlignment="true" applyProtection="true">
      <alignment horizontal="general" vertical="center" textRotation="0" wrapText="false" indent="0" shrinkToFit="false"/>
      <protection locked="true" hidden="false"/>
    </xf>
    <xf numFmtId="0" fontId="12" fillId="0" borderId="2" xfId="0" applyFont="true" applyBorder="true" applyAlignment="true" applyProtection="true">
      <alignment horizontal="left" vertical="center" textRotation="0" wrapText="true" indent="0" shrinkToFit="false"/>
      <protection locked="true" hidden="false"/>
    </xf>
    <xf numFmtId="164" fontId="12" fillId="0" borderId="2" xfId="0" applyFont="true" applyBorder="true" applyAlignment="true" applyProtection="true">
      <alignment horizontal="left" vertical="center" textRotation="0" wrapText="false" indent="0" shrinkToFit="false"/>
      <protection locked="true" hidden="false"/>
    </xf>
    <xf numFmtId="164" fontId="14" fillId="0" borderId="0" xfId="0" applyFont="true" applyBorder="true" applyAlignment="true" applyProtection="true">
      <alignment horizontal="left" vertical="bottom" textRotation="0" wrapText="false" indent="0" shrinkToFit="false"/>
      <protection locked="true" hidden="false"/>
    </xf>
    <xf numFmtId="164" fontId="15" fillId="0" borderId="0" xfId="0" applyFont="true" applyBorder="true" applyAlignment="true" applyProtection="true">
      <alignment horizontal="left" vertical="center" textRotation="0" wrapText="false" indent="0" shrinkToFit="false"/>
      <protection locked="true" hidden="false"/>
    </xf>
    <xf numFmtId="164" fontId="12" fillId="3" borderId="3" xfId="20" applyFont="true" applyBorder="true" applyAlignment="true" applyProtection="true">
      <alignment horizontal="general" vertical="center" textRotation="0" wrapText="false" indent="0" shrinkToFit="false"/>
      <protection locked="true" hidden="false"/>
    </xf>
    <xf numFmtId="0" fontId="12" fillId="0" borderId="3" xfId="0" applyFont="true" applyBorder="true" applyAlignment="true" applyProtection="true">
      <alignment horizontal="left" vertical="center" textRotation="0" wrapText="true" indent="0" shrinkToFit="false"/>
      <protection locked="true" hidden="false"/>
    </xf>
    <xf numFmtId="164" fontId="12" fillId="0" borderId="3" xfId="0" applyFont="true" applyBorder="true" applyAlignment="true" applyProtection="true">
      <alignment horizontal="left" vertical="center" textRotation="0" wrapText="false" indent="0" shrinkToFit="false"/>
      <protection locked="true" hidden="false"/>
    </xf>
    <xf numFmtId="164" fontId="12" fillId="3" borderId="3" xfId="0" applyFont="true" applyBorder="true" applyAlignment="true" applyProtection="true">
      <alignment horizontal="left" vertical="center" textRotation="0" wrapText="false" indent="0" shrinkToFit="false"/>
      <protection locked="true" hidden="false"/>
    </xf>
    <xf numFmtId="0" fontId="12" fillId="3" borderId="3" xfId="0" applyFont="true" applyBorder="true" applyAlignment="true" applyProtection="true">
      <alignment horizontal="left" vertical="center" textRotation="0" wrapText="true" indent="0" shrinkToFit="false"/>
      <protection locked="true" hidden="false"/>
    </xf>
    <xf numFmtId="164" fontId="16" fillId="0" borderId="0" xfId="0" applyFont="true" applyBorder="true" applyAlignment="true" applyProtection="true">
      <alignment horizontal="left" vertical="bottom" textRotation="0" wrapText="false" indent="0" shrinkToFit="false"/>
      <protection locked="true" hidden="false"/>
    </xf>
    <xf numFmtId="164" fontId="17" fillId="0" borderId="0" xfId="0" applyFont="true" applyBorder="true" applyAlignment="true" applyProtection="true">
      <alignment horizontal="left" vertical="center" textRotation="0" wrapText="false" indent="0" shrinkToFit="false"/>
      <protection locked="true" hidden="false"/>
    </xf>
    <xf numFmtId="164" fontId="18" fillId="3" borderId="3" xfId="0" applyFont="true" applyBorder="true" applyAlignment="true" applyProtection="true">
      <alignment horizontal="center" vertical="center" textRotation="0" wrapText="false" indent="0" shrinkToFit="false"/>
      <protection locked="true" hidden="false"/>
    </xf>
    <xf numFmtId="0" fontId="12" fillId="4" borderId="3" xfId="0" applyFont="true" applyBorder="true" applyAlignment="true" applyProtection="true">
      <alignment horizontal="center" vertical="center" textRotation="0" wrapText="true" indent="0" shrinkToFit="false"/>
      <protection locked="true" hidden="false"/>
    </xf>
    <xf numFmtId="0" fontId="18" fillId="3" borderId="3" xfId="0" applyFont="true" applyBorder="true" applyAlignment="true" applyProtection="true">
      <alignment horizontal="center" vertical="center" textRotation="0" wrapText="true" indent="0" shrinkToFit="false"/>
      <protection locked="true" hidden="false"/>
    </xf>
    <xf numFmtId="164" fontId="12" fillId="4" borderId="3" xfId="0" applyFont="true" applyBorder="true" applyAlignment="true" applyProtection="true">
      <alignment horizontal="center" vertical="center" textRotation="0" wrapText="false" indent="0" shrinkToFit="false"/>
      <protection locked="true" hidden="false"/>
    </xf>
    <xf numFmtId="164" fontId="19" fillId="3" borderId="3" xfId="20" applyFont="true" applyBorder="true" applyAlignment="true" applyProtection="true">
      <alignment horizontal="general" vertical="center" textRotation="0" wrapText="false" indent="0" shrinkToFit="false"/>
      <protection locked="true" hidden="false"/>
    </xf>
    <xf numFmtId="164" fontId="18" fillId="3" borderId="3" xfId="0" applyFont="true" applyBorder="true" applyAlignment="true" applyProtection="true">
      <alignment horizontal="center" vertical="center" textRotation="0" wrapText="true" indent="0" shrinkToFit="false"/>
      <protection locked="true" hidden="false"/>
    </xf>
    <xf numFmtId="0" fontId="11" fillId="0" borderId="3" xfId="0" applyFont="true" applyBorder="true" applyAlignment="true" applyProtection="true">
      <alignment horizontal="left" vertical="center" textRotation="0" wrapText="true" indent="0" shrinkToFit="false"/>
      <protection locked="true" hidden="false"/>
    </xf>
    <xf numFmtId="0" fontId="11" fillId="3" borderId="3" xfId="0" applyFont="true" applyBorder="true" applyAlignment="true" applyProtection="true">
      <alignment horizontal="left" vertical="center" textRotation="0" wrapText="true" indent="0" shrinkToFit="false"/>
      <protection locked="true" hidden="false"/>
    </xf>
    <xf numFmtId="164" fontId="11" fillId="0" borderId="3" xfId="0" applyFont="true" applyBorder="true" applyAlignment="true" applyProtection="true">
      <alignment horizontal="left" vertical="center" textRotation="0" wrapText="false" indent="0" shrinkToFit="false"/>
      <protection locked="true" hidden="false"/>
    </xf>
    <xf numFmtId="164" fontId="11" fillId="3" borderId="3" xfId="0" applyFont="true" applyBorder="true" applyAlignment="true" applyProtection="true">
      <alignment horizontal="left" vertical="center"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4" fontId="22" fillId="4" borderId="0" xfId="0" applyFont="true" applyBorder="false" applyAlignment="true" applyProtection="true">
      <alignment horizontal="general" vertical="center" textRotation="0" wrapText="false" indent="0" shrinkToFit="false"/>
      <protection locked="true" hidden="false"/>
    </xf>
    <xf numFmtId="164" fontId="23"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22" fillId="0" borderId="0" xfId="0" applyFont="true" applyBorder="false" applyAlignment="true" applyProtection="true">
      <alignment horizontal="general" vertical="center" textRotation="0" wrapText="true" indent="0" shrinkToFit="false"/>
      <protection locked="true" hidden="false"/>
    </xf>
    <xf numFmtId="166" fontId="22" fillId="0" borderId="0" xfId="0" applyFont="true" applyBorder="false" applyAlignment="true" applyProtection="true">
      <alignment horizontal="general" vertical="center" textRotation="0" wrapText="true" indent="0" shrinkToFit="false"/>
      <protection locked="true" hidden="false"/>
    </xf>
    <xf numFmtId="164" fontId="22" fillId="0" borderId="0" xfId="0" applyFont="true" applyBorder="false" applyAlignment="true" applyProtection="true">
      <alignment horizontal="general" vertical="center" textRotation="0" wrapText="false" indent="0" shrinkToFit="false"/>
      <protection locked="true" hidden="false"/>
    </xf>
    <xf numFmtId="164" fontId="12" fillId="0" borderId="0" xfId="0" applyFont="true" applyBorder="false" applyAlignment="true" applyProtection="true">
      <alignment horizontal="general" vertical="center" textRotation="0" wrapText="true" indent="0" shrinkToFit="false"/>
      <protection locked="true" hidden="false"/>
    </xf>
    <xf numFmtId="164" fontId="22" fillId="4" borderId="0" xfId="0" applyFont="true" applyBorder="false" applyAlignment="true" applyProtection="true">
      <alignment horizontal="center" vertical="center" textRotation="0" wrapText="false" indent="0" shrinkToFit="false"/>
      <protection locked="true" hidden="false"/>
    </xf>
    <xf numFmtId="164" fontId="24" fillId="0" borderId="0" xfId="0" applyFont="true" applyBorder="false" applyAlignment="true" applyProtection="true">
      <alignment horizontal="general" vertical="center" textRotation="0" wrapText="false" indent="0" shrinkToFit="false"/>
      <protection locked="true" hidden="false"/>
    </xf>
    <xf numFmtId="164" fontId="25" fillId="0" borderId="0" xfId="0" applyFont="true" applyBorder="true" applyAlignment="true" applyProtection="true">
      <alignment horizontal="center" vertical="center" textRotation="0" wrapText="false" indent="0" shrinkToFit="false"/>
      <protection locked="true" hidden="false"/>
    </xf>
    <xf numFmtId="164" fontId="8" fillId="0" borderId="0" xfId="0" applyFont="true" applyBorder="false" applyAlignment="true" applyProtection="true">
      <alignment horizontal="center" vertical="center" textRotation="0" wrapText="false" indent="0" shrinkToFit="false"/>
      <protection locked="true" hidden="false"/>
    </xf>
    <xf numFmtId="164" fontId="26" fillId="5" borderId="4" xfId="0" applyFont="true" applyBorder="true" applyAlignment="true" applyProtection="true">
      <alignment horizontal="left" vertical="center" textRotation="0" wrapText="true" indent="0" shrinkToFit="false"/>
      <protection locked="true" hidden="false"/>
    </xf>
    <xf numFmtId="164" fontId="26" fillId="5" borderId="5" xfId="0" applyFont="true" applyBorder="true" applyAlignment="true" applyProtection="true">
      <alignment horizontal="left" vertical="center" textRotation="0" wrapText="true" indent="0" shrinkToFit="false"/>
      <protection locked="true" hidden="false"/>
    </xf>
    <xf numFmtId="164" fontId="27" fillId="6" borderId="5" xfId="0" applyFont="true" applyBorder="true" applyAlignment="true" applyProtection="true">
      <alignment horizontal="center" vertical="center" textRotation="0" wrapText="true" indent="0" shrinkToFit="false"/>
      <protection locked="true" hidden="false"/>
    </xf>
    <xf numFmtId="164" fontId="28" fillId="4" borderId="0" xfId="0" applyFont="true" applyBorder="false" applyAlignment="true" applyProtection="true">
      <alignment horizontal="general" vertical="bottom" textRotation="0" wrapText="true" indent="0" shrinkToFit="false"/>
      <protection locked="true" hidden="false"/>
    </xf>
    <xf numFmtId="164" fontId="29" fillId="7" borderId="5" xfId="0" applyFont="true" applyBorder="true" applyAlignment="true" applyProtection="true">
      <alignment horizontal="left" vertical="center" textRotation="0" wrapText="true" indent="0" shrinkToFit="false"/>
      <protection locked="true" hidden="false"/>
    </xf>
    <xf numFmtId="164" fontId="21" fillId="0" borderId="0" xfId="0" applyFont="true" applyBorder="true" applyAlignment="true" applyProtection="true">
      <alignment horizontal="general" vertical="center" textRotation="0" wrapText="false" indent="0" shrinkToFit="false"/>
      <protection locked="true" hidden="false"/>
    </xf>
    <xf numFmtId="164" fontId="30" fillId="4" borderId="5" xfId="0" applyFont="true" applyBorder="true" applyAlignment="true" applyProtection="true">
      <alignment horizontal="left" vertical="center" textRotation="0" wrapText="true" indent="0" shrinkToFit="false"/>
      <protection locked="true" hidden="false"/>
    </xf>
    <xf numFmtId="164" fontId="31" fillId="4" borderId="3" xfId="0" applyFont="true" applyBorder="true" applyAlignment="true" applyProtection="true">
      <alignment horizontal="center" vertical="center" textRotation="0" wrapText="true" indent="0" shrinkToFit="false"/>
      <protection locked="true" hidden="false"/>
    </xf>
    <xf numFmtId="167" fontId="32" fillId="4" borderId="5" xfId="0" applyFont="true" applyBorder="true" applyAlignment="true" applyProtection="true">
      <alignment horizontal="center" vertical="center" textRotation="0" wrapText="true" indent="0" shrinkToFit="false"/>
      <protection locked="true" hidden="false"/>
    </xf>
    <xf numFmtId="168" fontId="33" fillId="8" borderId="5" xfId="0" applyFont="true" applyBorder="true" applyAlignment="true" applyProtection="true">
      <alignment horizontal="right" vertical="center" textRotation="0" wrapText="true" indent="0" shrinkToFit="false"/>
      <protection locked="true" hidden="false"/>
    </xf>
    <xf numFmtId="169" fontId="30" fillId="9" borderId="5" xfId="0" applyFont="true" applyBorder="true" applyAlignment="true" applyProtection="true">
      <alignment horizontal="center" vertical="center" textRotation="0" wrapText="true" indent="0" shrinkToFit="false"/>
      <protection locked="true" hidden="false"/>
    </xf>
    <xf numFmtId="168" fontId="30" fillId="4" borderId="5" xfId="0" applyFont="true" applyBorder="true" applyAlignment="true" applyProtection="true">
      <alignment horizontal="right" vertical="center" textRotation="0" wrapText="true" indent="0" shrinkToFit="false"/>
      <protection locked="true" hidden="false"/>
    </xf>
    <xf numFmtId="164" fontId="12" fillId="4" borderId="3" xfId="0" applyFont="true" applyBorder="true" applyAlignment="true" applyProtection="true">
      <alignment horizontal="center" vertical="center" textRotation="0" wrapText="true" indent="0" shrinkToFit="false"/>
      <protection locked="true" hidden="false"/>
    </xf>
    <xf numFmtId="170" fontId="12" fillId="4" borderId="3" xfId="0" applyFont="true" applyBorder="true" applyAlignment="true" applyProtection="true">
      <alignment horizontal="center" vertical="center" textRotation="0" wrapText="true" indent="0" shrinkToFit="false"/>
      <protection locked="true" hidden="false"/>
    </xf>
    <xf numFmtId="164" fontId="12" fillId="4" borderId="3" xfId="0" applyFont="true" applyBorder="true" applyAlignment="true" applyProtection="true">
      <alignment horizontal="general" vertical="center" textRotation="0" wrapText="true" indent="0" shrinkToFit="false"/>
      <protection locked="true" hidden="false"/>
    </xf>
    <xf numFmtId="164" fontId="34" fillId="4" borderId="3" xfId="20" applyFont="true" applyBorder="true" applyAlignment="true" applyProtection="true">
      <alignment horizontal="center" vertical="center" textRotation="0" wrapText="true" indent="0" shrinkToFit="false"/>
      <protection locked="true" hidden="false"/>
    </xf>
    <xf numFmtId="164" fontId="24" fillId="4" borderId="0" xfId="0" applyFont="true" applyBorder="true" applyAlignment="true" applyProtection="true">
      <alignment horizontal="general" vertical="center" textRotation="0" wrapText="false" indent="0" shrinkToFit="false"/>
      <protection locked="true" hidden="false"/>
    </xf>
    <xf numFmtId="164" fontId="24" fillId="0" borderId="0" xfId="0" applyFont="true" applyBorder="true" applyAlignment="true" applyProtection="true">
      <alignment horizontal="general" vertical="center" textRotation="0" wrapText="false" indent="0" shrinkToFit="false"/>
      <protection locked="true" hidden="false"/>
    </xf>
    <xf numFmtId="164" fontId="30" fillId="4" borderId="6" xfId="0" applyFont="true" applyBorder="true" applyAlignment="true" applyProtection="true">
      <alignment horizontal="left" vertical="center" textRotation="0" wrapText="true" indent="0" shrinkToFit="false"/>
      <protection locked="true" hidden="false"/>
    </xf>
    <xf numFmtId="164" fontId="35" fillId="4" borderId="3" xfId="0" applyFont="true" applyBorder="true" applyAlignment="true" applyProtection="true">
      <alignment horizontal="center" vertical="center" textRotation="0" wrapText="true" indent="0" shrinkToFit="false"/>
      <protection locked="true" hidden="false"/>
    </xf>
    <xf numFmtId="164" fontId="36" fillId="4" borderId="0" xfId="0" applyFont="true" applyBorder="true" applyAlignment="true" applyProtection="true">
      <alignment horizontal="general" vertical="bottom" textRotation="0" wrapText="true" indent="0" shrinkToFit="false"/>
      <protection locked="true" hidden="false"/>
    </xf>
    <xf numFmtId="164" fontId="36" fillId="4" borderId="7" xfId="0" applyFont="true" applyBorder="true" applyAlignment="true" applyProtection="true">
      <alignment horizontal="general" vertical="bottom" textRotation="0" wrapText="true" indent="0" shrinkToFit="false"/>
      <protection locked="true" hidden="false"/>
    </xf>
    <xf numFmtId="164" fontId="22" fillId="0" borderId="0" xfId="0" applyFont="true" applyBorder="true" applyAlignment="true" applyProtection="true">
      <alignment horizontal="general" vertical="center" textRotation="0" wrapText="false" indent="0" shrinkToFit="false"/>
      <protection locked="true" hidden="false"/>
    </xf>
    <xf numFmtId="164" fontId="12" fillId="4" borderId="3" xfId="0" applyFont="true" applyBorder="true" applyAlignment="true" applyProtection="true">
      <alignment horizontal="left" vertical="center" textRotation="0" wrapText="true" indent="0" shrinkToFit="false"/>
      <protection locked="true" hidden="false"/>
    </xf>
    <xf numFmtId="164" fontId="34" fillId="0" borderId="3" xfId="20" applyFont="true" applyBorder="true" applyAlignment="true" applyProtection="true">
      <alignment horizontal="left" vertical="center" textRotation="0" wrapText="true" indent="0" shrinkToFit="false"/>
      <protection locked="true" hidden="false"/>
    </xf>
    <xf numFmtId="164" fontId="22" fillId="4" borderId="0" xfId="0" applyFont="true" applyBorder="true" applyAlignment="true" applyProtection="true">
      <alignment horizontal="general" vertical="center" textRotation="0" wrapText="false" indent="0" shrinkToFit="false"/>
      <protection locked="true" hidden="false"/>
    </xf>
    <xf numFmtId="164" fontId="34" fillId="0" borderId="3" xfId="20" applyFont="true" applyBorder="true" applyAlignment="true" applyProtection="true">
      <alignment horizontal="center" vertical="center" textRotation="0" wrapText="true" indent="0" shrinkToFit="false"/>
      <protection locked="true" hidden="false"/>
    </xf>
    <xf numFmtId="164" fontId="34" fillId="4" borderId="3" xfId="20" applyFont="true" applyBorder="true" applyAlignment="true" applyProtection="true">
      <alignment horizontal="left" vertical="center" textRotation="0" wrapText="true" indent="0" shrinkToFit="false"/>
      <protection locked="true" hidden="false"/>
    </xf>
    <xf numFmtId="164" fontId="34" fillId="4" borderId="3" xfId="0" applyFont="true" applyBorder="true" applyAlignment="true" applyProtection="true">
      <alignment horizontal="center" vertical="center" textRotation="0" wrapText="true" indent="0" shrinkToFit="false"/>
      <protection locked="true" hidden="false"/>
    </xf>
    <xf numFmtId="164" fontId="37" fillId="4" borderId="3" xfId="20" applyFont="true" applyBorder="true" applyAlignment="true" applyProtection="true">
      <alignment horizontal="center" vertical="center" textRotation="0" wrapText="true" indent="0" shrinkToFit="false"/>
      <protection locked="true" hidden="false"/>
    </xf>
    <xf numFmtId="164" fontId="12" fillId="4" borderId="3" xfId="0" applyFont="true" applyBorder="true" applyAlignment="true" applyProtection="true">
      <alignment horizontal="center" vertical="bottom" textRotation="0" wrapText="true" indent="0" shrinkToFit="false"/>
      <protection locked="true" hidden="false"/>
    </xf>
    <xf numFmtId="166" fontId="12" fillId="4" borderId="3" xfId="0" applyFont="true" applyBorder="true" applyAlignment="true" applyProtection="true">
      <alignment horizontal="center" vertical="center" textRotation="0" wrapText="true" indent="0" shrinkToFit="false"/>
      <protection locked="true" hidden="false"/>
    </xf>
    <xf numFmtId="164" fontId="34" fillId="4" borderId="3" xfId="20" applyFont="true" applyBorder="true" applyAlignment="true" applyProtection="true">
      <alignment horizontal="general" vertical="center" textRotation="0" wrapText="true" indent="0" shrinkToFit="false"/>
      <protection locked="true" hidden="false"/>
    </xf>
    <xf numFmtId="164" fontId="18" fillId="4" borderId="3" xfId="0" applyFont="true" applyBorder="true" applyAlignment="true" applyProtection="true">
      <alignment horizontal="center" vertical="center" textRotation="0" wrapText="false" indent="0" shrinkToFit="false"/>
      <protection locked="true" hidden="false"/>
    </xf>
    <xf numFmtId="164" fontId="38" fillId="0" borderId="0" xfId="0" applyFont="true" applyBorder="true" applyAlignment="true" applyProtection="true">
      <alignment horizontal="general" vertical="center" textRotation="0" wrapText="false" indent="0" shrinkToFit="false"/>
      <protection locked="true" hidden="false"/>
    </xf>
    <xf numFmtId="164" fontId="31" fillId="10" borderId="3" xfId="0" applyFont="true" applyBorder="true" applyAlignment="true" applyProtection="true">
      <alignment horizontal="center" vertical="center" textRotation="0" wrapText="true" indent="0" shrinkToFit="false"/>
      <protection locked="true" hidden="false"/>
    </xf>
    <xf numFmtId="164" fontId="12" fillId="10" borderId="3" xfId="0" applyFont="true" applyBorder="true" applyAlignment="true" applyProtection="true">
      <alignment horizontal="center" vertical="center" textRotation="0" wrapText="true" indent="0" shrinkToFit="false"/>
      <protection locked="true" hidden="false"/>
    </xf>
    <xf numFmtId="164" fontId="12" fillId="10" borderId="3" xfId="0" applyFont="true" applyBorder="true" applyAlignment="true" applyProtection="true">
      <alignment horizontal="center" vertical="center" textRotation="0" wrapText="false" indent="0" shrinkToFit="false"/>
      <protection locked="true" hidden="false"/>
    </xf>
    <xf numFmtId="170" fontId="12" fillId="10" borderId="3" xfId="0" applyFont="true" applyBorder="true" applyAlignment="true" applyProtection="true">
      <alignment horizontal="center" vertical="center" textRotation="0" wrapText="true" indent="0" shrinkToFit="false"/>
      <protection locked="true" hidden="false"/>
    </xf>
    <xf numFmtId="164" fontId="39" fillId="10" borderId="3" xfId="0" applyFont="true" applyBorder="true" applyAlignment="true" applyProtection="true">
      <alignment horizontal="left" vertical="center" textRotation="0" wrapText="true" indent="0" shrinkToFit="false"/>
      <protection locked="true" hidden="false"/>
    </xf>
    <xf numFmtId="164" fontId="40" fillId="10" borderId="3" xfId="20" applyFont="true" applyBorder="true" applyAlignment="true" applyProtection="true">
      <alignment horizontal="left" vertical="center" textRotation="0" wrapText="true" indent="0" shrinkToFit="false"/>
      <protection locked="true" hidden="false"/>
    </xf>
    <xf numFmtId="164" fontId="34" fillId="10" borderId="3" xfId="20" applyFont="true" applyBorder="true" applyAlignment="true" applyProtection="true">
      <alignment horizontal="center" vertical="center" textRotation="0" wrapText="true" indent="0" shrinkToFit="false"/>
      <protection locked="true" hidden="false"/>
    </xf>
    <xf numFmtId="166" fontId="24" fillId="4" borderId="0" xfId="0" applyFont="true" applyBorder="true" applyAlignment="true" applyProtection="true">
      <alignment horizontal="general" vertical="center" textRotation="0" wrapText="false" indent="0" shrinkToFit="false"/>
      <protection locked="true" hidden="false"/>
    </xf>
    <xf numFmtId="164" fontId="40" fillId="10" borderId="3" xfId="20" applyFont="true" applyBorder="true" applyAlignment="true" applyProtection="true">
      <alignment horizontal="general" vertical="center" textRotation="0" wrapText="true" indent="0" shrinkToFit="false"/>
      <protection locked="true" hidden="false"/>
    </xf>
    <xf numFmtId="170" fontId="24" fillId="4" borderId="0" xfId="0" applyFont="true" applyBorder="true" applyAlignment="true" applyProtection="true">
      <alignment horizontal="general" vertical="center" textRotation="0" wrapText="false" indent="0" shrinkToFit="false"/>
      <protection locked="true" hidden="false"/>
    </xf>
    <xf numFmtId="164" fontId="39" fillId="0" borderId="3" xfId="0" applyFont="true" applyBorder="true" applyAlignment="true" applyProtection="true">
      <alignment horizontal="left" vertical="center" textRotation="0" wrapText="true" indent="0" shrinkToFit="false"/>
      <protection locked="true" hidden="false"/>
    </xf>
    <xf numFmtId="164" fontId="40" fillId="0" borderId="3" xfId="20" applyFont="true" applyBorder="true" applyAlignment="true" applyProtection="true">
      <alignment horizontal="left" vertical="center" textRotation="0" wrapText="true" indent="0" shrinkToFit="false"/>
      <protection locked="true" hidden="false"/>
    </xf>
    <xf numFmtId="164" fontId="12" fillId="0" borderId="3" xfId="0" applyFont="true" applyBorder="true" applyAlignment="true" applyProtection="true">
      <alignment horizontal="left" vertical="center" textRotation="0" wrapText="true" indent="0" shrinkToFit="false"/>
      <protection locked="true" hidden="false"/>
    </xf>
    <xf numFmtId="164" fontId="34" fillId="0" borderId="3" xfId="20" applyFont="true" applyBorder="true" applyAlignment="true" applyProtection="true">
      <alignment horizontal="general" vertical="center" textRotation="0" wrapText="true" indent="0" shrinkToFit="false"/>
      <protection locked="true" hidden="false"/>
    </xf>
    <xf numFmtId="164" fontId="20" fillId="4" borderId="3" xfId="0" applyFont="true" applyBorder="true" applyAlignment="true" applyProtection="true">
      <alignment horizontal="center" vertical="center" textRotation="0" wrapText="true" indent="0" shrinkToFit="false"/>
      <protection locked="true" hidden="false"/>
    </xf>
    <xf numFmtId="164" fontId="41" fillId="4" borderId="3" xfId="0" applyFont="true" applyBorder="true" applyAlignment="true" applyProtection="true">
      <alignment horizontal="left" vertical="center" textRotation="0" wrapText="true" indent="0" shrinkToFit="false"/>
      <protection locked="true" hidden="false"/>
    </xf>
    <xf numFmtId="164" fontId="42" fillId="4" borderId="3" xfId="0" applyFont="true" applyBorder="true" applyAlignment="true" applyProtection="true">
      <alignment horizontal="left" vertical="center" textRotation="0" wrapText="true" indent="0" shrinkToFit="false"/>
      <protection locked="true" hidden="false"/>
    </xf>
    <xf numFmtId="164" fontId="12" fillId="0" borderId="3" xfId="0" applyFont="true" applyBorder="true" applyAlignment="true" applyProtection="true">
      <alignment horizontal="center" vertical="bottom" textRotation="0" wrapText="true" indent="0" shrinkToFit="false"/>
      <protection locked="true" hidden="false"/>
    </xf>
    <xf numFmtId="164" fontId="12" fillId="0" borderId="3" xfId="0" applyFont="true" applyBorder="true" applyAlignment="true" applyProtection="true">
      <alignment horizontal="center" vertical="center" textRotation="0" wrapText="true" indent="0" shrinkToFit="false"/>
      <protection locked="true" hidden="false"/>
    </xf>
    <xf numFmtId="170" fontId="12" fillId="4" borderId="8" xfId="0" applyFont="true" applyBorder="true" applyAlignment="true" applyProtection="true">
      <alignment horizontal="center" vertical="center" textRotation="0" wrapText="true" indent="0" shrinkToFit="false"/>
      <protection locked="true" hidden="false"/>
    </xf>
    <xf numFmtId="164" fontId="43" fillId="4" borderId="3" xfId="0" applyFont="true" applyBorder="true" applyAlignment="true" applyProtection="true">
      <alignment horizontal="general" vertical="center" textRotation="0" wrapText="true" indent="0" shrinkToFit="false"/>
      <protection locked="true" hidden="false"/>
    </xf>
    <xf numFmtId="171" fontId="12" fillId="4" borderId="3" xfId="0" applyFont="true" applyBorder="true" applyAlignment="true" applyProtection="true">
      <alignment horizontal="center" vertical="center" textRotation="0" wrapText="true" indent="0" shrinkToFit="false"/>
      <protection locked="true" hidden="false"/>
    </xf>
    <xf numFmtId="0" fontId="12" fillId="4" borderId="3" xfId="0" applyFont="true" applyBorder="true" applyAlignment="true" applyProtection="true">
      <alignment horizontal="center" vertical="center" textRotation="0" wrapText="true" indent="0" shrinkToFit="false"/>
      <protection locked="true" hidden="false"/>
    </xf>
    <xf numFmtId="164" fontId="43" fillId="4" borderId="3" xfId="0" applyFont="true" applyBorder="true" applyAlignment="true" applyProtection="true">
      <alignment horizontal="left" vertical="center" textRotation="0" wrapText="true" indent="0" shrinkToFit="false"/>
      <protection locked="true" hidden="false"/>
    </xf>
    <xf numFmtId="166" fontId="20" fillId="4" borderId="3" xfId="0" applyFont="true" applyBorder="true" applyAlignment="true" applyProtection="true">
      <alignment horizontal="center" vertical="center" textRotation="0" wrapText="true" indent="0" shrinkToFit="false"/>
      <protection locked="true" hidden="false"/>
    </xf>
    <xf numFmtId="164" fontId="24" fillId="4" borderId="0" xfId="0" applyFont="true" applyBorder="false" applyAlignment="true" applyProtection="true">
      <alignment horizontal="general" vertical="center" textRotation="0" wrapText="false" indent="0" shrinkToFit="false"/>
      <protection locked="true" hidden="false"/>
    </xf>
    <xf numFmtId="164" fontId="36" fillId="4" borderId="0" xfId="0" applyFont="true" applyBorder="false" applyAlignment="true" applyProtection="true">
      <alignment horizontal="general" vertical="center" textRotation="0" wrapText="true" indent="0" shrinkToFit="false"/>
      <protection locked="true" hidden="false"/>
    </xf>
    <xf numFmtId="164" fontId="36" fillId="0" borderId="0" xfId="0" applyFont="true" applyBorder="false" applyAlignment="true" applyProtection="true">
      <alignment horizontal="general" vertical="center" textRotation="0" wrapText="true" indent="0" shrinkToFit="false"/>
      <protection locked="true" hidden="false"/>
    </xf>
    <xf numFmtId="164" fontId="12" fillId="4" borderId="3" xfId="0" applyFont="true" applyBorder="true" applyAlignment="true" applyProtection="true">
      <alignment horizontal="left" vertical="top" textRotation="0" wrapText="true" indent="0" shrinkToFit="false"/>
      <protection locked="true" hidden="false"/>
    </xf>
    <xf numFmtId="168" fontId="46" fillId="11" borderId="5" xfId="0" applyFont="true" applyBorder="true" applyAlignment="true" applyProtection="true">
      <alignment horizontal="right" vertical="center" textRotation="0" wrapText="true" indent="0" shrinkToFit="false"/>
      <protection locked="true" hidden="false"/>
    </xf>
    <xf numFmtId="164" fontId="21" fillId="4" borderId="0" xfId="0" applyFont="true" applyBorder="false" applyAlignment="true" applyProtection="true">
      <alignment horizontal="general" vertical="bottom" textRotation="0" wrapText="false" indent="0" shrinkToFit="false"/>
      <protection locked="true" hidden="false"/>
    </xf>
    <xf numFmtId="164" fontId="22" fillId="4" borderId="0" xfId="0" applyFont="true" applyBorder="false" applyAlignment="true" applyProtection="true">
      <alignment horizontal="general" vertical="center" textRotation="0" wrapText="true" indent="0" shrinkToFit="false"/>
      <protection locked="true" hidden="false"/>
    </xf>
    <xf numFmtId="166" fontId="22" fillId="4" borderId="0" xfId="0" applyFont="true" applyBorder="false" applyAlignment="true" applyProtection="true">
      <alignment horizontal="general" vertical="center" textRotation="0" wrapText="true" indent="0" shrinkToFit="false"/>
      <protection locked="true" hidden="false"/>
    </xf>
    <xf numFmtId="164" fontId="12" fillId="4" borderId="0" xfId="0" applyFont="true" applyBorder="false" applyAlignment="true" applyProtection="true">
      <alignment horizontal="general" vertical="center" textRotation="0" wrapText="true" indent="0" shrinkToFit="false"/>
      <protection locked="true" hidden="false"/>
    </xf>
    <xf numFmtId="164" fontId="21" fillId="0" borderId="0" xfId="0" applyFont="true" applyBorder="false" applyAlignment="true" applyProtection="true">
      <alignment horizontal="general" vertical="center" textRotation="0" wrapText="false" indent="0" shrinkToFit="false"/>
      <protection locked="true" hidden="false"/>
    </xf>
    <xf numFmtId="164" fontId="22" fillId="0" borderId="0" xfId="0" applyFont="true" applyBorder="false" applyAlignment="true" applyProtection="true">
      <alignment horizontal="center" vertical="center" textRotation="0" wrapText="false" indent="0" shrinkToFit="false"/>
      <protection locked="true" hidden="false"/>
    </xf>
    <xf numFmtId="164" fontId="24" fillId="0" borderId="0" xfId="0" applyFont="true" applyBorder="false" applyAlignment="true" applyProtection="true">
      <alignment horizontal="general" vertical="center" textRotation="0" wrapText="true" indent="0" shrinkToFit="false"/>
      <protection locked="true" hidden="false"/>
    </xf>
    <xf numFmtId="164" fontId="47" fillId="0" borderId="0" xfId="0" applyFont="true" applyBorder="false" applyAlignment="true" applyProtection="true">
      <alignment horizontal="center" vertical="center" textRotation="0" wrapText="false" indent="0" shrinkToFit="false"/>
      <protection locked="true" hidden="false"/>
    </xf>
    <xf numFmtId="164" fontId="38" fillId="0" borderId="0" xfId="0" applyFont="true" applyBorder="false" applyAlignment="true" applyProtection="true">
      <alignment horizontal="general" vertical="center" textRotation="0" wrapText="false" indent="0" shrinkToFit="false"/>
      <protection locked="true" hidden="false"/>
    </xf>
    <xf numFmtId="164" fontId="12" fillId="0" borderId="3" xfId="0" applyFont="true" applyBorder="true" applyAlignment="true" applyProtection="true">
      <alignment horizontal="general" vertical="center" textRotation="0" wrapText="true" indent="0" shrinkToFit="false"/>
      <protection locked="true" hidden="false"/>
    </xf>
    <xf numFmtId="164" fontId="34" fillId="0" borderId="3" xfId="0" applyFont="true" applyBorder="true" applyAlignment="true" applyProtection="true">
      <alignment horizontal="left" vertical="center" textRotation="0" wrapText="true" indent="0" shrinkToFit="false"/>
      <protection locked="true" hidden="false"/>
    </xf>
    <xf numFmtId="164" fontId="48" fillId="0" borderId="3" xfId="20" applyFont="true" applyBorder="true" applyAlignment="true" applyProtection="true">
      <alignment horizontal="general" vertical="center" textRotation="0" wrapText="true" indent="0" shrinkToFit="false"/>
      <protection locked="true" hidden="false"/>
    </xf>
    <xf numFmtId="164" fontId="21" fillId="4" borderId="0" xfId="0" applyFont="true" applyBorder="false" applyAlignment="true" applyProtection="true">
      <alignment horizontal="general" vertical="center" textRotation="0" wrapText="false" indent="0" shrinkToFit="false"/>
      <protection locked="true" hidden="false"/>
    </xf>
    <xf numFmtId="164" fontId="24" fillId="4" borderId="0" xfId="0" applyFont="true" applyBorder="false" applyAlignment="true" applyProtection="true">
      <alignment horizontal="general" vertical="center" textRotation="0" wrapText="true" indent="0" shrinkToFit="false"/>
      <protection locked="true" hidden="false"/>
    </xf>
    <xf numFmtId="164" fontId="39" fillId="0" borderId="3" xfId="0" applyFont="true" applyBorder="true" applyAlignment="true" applyProtection="true">
      <alignment horizontal="general" vertical="center" textRotation="0" wrapText="true" indent="0" shrinkToFit="false"/>
      <protection locked="true" hidden="false"/>
    </xf>
    <xf numFmtId="164" fontId="40" fillId="0" borderId="3" xfId="20" applyFont="true" applyBorder="true" applyAlignment="true" applyProtection="true">
      <alignment horizontal="general" vertical="center" textRotation="0" wrapText="true" indent="0" shrinkToFit="false"/>
      <protection locked="true" hidden="false"/>
    </xf>
    <xf numFmtId="164" fontId="41" fillId="4" borderId="9" xfId="0" applyFont="true" applyBorder="true" applyAlignment="true" applyProtection="true">
      <alignment horizontal="center" vertical="center" textRotation="0" wrapText="true" indent="0" shrinkToFit="false"/>
      <protection locked="true" hidden="false"/>
    </xf>
    <xf numFmtId="164" fontId="31" fillId="4" borderId="10" xfId="0" applyFont="true" applyBorder="true" applyAlignment="true" applyProtection="true">
      <alignment horizontal="center" vertical="center" textRotation="0" wrapText="true" indent="0" shrinkToFit="false"/>
      <protection locked="true" hidden="false"/>
    </xf>
    <xf numFmtId="164" fontId="12" fillId="4" borderId="10" xfId="0" applyFont="true" applyBorder="true" applyAlignment="true" applyProtection="true">
      <alignment horizontal="center" vertical="center" textRotation="0" wrapText="true" indent="0" shrinkToFit="false"/>
      <protection locked="true" hidden="false"/>
    </xf>
    <xf numFmtId="164" fontId="12" fillId="4" borderId="10" xfId="0" applyFont="true" applyBorder="true" applyAlignment="true" applyProtection="true">
      <alignment horizontal="center" vertical="center" textRotation="0" wrapText="false" indent="0" shrinkToFit="false"/>
      <protection locked="true" hidden="false"/>
    </xf>
    <xf numFmtId="170" fontId="12" fillId="4" borderId="10" xfId="0" applyFont="true" applyBorder="true" applyAlignment="true" applyProtection="true">
      <alignment horizontal="center" vertical="center" textRotation="0" wrapText="true" indent="0" shrinkToFit="false"/>
      <protection locked="true" hidden="false"/>
    </xf>
    <xf numFmtId="164" fontId="12" fillId="4" borderId="10" xfId="0" applyFont="true" applyBorder="true" applyAlignment="true" applyProtection="true">
      <alignment horizontal="left" vertical="center" textRotation="0" wrapText="true" indent="0" shrinkToFit="false"/>
      <protection locked="true" hidden="false"/>
    </xf>
    <xf numFmtId="164" fontId="34" fillId="0" borderId="10" xfId="20" applyFont="true" applyBorder="true" applyAlignment="true" applyProtection="true">
      <alignment horizontal="general" vertical="center" textRotation="0" wrapText="true" indent="0" shrinkToFit="false"/>
      <protection locked="true" hidden="false"/>
    </xf>
    <xf numFmtId="164" fontId="34" fillId="4" borderId="11" xfId="20" applyFont="true" applyBorder="true" applyAlignment="true" applyProtection="true">
      <alignment horizontal="center" vertical="center" textRotation="0" wrapText="true" indent="0" shrinkToFit="false"/>
      <protection locked="true" hidden="false"/>
    </xf>
    <xf numFmtId="166" fontId="24" fillId="4" borderId="0" xfId="0" applyFont="true" applyBorder="false" applyAlignment="true" applyProtection="true">
      <alignment horizontal="general" vertical="center" textRotation="0" wrapText="false" indent="0" shrinkToFit="false"/>
      <protection locked="true" hidden="false"/>
    </xf>
    <xf numFmtId="164" fontId="50" fillId="4" borderId="3" xfId="0" applyFont="true" applyBorder="true" applyAlignment="true" applyProtection="true">
      <alignment horizontal="center" vertical="center" textRotation="0" wrapText="true" indent="0" shrinkToFit="false"/>
      <protection locked="true" hidden="false"/>
    </xf>
    <xf numFmtId="164" fontId="50" fillId="4" borderId="11" xfId="0" applyFont="true" applyBorder="true" applyAlignment="true" applyProtection="true">
      <alignment horizontal="center" vertical="center" textRotation="0" wrapText="true" indent="0" shrinkToFit="false"/>
      <protection locked="true" hidden="false"/>
    </xf>
    <xf numFmtId="164" fontId="41" fillId="0" borderId="3" xfId="0" applyFont="true" applyBorder="true" applyAlignment="true" applyProtection="true">
      <alignment horizontal="general" vertical="center" textRotation="0" wrapText="true" indent="0" shrinkToFit="false"/>
      <protection locked="true" hidden="false"/>
    </xf>
    <xf numFmtId="164" fontId="51" fillId="0" borderId="3" xfId="0" applyFont="true" applyBorder="true" applyAlignment="true" applyProtection="true">
      <alignment horizontal="general" vertical="center" textRotation="0" wrapText="true" indent="0" shrinkToFit="false"/>
      <protection locked="true" hidden="false"/>
    </xf>
    <xf numFmtId="164" fontId="51" fillId="4" borderId="3" xfId="0" applyFont="true" applyBorder="true" applyAlignment="true" applyProtection="true">
      <alignment horizontal="left" vertical="center" textRotation="0" wrapText="true" indent="0" shrinkToFit="false"/>
      <protection locked="true" hidden="false"/>
    </xf>
    <xf numFmtId="164" fontId="18" fillId="4" borderId="9" xfId="0" applyFont="true" applyBorder="true" applyAlignment="true" applyProtection="true">
      <alignment horizontal="center" vertical="center" textRotation="0" wrapText="true" indent="0" shrinkToFit="false"/>
      <protection locked="true" hidden="false"/>
    </xf>
    <xf numFmtId="164" fontId="51" fillId="4" borderId="10" xfId="0" applyFont="true" applyBorder="true" applyAlignment="true" applyProtection="true">
      <alignment horizontal="left" vertical="center" textRotation="0" wrapText="true" indent="0" shrinkToFit="false"/>
      <protection locked="true" hidden="false"/>
    </xf>
    <xf numFmtId="164" fontId="22" fillId="0" borderId="0" xfId="0" applyFont="true" applyBorder="false" applyAlignment="true" applyProtection="true">
      <alignment horizontal="center" vertical="center" textRotation="0" wrapText="true" indent="0" shrinkToFit="false"/>
      <protection locked="true" hidden="false"/>
    </xf>
    <xf numFmtId="166" fontId="22" fillId="0" borderId="0" xfId="0" applyFont="true" applyBorder="false" applyAlignment="true" applyProtection="true">
      <alignment horizontal="center" vertical="center" textRotation="0" wrapText="true" indent="0" shrinkToFit="false"/>
      <protection locked="true" hidden="false"/>
    </xf>
    <xf numFmtId="164" fontId="12" fillId="0" borderId="3" xfId="0" applyFont="true" applyBorder="true" applyAlignment="true" applyProtection="true">
      <alignment horizontal="general" vertical="center" textRotation="0" wrapText="false" indent="0" shrinkToFit="false"/>
      <protection locked="true" hidden="false"/>
    </xf>
    <xf numFmtId="164" fontId="53" fillId="0" borderId="3" xfId="20" applyFont="true" applyBorder="true" applyAlignment="true" applyProtection="true">
      <alignment horizontal="left" vertical="center" textRotation="0" wrapText="true" indent="0" shrinkToFit="false"/>
      <protection locked="true" hidden="false"/>
    </xf>
    <xf numFmtId="164" fontId="48" fillId="0" borderId="3" xfId="20" applyFont="true" applyBorder="true" applyAlignment="true" applyProtection="true">
      <alignment horizontal="left" vertical="center" textRotation="0" wrapText="true" indent="0" shrinkToFit="false"/>
      <protection locked="true" hidden="false"/>
    </xf>
    <xf numFmtId="164" fontId="24" fillId="4" borderId="0" xfId="0" applyFont="true" applyBorder="true" applyAlignment="true" applyProtection="true">
      <alignment horizontal="general" vertical="bottom" textRotation="0" wrapText="false" indent="0" shrinkToFit="false"/>
      <protection locked="true" hidden="false"/>
    </xf>
    <xf numFmtId="173" fontId="34" fillId="4" borderId="3" xfId="0" applyFont="true" applyBorder="true" applyAlignment="true" applyProtection="true">
      <alignment horizontal="center" vertical="center" textRotation="0" wrapText="true" indent="0" shrinkToFit="false"/>
      <protection locked="true" hidden="false"/>
    </xf>
    <xf numFmtId="166" fontId="55" fillId="4" borderId="0" xfId="0" applyFont="true" applyBorder="false" applyAlignment="true" applyProtection="true">
      <alignment horizontal="general" vertical="center" textRotation="0" wrapText="false" indent="0" shrinkToFit="false"/>
      <protection locked="true" hidden="false"/>
    </xf>
    <xf numFmtId="164" fontId="55" fillId="4" borderId="0" xfId="0" applyFont="true" applyBorder="false" applyAlignment="true" applyProtection="true">
      <alignment horizontal="general" vertical="center" textRotation="0" wrapText="false" indent="0" shrinkToFit="false"/>
      <protection locked="true" hidden="false"/>
    </xf>
    <xf numFmtId="164" fontId="34" fillId="4" borderId="12" xfId="0" applyFont="true" applyBorder="true" applyAlignment="true" applyProtection="true">
      <alignment horizontal="center" vertical="center" textRotation="0" wrapText="false" indent="0" shrinkToFit="false"/>
      <protection locked="true" hidden="false"/>
    </xf>
    <xf numFmtId="164" fontId="56" fillId="4" borderId="0" xfId="0" applyFont="true" applyBorder="true" applyAlignment="true" applyProtection="true">
      <alignment horizontal="general" vertical="center" textRotation="0" wrapText="false" indent="0" shrinkToFit="false"/>
      <protection locked="true" hidden="false"/>
    </xf>
    <xf numFmtId="164" fontId="56" fillId="4" borderId="0" xfId="0" applyFont="true" applyBorder="false" applyAlignment="true" applyProtection="true">
      <alignment horizontal="general" vertical="center" textRotation="0" wrapText="false" indent="0" shrinkToFit="false"/>
      <protection locked="true" hidden="false"/>
    </xf>
    <xf numFmtId="164" fontId="56" fillId="0" borderId="0" xfId="0" applyFont="true" applyBorder="false" applyAlignment="true" applyProtection="true">
      <alignment horizontal="general" vertical="center" textRotation="0" wrapText="false" indent="0" shrinkToFit="false"/>
      <protection locked="true" hidden="false"/>
    </xf>
    <xf numFmtId="164" fontId="34" fillId="4" borderId="11" xfId="0" applyFont="true" applyBorder="true" applyAlignment="true" applyProtection="true">
      <alignment horizontal="center" vertical="center" textRotation="0" wrapText="false" indent="0" shrinkToFit="false"/>
      <protection locked="true" hidden="false"/>
    </xf>
    <xf numFmtId="164" fontId="34" fillId="4" borderId="13" xfId="0" applyFont="true" applyBorder="true" applyAlignment="true" applyProtection="true">
      <alignment horizontal="center" vertical="center" textRotation="0" wrapText="false" indent="0" shrinkToFit="false"/>
      <protection locked="true" hidden="false"/>
    </xf>
    <xf numFmtId="164" fontId="22" fillId="4" borderId="0" xfId="0" applyFont="true" applyBorder="false" applyAlignment="true" applyProtection="true">
      <alignment horizontal="center" vertical="center" textRotation="0" wrapText="true" indent="0" shrinkToFit="false"/>
      <protection locked="true" hidden="false"/>
    </xf>
    <xf numFmtId="166" fontId="22" fillId="4" borderId="0" xfId="0" applyFont="true" applyBorder="false" applyAlignment="true" applyProtection="true">
      <alignment horizontal="center" vertical="center" textRotation="0" wrapText="true" indent="0" shrinkToFit="false"/>
      <protection locked="true" hidden="false"/>
    </xf>
    <xf numFmtId="164" fontId="12" fillId="4" borderId="0" xfId="0" applyFont="true" applyBorder="true" applyAlignment="true" applyProtection="true">
      <alignment horizontal="general" vertical="center" textRotation="0" wrapText="false" indent="0" shrinkToFit="false"/>
      <protection locked="true" hidden="false"/>
    </xf>
    <xf numFmtId="164" fontId="12" fillId="0" borderId="0" xfId="0" applyFont="true" applyBorder="true" applyAlignment="true" applyProtection="true">
      <alignment horizontal="general" vertical="center" textRotation="0" wrapText="false" indent="0" shrinkToFit="false"/>
      <protection locked="true" hidden="false"/>
    </xf>
    <xf numFmtId="164" fontId="12" fillId="0" borderId="2" xfId="0" applyFont="true" applyBorder="true" applyAlignment="true" applyProtection="true">
      <alignment horizontal="general" vertical="center" textRotation="0" wrapText="false" indent="0" shrinkToFit="false"/>
      <protection locked="true" hidden="false"/>
    </xf>
    <xf numFmtId="164" fontId="51" fillId="0" borderId="3" xfId="0" applyFont="true" applyBorder="true" applyAlignment="true" applyProtection="true">
      <alignment horizontal="left" vertical="center" textRotation="0" wrapText="true" indent="0" shrinkToFit="false"/>
      <protection locked="true" hidden="false"/>
    </xf>
    <xf numFmtId="166" fontId="22" fillId="0" borderId="0" xfId="0" applyFont="true" applyBorder="false" applyAlignment="true" applyProtection="true">
      <alignment horizontal="center" vertical="center" textRotation="0" wrapText="false" indent="0" shrinkToFit="false"/>
      <protection locked="true" hidden="false"/>
    </xf>
    <xf numFmtId="164" fontId="12" fillId="0" borderId="0" xfId="0" applyFont="true" applyBorder="false" applyAlignment="true" applyProtection="true">
      <alignment horizontal="general" vertical="center" textRotation="0" wrapText="false" indent="0" shrinkToFit="false"/>
      <protection locked="true" hidden="false"/>
    </xf>
    <xf numFmtId="164" fontId="34" fillId="0" borderId="3" xfId="0" applyFont="true" applyBorder="true" applyAlignment="true" applyProtection="true">
      <alignment horizontal="center" vertical="center" textRotation="0" wrapText="true" indent="0" shrinkToFit="false"/>
      <protection locked="true" hidden="false"/>
    </xf>
    <xf numFmtId="164" fontId="12" fillId="4" borderId="8" xfId="0" applyFont="true" applyBorder="true" applyAlignment="true" applyProtection="true">
      <alignment horizontal="left" vertical="center" textRotation="0" wrapText="true" indent="0" shrinkToFit="false"/>
      <protection locked="true" hidden="false"/>
    </xf>
    <xf numFmtId="0" fontId="34" fillId="4" borderId="3" xfId="20" applyFont="true" applyBorder="true" applyAlignment="true" applyProtection="true">
      <alignment horizontal="center" vertical="center" textRotation="0" wrapText="true" indent="0" shrinkToFit="false"/>
      <protection locked="true" hidden="false"/>
    </xf>
    <xf numFmtId="0" fontId="34" fillId="4" borderId="3" xfId="20" applyFont="true" applyBorder="true" applyAlignment="true" applyProtection="true">
      <alignment horizontal="left" vertical="center" textRotation="0" wrapText="true" indent="0" shrinkToFit="false"/>
      <protection locked="true" hidden="false"/>
    </xf>
    <xf numFmtId="164" fontId="12" fillId="4" borderId="0" xfId="0" applyFont="true" applyBorder="false" applyAlignment="true" applyProtection="true">
      <alignment horizontal="general" vertical="center" textRotation="0" wrapText="false" indent="0" shrinkToFit="false"/>
      <protection locked="true" hidden="false"/>
    </xf>
    <xf numFmtId="164" fontId="41" fillId="4" borderId="3" xfId="0" applyFont="true" applyBorder="true" applyAlignment="true" applyProtection="true">
      <alignment horizontal="center" vertical="center" textRotation="0" wrapText="true" indent="0" shrinkToFit="false"/>
      <protection locked="true" hidden="false"/>
    </xf>
    <xf numFmtId="166" fontId="22" fillId="4" borderId="0" xfId="0" applyFont="true" applyBorder="false" applyAlignment="true" applyProtection="true">
      <alignment horizontal="center" vertical="center" textRotation="0" wrapText="false" indent="0" shrinkToFit="false"/>
      <protection locked="true" hidden="false"/>
    </xf>
    <xf numFmtId="164" fontId="37" fillId="0" borderId="3" xfId="20" applyFont="true" applyBorder="true" applyAlignment="true" applyProtection="true">
      <alignment horizontal="left" vertical="center" textRotation="0" wrapText="true" indent="0" shrinkToFit="false"/>
      <protection locked="true" hidden="false"/>
    </xf>
    <xf numFmtId="166" fontId="55" fillId="4" borderId="0" xfId="0" applyFont="true" applyBorder="false" applyAlignment="true" applyProtection="true">
      <alignment horizontal="general" vertical="center" textRotation="0" wrapText="true" indent="0" shrinkToFit="false"/>
      <protection locked="true" hidden="false"/>
    </xf>
    <xf numFmtId="164" fontId="59" fillId="4" borderId="0" xfId="0" applyFont="true" applyBorder="true" applyAlignment="true" applyProtection="true">
      <alignment horizontal="general" vertical="bottom" textRotation="0" wrapText="true" indent="0" shrinkToFit="false"/>
      <protection locked="true" hidden="false"/>
    </xf>
    <xf numFmtId="164" fontId="59" fillId="4" borderId="0" xfId="0" applyFont="true" applyBorder="true" applyAlignment="true" applyProtection="true">
      <alignment horizontal="general" vertical="center" textRotation="0" wrapText="true" indent="0" shrinkToFit="false"/>
      <protection locked="true" hidden="false"/>
    </xf>
    <xf numFmtId="164" fontId="59" fillId="4" borderId="7" xfId="0" applyFont="true" applyBorder="true" applyAlignment="true" applyProtection="true">
      <alignment horizontal="general" vertical="bottom" textRotation="0" wrapText="true" indent="0" shrinkToFit="false"/>
      <protection locked="true" hidden="false"/>
    </xf>
    <xf numFmtId="164" fontId="59" fillId="0" borderId="0" xfId="0" applyFont="true" applyBorder="true" applyAlignment="true" applyProtection="true">
      <alignment horizontal="general" vertical="center" textRotation="0" wrapText="true" indent="0" shrinkToFit="false"/>
      <protection locked="true" hidden="false"/>
    </xf>
    <xf numFmtId="164" fontId="18" fillId="4" borderId="3" xfId="0" applyFont="true" applyBorder="true" applyAlignment="true" applyProtection="true">
      <alignment horizontal="center" vertical="center" textRotation="0" wrapText="true" indent="0" shrinkToFit="false"/>
      <protection locked="true" hidden="false"/>
    </xf>
    <xf numFmtId="164" fontId="41" fillId="4" borderId="9" xfId="22" applyFont="true" applyBorder="true" applyAlignment="true" applyProtection="true">
      <alignment horizontal="center" vertical="center" textRotation="0" wrapText="true" indent="0" shrinkToFit="false"/>
      <protection locked="true" hidden="false"/>
    </xf>
    <xf numFmtId="164" fontId="55" fillId="4" borderId="0" xfId="0" applyFont="true" applyBorder="true" applyAlignment="true" applyProtection="true">
      <alignment horizontal="general" vertical="center" textRotation="0" wrapText="false" indent="0" shrinkToFit="false"/>
      <protection locked="true" hidden="false"/>
    </xf>
    <xf numFmtId="164" fontId="12" fillId="4" borderId="10" xfId="0" applyFont="true" applyBorder="true" applyAlignment="true" applyProtection="true">
      <alignment horizontal="general" vertical="center" textRotation="0" wrapText="true" indent="0" shrinkToFit="false"/>
      <protection locked="true" hidden="false"/>
    </xf>
    <xf numFmtId="164" fontId="39" fillId="4" borderId="3" xfId="0" applyFont="true" applyBorder="true" applyAlignment="true" applyProtection="true">
      <alignment horizontal="left" vertical="center" textRotation="0" wrapText="true" indent="0" shrinkToFit="false"/>
      <protection locked="true" hidden="false"/>
    </xf>
    <xf numFmtId="170" fontId="24" fillId="0" borderId="0" xfId="0" applyFont="true" applyBorder="false" applyAlignment="true" applyProtection="true">
      <alignment horizontal="general" vertical="center" textRotation="0" wrapText="false" indent="0" shrinkToFit="false"/>
      <protection locked="true" hidden="false"/>
    </xf>
    <xf numFmtId="164" fontId="31" fillId="4" borderId="8" xfId="0" applyFont="true" applyBorder="true" applyAlignment="true" applyProtection="true">
      <alignment horizontal="center" vertical="center" textRotation="0" wrapText="true" indent="0" shrinkToFit="false"/>
      <protection locked="true" hidden="false"/>
    </xf>
    <xf numFmtId="164" fontId="12" fillId="4" borderId="8" xfId="0" applyFont="true" applyBorder="true" applyAlignment="true" applyProtection="true">
      <alignment horizontal="center" vertical="center" textRotation="0" wrapText="true" indent="0" shrinkToFit="false"/>
      <protection locked="true" hidden="false"/>
    </xf>
    <xf numFmtId="174" fontId="12" fillId="4" borderId="8" xfId="0" applyFont="true" applyBorder="true" applyAlignment="true" applyProtection="true">
      <alignment horizontal="center" vertical="center" textRotation="0" wrapText="true" indent="0" shrinkToFit="false"/>
      <protection locked="true" hidden="false"/>
    </xf>
    <xf numFmtId="174" fontId="12" fillId="4" borderId="8" xfId="0" applyFont="true" applyBorder="true" applyAlignment="true" applyProtection="true">
      <alignment horizontal="left" vertical="center" textRotation="0" wrapText="true" indent="0" shrinkToFit="false"/>
      <protection locked="true" hidden="false"/>
    </xf>
    <xf numFmtId="164" fontId="12" fillId="4" borderId="8" xfId="0" applyFont="true" applyBorder="true" applyAlignment="true" applyProtection="true">
      <alignment horizontal="center" vertical="center" textRotation="0" wrapText="false" indent="0" shrinkToFit="false"/>
      <protection locked="true" hidden="false"/>
    </xf>
    <xf numFmtId="164" fontId="34" fillId="4" borderId="8" xfId="20" applyFont="true" applyBorder="true" applyAlignment="true" applyProtection="true">
      <alignment horizontal="center" vertical="center" textRotation="0" wrapText="true" indent="0" shrinkToFit="false"/>
      <protection locked="true" hidden="false"/>
    </xf>
    <xf numFmtId="164" fontId="60" fillId="0" borderId="3" xfId="0" applyFont="true" applyBorder="true" applyAlignment="true" applyProtection="true">
      <alignment horizontal="left" vertical="center" textRotation="0" wrapText="true" indent="0" shrinkToFit="false"/>
      <protection locked="true" hidden="false"/>
    </xf>
    <xf numFmtId="164" fontId="12" fillId="0" borderId="8" xfId="0" applyFont="true" applyBorder="true" applyAlignment="true" applyProtection="true">
      <alignment horizontal="general" vertical="center" textRotation="0" wrapText="true" indent="0" shrinkToFit="false"/>
      <protection locked="true" hidden="false"/>
    </xf>
    <xf numFmtId="164" fontId="12" fillId="0" borderId="8" xfId="0" applyFont="true" applyBorder="true" applyAlignment="true" applyProtection="true">
      <alignment horizontal="center" vertical="bottom" textRotation="0" wrapText="true" indent="0" shrinkToFit="false"/>
      <protection locked="true" hidden="false"/>
    </xf>
    <xf numFmtId="164" fontId="12" fillId="0" borderId="8" xfId="0" applyFont="true" applyBorder="true" applyAlignment="true" applyProtection="true">
      <alignment horizontal="center" vertical="center" textRotation="0" wrapText="true" indent="0" shrinkToFit="false"/>
      <protection locked="true" hidden="false"/>
    </xf>
    <xf numFmtId="164" fontId="12" fillId="4" borderId="2" xfId="0" applyFont="true" applyBorder="true" applyAlignment="true" applyProtection="true">
      <alignment horizontal="left" vertical="center" textRotation="0" wrapText="true" indent="0" shrinkToFit="false"/>
      <protection locked="true" hidden="false"/>
    </xf>
    <xf numFmtId="0" fontId="40" fillId="0" borderId="3" xfId="20" applyFont="true" applyBorder="true" applyAlignment="true" applyProtection="true">
      <alignment horizontal="left" vertical="center" textRotation="0" wrapText="true" indent="0" shrinkToFit="false"/>
      <protection locked="true" hidden="false"/>
    </xf>
    <xf numFmtId="0" fontId="34" fillId="0" borderId="3" xfId="20" applyFont="true" applyBorder="true" applyAlignment="true" applyProtection="true">
      <alignment horizontal="left" vertical="center" textRotation="0" wrapText="true" indent="0" shrinkToFit="false"/>
      <protection locked="true" hidden="false"/>
    </xf>
    <xf numFmtId="164" fontId="50" fillId="4" borderId="8" xfId="0" applyFont="true" applyBorder="true" applyAlignment="true" applyProtection="true">
      <alignment horizontal="center" vertical="center" textRotation="0" wrapText="true" indent="0" shrinkToFit="false"/>
      <protection locked="true" hidden="false"/>
    </xf>
    <xf numFmtId="164" fontId="50" fillId="4" borderId="13" xfId="0" applyFont="true" applyBorder="true" applyAlignment="true" applyProtection="true">
      <alignment horizontal="center" vertical="center" textRotation="0" wrapText="true" indent="0" shrinkToFit="false"/>
      <protection locked="true" hidden="false"/>
    </xf>
    <xf numFmtId="164" fontId="12" fillId="4" borderId="2" xfId="0" applyFont="true" applyBorder="true" applyAlignment="true" applyProtection="true">
      <alignment horizontal="center" vertical="center" textRotation="0" wrapText="true" indent="0" shrinkToFit="false"/>
      <protection locked="true" hidden="false"/>
    </xf>
    <xf numFmtId="164" fontId="61" fillId="0" borderId="0" xfId="0" applyFont="true" applyBorder="false" applyAlignment="true" applyProtection="true">
      <alignment horizontal="general" vertical="center" textRotation="0" wrapText="false" indent="0" shrinkToFit="false"/>
      <protection locked="true" hidden="false"/>
    </xf>
    <xf numFmtId="164" fontId="39" fillId="4" borderId="3" xfId="0" applyFont="true" applyBorder="true" applyAlignment="true" applyProtection="true">
      <alignment horizontal="center" vertical="center" textRotation="0" wrapText="true" indent="0" shrinkToFit="false"/>
      <protection locked="true" hidden="false"/>
    </xf>
    <xf numFmtId="170" fontId="39" fillId="4" borderId="3" xfId="0" applyFont="true" applyBorder="true" applyAlignment="true" applyProtection="true">
      <alignment horizontal="center" vertical="center" textRotation="0" wrapText="true" indent="0" shrinkToFit="false"/>
      <protection locked="true" hidden="false"/>
    </xf>
    <xf numFmtId="164" fontId="40" fillId="4" borderId="3" xfId="20" applyFont="true" applyBorder="true" applyAlignment="true" applyProtection="true">
      <alignment horizontal="center" vertical="center" textRotation="0" wrapText="true" indent="0" shrinkToFit="false"/>
      <protection locked="true" hidden="false"/>
    </xf>
    <xf numFmtId="164" fontId="22" fillId="4" borderId="0" xfId="0" applyFont="true" applyBorder="false" applyAlignment="true" applyProtection="true">
      <alignment horizontal="general" vertical="bottom" textRotation="0" wrapText="false" indent="0" shrinkToFit="false"/>
      <protection locked="true" hidden="false"/>
    </xf>
    <xf numFmtId="164" fontId="62" fillId="4" borderId="3" xfId="0" applyFont="true" applyBorder="true" applyAlignment="true" applyProtection="true">
      <alignment horizontal="left" vertical="center" textRotation="0" wrapText="true" indent="0" shrinkToFit="false"/>
      <protection locked="true" hidden="false"/>
    </xf>
    <xf numFmtId="164" fontId="39" fillId="4" borderId="10" xfId="0" applyFont="true" applyBorder="true" applyAlignment="true" applyProtection="true">
      <alignment horizontal="center" vertical="center" textRotation="0" wrapText="true" indent="0" shrinkToFit="false"/>
      <protection locked="true" hidden="false"/>
    </xf>
    <xf numFmtId="170" fontId="39" fillId="4" borderId="10" xfId="0" applyFont="true" applyBorder="true" applyAlignment="true" applyProtection="true">
      <alignment horizontal="center" vertical="center" textRotation="0" wrapText="true" indent="0" shrinkToFit="false"/>
      <protection locked="true" hidden="false"/>
    </xf>
    <xf numFmtId="164" fontId="39" fillId="4" borderId="10" xfId="0" applyFont="true" applyBorder="true" applyAlignment="true" applyProtection="true">
      <alignment horizontal="left" vertical="center" textRotation="0" wrapText="true" indent="0" shrinkToFit="false"/>
      <protection locked="true" hidden="false"/>
    </xf>
    <xf numFmtId="164" fontId="40" fillId="0" borderId="10" xfId="20" applyFont="true" applyBorder="true" applyAlignment="true" applyProtection="true">
      <alignment horizontal="general" vertical="center" textRotation="0" wrapText="true" indent="0" shrinkToFit="false"/>
      <protection locked="true" hidden="false"/>
    </xf>
    <xf numFmtId="164" fontId="40" fillId="4" borderId="11" xfId="20" applyFont="true" applyBorder="true" applyAlignment="true" applyProtection="true">
      <alignment horizontal="center" vertical="center" textRotation="0" wrapText="true" indent="0" shrinkToFit="false"/>
      <protection locked="true" hidden="false"/>
    </xf>
    <xf numFmtId="164" fontId="18" fillId="0" borderId="3" xfId="0" applyFont="true" applyBorder="true" applyAlignment="true" applyProtection="true">
      <alignment horizontal="center" vertical="center" textRotation="0" wrapText="false" indent="0" shrinkToFit="false"/>
      <protection locked="true" hidden="false"/>
    </xf>
    <xf numFmtId="173" fontId="34" fillId="0" borderId="3" xfId="0" applyFont="true" applyBorder="true" applyAlignment="true" applyProtection="true">
      <alignment horizontal="center" vertical="center" textRotation="0" wrapText="true" indent="0" shrinkToFit="false"/>
      <protection locked="true" hidden="false"/>
    </xf>
    <xf numFmtId="164" fontId="55" fillId="0" borderId="0" xfId="0" applyFont="true" applyBorder="false" applyAlignment="true" applyProtection="true">
      <alignment horizontal="general" vertical="bottom" textRotation="0" wrapText="false" indent="0" shrinkToFit="false"/>
      <protection locked="true" hidden="false"/>
    </xf>
    <xf numFmtId="164" fontId="55" fillId="0" borderId="0" xfId="0" applyFont="true" applyBorder="false" applyAlignment="true" applyProtection="true">
      <alignment horizontal="general" vertical="center" textRotation="0" wrapText="false" indent="0" shrinkToFit="false"/>
      <protection locked="true" hidden="false"/>
    </xf>
    <xf numFmtId="164" fontId="64" fillId="0" borderId="0" xfId="0" applyFont="true" applyBorder="false" applyAlignment="true" applyProtection="true">
      <alignment horizontal="general" vertical="center" textRotation="0" wrapText="false" indent="0" shrinkToFit="false"/>
      <protection locked="true" hidden="false"/>
    </xf>
    <xf numFmtId="174" fontId="55" fillId="0" borderId="0" xfId="0" applyFont="true" applyBorder="false" applyAlignment="true" applyProtection="true">
      <alignment horizontal="general" vertical="center" textRotation="0" wrapText="false" indent="0" shrinkToFit="false"/>
      <protection locked="true" hidden="false"/>
    </xf>
    <xf numFmtId="164" fontId="55" fillId="0" borderId="7" xfId="0" applyFont="true" applyBorder="true" applyAlignment="true" applyProtection="true">
      <alignment horizontal="center" vertical="center" textRotation="0" wrapText="false" indent="0" shrinkToFit="false"/>
      <protection locked="true" hidden="false"/>
    </xf>
    <xf numFmtId="164" fontId="65" fillId="4" borderId="0" xfId="0" applyFont="true" applyBorder="false" applyAlignment="true" applyProtection="true">
      <alignment horizontal="general" vertical="center" textRotation="0" wrapText="true" indent="0" shrinkToFit="false"/>
      <protection locked="true" hidden="false"/>
    </xf>
    <xf numFmtId="164" fontId="65" fillId="0" borderId="0" xfId="0" applyFont="true" applyBorder="false" applyAlignment="true" applyProtection="true">
      <alignment horizontal="general" vertical="center" textRotation="0" wrapText="true" indent="0" shrinkToFit="false"/>
      <protection locked="true" hidden="false"/>
    </xf>
    <xf numFmtId="164" fontId="66" fillId="4" borderId="0" xfId="0" applyFont="true" applyBorder="false" applyAlignment="true" applyProtection="true">
      <alignment horizontal="center" vertical="bottom" textRotation="0" wrapText="true" indent="0" shrinkToFit="false"/>
      <protection locked="true" hidden="false"/>
    </xf>
    <xf numFmtId="164" fontId="66" fillId="4" borderId="0" xfId="0" applyFont="true" applyBorder="false" applyAlignment="true" applyProtection="true">
      <alignment horizontal="center" vertical="center" textRotation="0" wrapText="true" indent="0" shrinkToFit="false"/>
      <protection locked="true" hidden="false"/>
    </xf>
    <xf numFmtId="164" fontId="66" fillId="4" borderId="7" xfId="0" applyFont="true" applyBorder="true" applyAlignment="true" applyProtection="true">
      <alignment horizontal="center" vertical="bottom" textRotation="0" wrapText="true" indent="0" shrinkToFit="false"/>
      <protection locked="true" hidden="false"/>
    </xf>
    <xf numFmtId="164" fontId="66" fillId="0" borderId="0" xfId="0" applyFont="true" applyBorder="false" applyAlignment="true" applyProtection="true">
      <alignment horizontal="center" vertical="center" textRotation="0" wrapText="true" indent="0" shrinkToFit="false"/>
      <protection locked="true" hidden="false"/>
    </xf>
    <xf numFmtId="164" fontId="67" fillId="0" borderId="0" xfId="0" applyFont="true" applyBorder="false" applyAlignment="true" applyProtection="true">
      <alignment horizontal="center" vertical="center" textRotation="0" wrapText="false" indent="0" shrinkToFit="false"/>
      <protection locked="true" hidden="false"/>
    </xf>
    <xf numFmtId="164" fontId="65" fillId="4" borderId="0" xfId="0" applyFont="true" applyBorder="false" applyAlignment="true" applyProtection="true">
      <alignment horizontal="general" vertical="bottom" textRotation="0" wrapText="true" indent="0" shrinkToFit="false"/>
      <protection locked="true" hidden="false"/>
    </xf>
    <xf numFmtId="164" fontId="65" fillId="4" borderId="7" xfId="0" applyFont="true" applyBorder="true" applyAlignment="true" applyProtection="true">
      <alignment horizontal="general" vertical="bottom" textRotation="0" wrapText="true" indent="0" shrinkToFit="false"/>
      <protection locked="true" hidden="false"/>
    </xf>
    <xf numFmtId="164" fontId="24" fillId="0" borderId="7" xfId="0" applyFont="true" applyBorder="true" applyAlignment="true" applyProtection="true">
      <alignment horizontal="general" vertical="center" textRotation="0" wrapText="false" indent="0" shrinkToFit="false"/>
      <protection locked="true" hidden="false"/>
    </xf>
    <xf numFmtId="164" fontId="68" fillId="0" borderId="0" xfId="0" applyFont="true" applyBorder="true" applyAlignment="true" applyProtection="true">
      <alignment horizontal="general" vertical="bottom" textRotation="0" wrapText="true" indent="0" shrinkToFit="false"/>
      <protection locked="true" hidden="false"/>
    </xf>
    <xf numFmtId="164" fontId="69" fillId="12" borderId="0" xfId="0" applyFont="true" applyBorder="true" applyAlignment="true" applyProtection="true">
      <alignment horizontal="center" vertical="center" textRotation="0" wrapText="true" indent="0" shrinkToFit="false"/>
      <protection locked="true" hidden="false"/>
    </xf>
    <xf numFmtId="164" fontId="70" fillId="3" borderId="14" xfId="0" applyFont="true" applyBorder="true" applyAlignment="true" applyProtection="true">
      <alignment horizontal="center" vertical="center" textRotation="0" wrapText="false" indent="0" shrinkToFit="false"/>
      <protection locked="true" hidden="false"/>
    </xf>
    <xf numFmtId="164" fontId="70" fillId="3" borderId="14" xfId="0" applyFont="true" applyBorder="true" applyAlignment="true" applyProtection="true">
      <alignment horizontal="center" vertical="center" textRotation="0" wrapText="true" indent="0" shrinkToFit="false"/>
      <protection locked="true" hidden="false"/>
    </xf>
    <xf numFmtId="164" fontId="71" fillId="0" borderId="0" xfId="0" applyFont="true" applyBorder="true" applyAlignment="true" applyProtection="true">
      <alignment horizontal="general" vertical="center" textRotation="0" wrapText="false" indent="0" shrinkToFit="false"/>
      <protection locked="true" hidden="false"/>
    </xf>
    <xf numFmtId="164" fontId="71" fillId="0" borderId="0" xfId="0" applyFont="true" applyBorder="true" applyAlignment="true" applyProtection="true">
      <alignment horizontal="general" vertical="center" textRotation="0" wrapText="true" indent="0" shrinkToFit="false"/>
      <protection locked="true" hidden="false"/>
    </xf>
    <xf numFmtId="164" fontId="12" fillId="4" borderId="14" xfId="0" applyFont="true" applyBorder="true" applyAlignment="true" applyProtection="true">
      <alignment horizontal="general" vertical="center" textRotation="0" wrapText="true" indent="0" shrinkToFit="false"/>
      <protection locked="true" hidden="false"/>
    </xf>
    <xf numFmtId="164" fontId="12" fillId="0" borderId="14" xfId="0" applyFont="true" applyBorder="true" applyAlignment="true" applyProtection="true">
      <alignment horizontal="general" vertical="center" textRotation="0" wrapText="true" indent="0" shrinkToFit="false"/>
      <protection locked="true" hidden="false"/>
    </xf>
    <xf numFmtId="164" fontId="12" fillId="0" borderId="14" xfId="0" applyFont="true" applyBorder="true" applyAlignment="true" applyProtection="true">
      <alignment horizontal="general" vertical="center" textRotation="0" wrapText="false" indent="0" shrinkToFit="false"/>
      <protection locked="true" hidden="false"/>
    </xf>
    <xf numFmtId="164" fontId="12" fillId="13" borderId="14" xfId="0" applyFont="true" applyBorder="true" applyAlignment="true" applyProtection="true">
      <alignment horizontal="general" vertical="center" textRotation="0" wrapText="true" indent="0" shrinkToFit="false"/>
      <protection locked="true" hidden="false"/>
    </xf>
    <xf numFmtId="164" fontId="12" fillId="4" borderId="14" xfId="0" applyFont="true" applyBorder="true" applyAlignment="true" applyProtection="true">
      <alignment horizontal="left" vertical="center" textRotation="0" wrapText="false" indent="0" shrinkToFit="false"/>
      <protection locked="true" hidden="false"/>
    </xf>
    <xf numFmtId="164" fontId="12" fillId="4" borderId="14" xfId="0" applyFont="true" applyBorder="true" applyAlignment="true" applyProtection="true">
      <alignment horizontal="left" vertical="center" textRotation="0" wrapText="true" indent="0" shrinkToFit="false"/>
      <protection locked="true" hidden="false"/>
    </xf>
    <xf numFmtId="164" fontId="12" fillId="4" borderId="14" xfId="0" applyFont="true" applyBorder="true" applyAlignment="true" applyProtection="true">
      <alignment horizontal="general" vertical="center" textRotation="0" wrapText="false" indent="0" shrinkToFit="false"/>
      <protection locked="true" hidden="false"/>
    </xf>
    <xf numFmtId="164" fontId="12" fillId="0" borderId="14" xfId="0" applyFont="true" applyBorder="true" applyAlignment="true" applyProtection="true">
      <alignment horizontal="left" vertical="center" textRotation="0" wrapText="true" indent="0" shrinkToFit="false"/>
      <protection locked="true" hidden="false"/>
    </xf>
    <xf numFmtId="164" fontId="24" fillId="0" borderId="15" xfId="0" applyFont="true" applyBorder="true" applyAlignment="true" applyProtection="true">
      <alignment horizontal="general" vertical="center" textRotation="0" wrapText="false" indent="0" shrinkToFit="false"/>
      <protection locked="true" hidden="false"/>
    </xf>
    <xf numFmtId="0" fontId="24" fillId="0" borderId="0" xfId="0" applyFont="true" applyBorder="false" applyAlignment="true" applyProtection="true">
      <alignment horizontal="general" vertical="center" textRotation="0" wrapText="false" indent="0" shrinkToFit="false"/>
      <protection locked="true" hidden="false"/>
    </xf>
    <xf numFmtId="164" fontId="8" fillId="4" borderId="0" xfId="0" applyFont="true" applyBorder="false" applyAlignment="true" applyProtection="true">
      <alignment horizontal="general" vertical="center" textRotation="0" wrapText="false" indent="0" shrinkToFit="false"/>
      <protection locked="true" hidden="false"/>
    </xf>
    <xf numFmtId="164" fontId="73" fillId="4" borderId="0" xfId="0" applyFont="true" applyBorder="false" applyAlignment="true" applyProtection="true">
      <alignment horizontal="general" vertical="center" textRotation="0" wrapText="false" indent="0" shrinkToFit="false"/>
      <protection locked="true" hidden="false"/>
    </xf>
    <xf numFmtId="164" fontId="73" fillId="14" borderId="0" xfId="0" applyFont="true" applyBorder="false" applyAlignment="true" applyProtection="true">
      <alignment horizontal="general" vertical="center" textRotation="0" wrapText="false" indent="0" shrinkToFit="false"/>
      <protection locked="true" hidden="false"/>
    </xf>
    <xf numFmtId="164" fontId="73" fillId="14" borderId="0" xfId="0" applyFont="true" applyBorder="true" applyAlignment="true" applyProtection="true">
      <alignment horizontal="general" vertical="center" textRotation="0" wrapText="false" indent="0" shrinkToFit="false"/>
      <protection locked="true" hidden="false"/>
    </xf>
    <xf numFmtId="164" fontId="30" fillId="4" borderId="16" xfId="0" applyFont="true" applyBorder="true" applyAlignment="true" applyProtection="true">
      <alignment horizontal="left" vertical="center" textRotation="0" wrapText="true" indent="0" shrinkToFit="false"/>
      <protection locked="true" hidden="false"/>
    </xf>
    <xf numFmtId="164" fontId="12" fillId="0" borderId="9" xfId="0" applyFont="true" applyBorder="true" applyAlignment="true" applyProtection="true">
      <alignment horizontal="left" vertical="center" textRotation="0" wrapText="false" indent="0" shrinkToFit="false"/>
      <protection locked="true" hidden="false"/>
    </xf>
    <xf numFmtId="164" fontId="12" fillId="0" borderId="10" xfId="0" applyFont="true" applyBorder="true" applyAlignment="true" applyProtection="true">
      <alignment horizontal="left" vertical="center" textRotation="0" wrapText="false" indent="0" shrinkToFit="false"/>
      <protection locked="true" hidden="false"/>
    </xf>
    <xf numFmtId="164" fontId="12" fillId="0" borderId="11" xfId="0" applyFont="true" applyBorder="true" applyAlignment="true" applyProtection="true">
      <alignment horizontal="left" vertical="center" textRotation="0" wrapText="false" indent="0" shrinkToFit="false"/>
      <protection locked="true" hidden="false"/>
    </xf>
    <xf numFmtId="164" fontId="75" fillId="0" borderId="3" xfId="0" applyFont="true" applyBorder="true" applyAlignment="true" applyProtection="true">
      <alignment horizontal="general" vertical="center" textRotation="0" wrapText="true" indent="0" shrinkToFit="false"/>
      <protection locked="true" hidden="false"/>
    </xf>
    <xf numFmtId="164" fontId="11" fillId="0" borderId="3" xfId="0" applyFont="true" applyBorder="true" applyAlignment="true" applyProtection="true">
      <alignment horizontal="general" vertical="center" textRotation="0" wrapText="true" indent="0" shrinkToFit="false"/>
      <protection locked="true" hidden="false"/>
    </xf>
    <xf numFmtId="0" fontId="12" fillId="0" borderId="3" xfId="0" applyFont="true" applyBorder="true" applyAlignment="true" applyProtection="true">
      <alignment horizontal="general" vertical="center" textRotation="0" wrapText="true" indent="0" shrinkToFit="false"/>
      <protection locked="true" hidden="false"/>
    </xf>
    <xf numFmtId="0" fontId="12" fillId="0" borderId="3" xfId="0" applyFont="true" applyBorder="true" applyAlignment="true" applyProtection="true">
      <alignment horizontal="center" vertical="center" textRotation="0" wrapText="true" indent="0" shrinkToFit="false"/>
      <protection locked="true" hidden="false"/>
    </xf>
    <xf numFmtId="164" fontId="12" fillId="4" borderId="3" xfId="0" applyFont="true" applyBorder="true" applyAlignment="true" applyProtection="true">
      <alignment horizontal="left" vertical="center" textRotation="0" wrapText="false" indent="0" shrinkToFit="false"/>
      <protection locked="true" hidden="false"/>
    </xf>
    <xf numFmtId="164" fontId="35" fillId="4" borderId="3" xfId="0" applyFont="true" applyBorder="true" applyAlignment="true" applyProtection="true">
      <alignment horizontal="center" vertical="center" textRotation="0" wrapText="false" indent="0" shrinkToFit="false"/>
      <protection locked="true" hidden="false"/>
    </xf>
    <xf numFmtId="164" fontId="12" fillId="4" borderId="9" xfId="0" applyFont="true" applyBorder="true" applyAlignment="true" applyProtection="true">
      <alignment horizontal="left" vertical="center" textRotation="0" wrapText="false" indent="0" shrinkToFit="false"/>
      <protection locked="true" hidden="false"/>
    </xf>
    <xf numFmtId="164" fontId="12" fillId="4" borderId="10" xfId="0" applyFont="true" applyBorder="true" applyAlignment="true" applyProtection="true">
      <alignment horizontal="left" vertical="center" textRotation="0" wrapText="false" indent="0" shrinkToFit="false"/>
      <protection locked="true" hidden="false"/>
    </xf>
    <xf numFmtId="164" fontId="12" fillId="4" borderId="11" xfId="0" applyFont="true" applyBorder="true" applyAlignment="true" applyProtection="true">
      <alignment horizontal="left" vertical="center" textRotation="0" wrapText="false" indent="0" shrinkToFit="false"/>
      <protection locked="true" hidden="false"/>
    </xf>
    <xf numFmtId="164" fontId="60" fillId="4" borderId="3" xfId="0" applyFont="true" applyBorder="true" applyAlignment="true" applyProtection="true">
      <alignment horizontal="general" vertical="center" textRotation="0" wrapText="false" indent="0" shrinkToFit="false"/>
      <protection locked="true" hidden="false"/>
    </xf>
    <xf numFmtId="0" fontId="12" fillId="0" borderId="3" xfId="0" applyFont="true" applyBorder="true" applyAlignment="true" applyProtection="true">
      <alignment horizontal="general" vertical="center" textRotation="0" wrapText="false" indent="0" shrinkToFit="false"/>
      <protection locked="true" hidden="false"/>
    </xf>
    <xf numFmtId="164" fontId="12" fillId="4" borderId="3" xfId="0" applyFont="true" applyBorder="true" applyAlignment="true" applyProtection="true">
      <alignment horizontal="general" vertical="center" textRotation="0" wrapText="false" indent="0" shrinkToFit="false"/>
      <protection locked="true" hidden="false"/>
    </xf>
    <xf numFmtId="164" fontId="60" fillId="4" borderId="3" xfId="0" applyFont="true" applyBorder="true" applyAlignment="true" applyProtection="true">
      <alignment horizontal="general" vertical="center" textRotation="0" wrapText="true" indent="0" shrinkToFit="false"/>
      <protection locked="true" hidden="false"/>
    </xf>
    <xf numFmtId="164" fontId="29" fillId="7" borderId="4" xfId="0" applyFont="true" applyBorder="true" applyAlignment="true" applyProtection="true">
      <alignment horizontal="left" vertical="center" textRotation="0" wrapText="true" indent="0" shrinkToFit="false"/>
      <protection locked="true" hidden="false"/>
    </xf>
    <xf numFmtId="164" fontId="76" fillId="0" borderId="0" xfId="0" applyFont="true" applyBorder="false" applyAlignment="true" applyProtection="true">
      <alignment horizontal="general" vertical="center" textRotation="0" wrapText="false" indent="0" shrinkToFit="false"/>
      <protection locked="true" hidden="false"/>
    </xf>
    <xf numFmtId="164" fontId="77" fillId="0" borderId="0" xfId="0" applyFont="true" applyBorder="false" applyAlignment="true" applyProtection="true">
      <alignment horizontal="general" vertical="center" textRotation="0" wrapText="false" indent="0" shrinkToFit="false"/>
      <protection locked="true" hidden="false"/>
    </xf>
    <xf numFmtId="164" fontId="78" fillId="0" borderId="0" xfId="0" applyFont="true" applyBorder="true" applyAlignment="true" applyProtection="true">
      <alignment horizontal="general" vertical="center" textRotation="0" wrapText="false" indent="0" shrinkToFit="false"/>
      <protection locked="true" hidden="false"/>
    </xf>
    <xf numFmtId="164" fontId="12" fillId="0" borderId="3" xfId="0" applyFont="true" applyBorder="true" applyAlignment="true" applyProtection="true">
      <alignment horizontal="center" vertical="center" textRotation="0" wrapText="false" indent="0" shrinkToFit="false"/>
      <protection locked="true" hidden="false"/>
    </xf>
    <xf numFmtId="164" fontId="79" fillId="0" borderId="0" xfId="0" applyFont="true" applyBorder="true" applyAlignment="true" applyProtection="true">
      <alignment horizontal="general" vertical="bottom" textRotation="0" wrapText="false" indent="0" shrinkToFit="false"/>
      <protection locked="true" hidden="false"/>
    </xf>
    <xf numFmtId="164" fontId="11" fillId="0" borderId="3" xfId="0" applyFont="true" applyBorder="true" applyAlignment="true" applyProtection="true">
      <alignment horizontal="general" vertical="center" textRotation="0" wrapText="false" indent="0" shrinkToFit="false"/>
      <protection locked="true" hidden="false"/>
    </xf>
    <xf numFmtId="164" fontId="11" fillId="0" borderId="3" xfId="0" applyFont="true" applyBorder="true" applyAlignment="true" applyProtection="true">
      <alignment horizontal="center" vertical="center" textRotation="0" wrapText="true" indent="0" shrinkToFit="false"/>
      <protection locked="true" hidden="false"/>
    </xf>
    <xf numFmtId="164" fontId="11" fillId="0" borderId="3" xfId="0" applyFont="true" applyBorder="true" applyAlignment="true" applyProtection="true">
      <alignment horizontal="center" vertical="center" textRotation="0" wrapText="false" indent="0" shrinkToFit="false"/>
      <protection locked="true" hidden="false"/>
    </xf>
    <xf numFmtId="164" fontId="81" fillId="0" borderId="0" xfId="0" applyFont="true" applyBorder="true" applyAlignment="true" applyProtection="true">
      <alignment horizontal="general" vertical="center" textRotation="0" wrapText="false" indent="0" shrinkToFit="false"/>
      <protection locked="true" hidden="false"/>
    </xf>
    <xf numFmtId="164" fontId="12" fillId="4" borderId="14" xfId="0" applyFont="true" applyBorder="true" applyAlignment="true" applyProtection="true">
      <alignment horizontal="center" vertical="center" textRotation="0" wrapText="false" indent="0" shrinkToFit="false"/>
      <protection locked="true" hidden="false"/>
    </xf>
    <xf numFmtId="164" fontId="12" fillId="4" borderId="14" xfId="0" applyFont="true" applyBorder="true" applyAlignment="true" applyProtection="true">
      <alignment horizontal="center" vertical="center" textRotation="0" wrapText="true" indent="0" shrinkToFit="false"/>
      <protection locked="true" hidden="false"/>
    </xf>
    <xf numFmtId="164" fontId="82" fillId="4" borderId="14" xfId="0" applyFont="true" applyBorder="true" applyAlignment="true" applyProtection="true">
      <alignment horizontal="center" vertical="center" textRotation="0" wrapText="true" indent="0" shrinkToFit="false"/>
      <protection locked="true" hidden="false"/>
    </xf>
    <xf numFmtId="164" fontId="76" fillId="4" borderId="0" xfId="0" applyFont="true" applyBorder="false" applyAlignment="true" applyProtection="true">
      <alignment horizontal="general" vertical="center" textRotation="0" wrapText="false" indent="0" shrinkToFit="false"/>
      <protection locked="true" hidden="false"/>
    </xf>
    <xf numFmtId="164" fontId="79" fillId="4" borderId="0" xfId="0" applyFont="true" applyBorder="true" applyAlignment="true" applyProtection="true">
      <alignment horizontal="general" vertical="center" textRotation="0" wrapText="false" indent="0" shrinkToFit="false"/>
      <protection locked="true" hidden="false"/>
    </xf>
    <xf numFmtId="164" fontId="24" fillId="4" borderId="8" xfId="0" applyFont="true" applyBorder="true" applyAlignment="true" applyProtection="true">
      <alignment horizontal="center" vertical="center" textRotation="0" wrapText="true" indent="0" shrinkToFit="false"/>
      <protection locked="true" hidden="false"/>
    </xf>
    <xf numFmtId="164" fontId="79" fillId="4" borderId="0" xfId="0" applyFont="true" applyBorder="true" applyAlignment="true" applyProtection="true">
      <alignment horizontal="general" vertical="bottom" textRotation="0" wrapText="false" indent="0" shrinkToFit="false"/>
      <protection locked="true" hidden="false"/>
    </xf>
    <xf numFmtId="168" fontId="83" fillId="15" borderId="5" xfId="0" applyFont="true" applyBorder="true" applyAlignment="true" applyProtection="true">
      <alignment horizontal="right" vertical="center" textRotation="0" wrapText="true" indent="0" shrinkToFit="false"/>
      <protection locked="true" hidden="false"/>
    </xf>
    <xf numFmtId="164" fontId="12" fillId="4" borderId="17" xfId="0" applyFont="true" applyBorder="true" applyAlignment="true" applyProtection="true">
      <alignment horizontal="center" vertical="center" textRotation="0" wrapText="true" indent="0" shrinkToFit="false"/>
      <protection locked="true" hidden="false"/>
    </xf>
    <xf numFmtId="164" fontId="74" fillId="6" borderId="5" xfId="0" applyFont="true" applyBorder="true" applyAlignment="true" applyProtection="true">
      <alignment horizontal="center" vertical="center" textRotation="0" wrapText="true" indent="0" shrinkToFit="false"/>
      <protection locked="true" hidden="false"/>
    </xf>
    <xf numFmtId="164" fontId="20" fillId="0" borderId="3" xfId="0" applyFont="true" applyBorder="true" applyAlignment="true" applyProtection="true">
      <alignment horizontal="left" vertical="center" textRotation="0" wrapText="true" indent="0" shrinkToFit="false"/>
      <protection locked="true" hidden="false"/>
    </xf>
    <xf numFmtId="164" fontId="14" fillId="0" borderId="0" xfId="0" applyFont="true" applyBorder="false" applyAlignment="true" applyProtection="true">
      <alignment horizontal="general" vertical="center" textRotation="0" wrapText="false" indent="0" shrinkToFit="false"/>
      <protection locked="true" hidden="false"/>
    </xf>
    <xf numFmtId="164" fontId="84" fillId="4" borderId="3" xfId="0" applyFont="true" applyBorder="true" applyAlignment="true" applyProtection="true">
      <alignment horizontal="center" vertical="center" textRotation="0" wrapText="true" indent="0" shrinkToFit="false"/>
      <protection locked="true" hidden="false"/>
    </xf>
    <xf numFmtId="164" fontId="20" fillId="4" borderId="3" xfId="0" applyFont="true" applyBorder="true" applyAlignment="true" applyProtection="true">
      <alignment horizontal="left" vertical="center" textRotation="0" wrapText="true" indent="0" shrinkToFit="false"/>
      <protection locked="true" hidden="false"/>
    </xf>
    <xf numFmtId="164" fontId="20" fillId="4" borderId="14" xfId="0" applyFont="true" applyBorder="true" applyAlignment="true" applyProtection="true">
      <alignment horizontal="center" vertical="center" textRotation="0" wrapText="true" indent="0" shrinkToFit="false"/>
      <protection locked="true" hidden="false"/>
    </xf>
    <xf numFmtId="164" fontId="89" fillId="4" borderId="0" xfId="0" applyFont="true" applyBorder="true" applyAlignment="true" applyProtection="false">
      <alignment horizontal="general" vertical="center" textRotation="0" wrapText="true" indent="0" shrinkToFit="false"/>
      <protection locked="true" hidden="false"/>
    </xf>
    <xf numFmtId="164" fontId="32" fillId="4" borderId="0" xfId="0" applyFont="true" applyBorder="true" applyAlignment="true" applyProtection="false">
      <alignment horizontal="general" vertical="center" textRotation="0" wrapText="true" indent="0" shrinkToFit="false"/>
      <protection locked="true" hidden="false"/>
    </xf>
    <xf numFmtId="164" fontId="90" fillId="0" borderId="0" xfId="0" applyFont="true" applyBorder="true" applyAlignment="true" applyProtection="false">
      <alignment horizontal="general" vertical="bottom" textRotation="0" wrapText="false" indent="0" shrinkToFit="false"/>
      <protection locked="true" hidden="false"/>
    </xf>
    <xf numFmtId="164" fontId="46" fillId="4" borderId="0" xfId="0" applyFont="true" applyBorder="true" applyAlignment="true" applyProtection="false">
      <alignment horizontal="general" vertical="center" textRotation="0" wrapText="true" indent="0" shrinkToFit="false"/>
      <protection locked="true" hidden="false"/>
    </xf>
    <xf numFmtId="168" fontId="46" fillId="4" borderId="0" xfId="0" applyFont="true" applyBorder="true" applyAlignment="true" applyProtection="false">
      <alignment horizontal="general" vertical="center" textRotation="0" wrapText="true" indent="0" shrinkToFit="false"/>
      <protection locked="true" hidden="false"/>
    </xf>
    <xf numFmtId="164" fontId="27" fillId="4" borderId="0" xfId="0" applyFont="true" applyBorder="true" applyAlignment="true" applyProtection="false">
      <alignment horizontal="center" vertical="center" textRotation="0" wrapText="true" indent="0" shrinkToFit="false"/>
      <protection locked="true" hidden="false"/>
    </xf>
    <xf numFmtId="167" fontId="32" fillId="4" borderId="0" xfId="0" applyFont="true" applyBorder="true" applyAlignment="true" applyProtection="false">
      <alignment horizontal="general" vertical="center" textRotation="0" wrapText="true" indent="0" shrinkToFit="false"/>
      <protection locked="true" hidden="false"/>
    </xf>
    <xf numFmtId="169" fontId="32" fillId="4" borderId="0" xfId="0" applyFont="true" applyBorder="true" applyAlignment="true" applyProtection="false">
      <alignment horizontal="right" vertical="center" textRotation="0" wrapText="true" indent="0" shrinkToFit="false"/>
      <protection locked="true" hidden="false"/>
    </xf>
    <xf numFmtId="168" fontId="32" fillId="4" borderId="0" xfId="0" applyFont="true" applyBorder="true" applyAlignment="true" applyProtection="false">
      <alignment horizontal="right" vertical="center" textRotation="0" wrapText="true" indent="0" shrinkToFit="false"/>
      <protection locked="true" hidden="false"/>
    </xf>
    <xf numFmtId="168" fontId="90" fillId="0" borderId="0" xfId="0" applyFont="true" applyBorder="true" applyAlignment="true" applyProtection="false">
      <alignment horizontal="general" vertical="bottom" textRotation="0" wrapText="false" indent="0" shrinkToFit="false"/>
      <protection locked="true" hidden="false"/>
    </xf>
    <xf numFmtId="0" fontId="32" fillId="4" borderId="0" xfId="0" applyFont="true" applyBorder="true" applyAlignment="true" applyProtection="false" applyNumberFormat="1">
      <alignment horizontal="right" vertical="center" textRotation="0" wrapText="true" indent="0" shrinkToFit="false"/>
      <protection locked="true" hidden="false"/>
    </xf>
    <xf numFmtId="0" fontId="71" fillId="0" borderId="0" xfId="0" applyFont="true" applyBorder="true" applyAlignment="true" applyProtection="true" applyNumberFormat="1">
      <alignment horizontal="general" vertical="center" textRotation="0" wrapText="false" indent="0" shrinkToFit="false"/>
      <protection locked="true" hidden="false"/>
    </xf>
    <xf numFmtId="0" fontId="29" fillId="7" borderId="5" xfId="0" applyFont="true" applyBorder="true" applyAlignment="true" applyProtection="true" applyNumberFormat="1">
      <alignment horizontal="left" vertical="center" textRotation="0" wrapText="tru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常规 169" xfId="21"/>
    <cellStyle name="常规_HOCO iPhone 5" xfId="22"/>
    <cellStyle name="常规_iPhone6—保护类" xfId="23"/>
    <cellStyle name="*unknown*" xfId="20" builtinId="8"/>
  </cellStyles>
  <dxfs count="3">
    <dxf>
      <fill>
        <patternFill>
          <bgColor rgb="FFD2D2D2"/>
        </patternFill>
      </fill>
    </dxf>
    <dxf>
      <fill>
        <patternFill>
          <bgColor rgb="FFE5ECFF"/>
        </patternFill>
      </fill>
    </dxf>
    <dxf>
      <border diagonalUp="false" diagonalDown="false">
        <left/>
        <right/>
        <top/>
        <bottom style="thin">
          <color rgb="FFD9D9D9"/>
        </bottom>
        <diagonal/>
      </border>
    </dxf>
  </dxfs>
  <colors>
    <indexedColors>
      <rgbColor rgb="FF000000"/>
      <rgbColor rgb="FFFFFFFF"/>
      <rgbColor rgb="FFFF0000"/>
      <rgbColor rgb="FF00FF00"/>
      <rgbColor rgb="FF0000FF"/>
      <rgbColor rgb="FFFFFF00"/>
      <rgbColor rgb="FFFF00FF"/>
      <rgbColor rgb="FF00FFFF"/>
      <rgbColor rgb="FF800000"/>
      <rgbColor rgb="FF008000"/>
      <rgbColor rgb="FF171717"/>
      <rgbColor rgb="FF808000"/>
      <rgbColor rgb="FF800080"/>
      <rgbColor rgb="FF008080"/>
      <rgbColor rgb="FFBFBFBF"/>
      <rgbColor rgb="FF808080"/>
      <rgbColor rgb="FFD9D9D9"/>
      <rgbColor rgb="FF404040"/>
      <rgbColor rgb="FFFFFFCC"/>
      <rgbColor rgb="FFE5ECFF"/>
      <rgbColor rgb="FF660066"/>
      <rgbColor rgb="FFED7D31"/>
      <rgbColor rgb="FF0066CC"/>
      <rgbColor rgb="FFD2D2D2"/>
      <rgbColor rgb="FF000080"/>
      <rgbColor rgb="FFFF00FF"/>
      <rgbColor rgb="FFF2F2F2"/>
      <rgbColor rgb="FF00FFFF"/>
      <rgbColor rgb="FF800080"/>
      <rgbColor rgb="FF800000"/>
      <rgbColor rgb="FF008080"/>
      <rgbColor rgb="FF0000FF"/>
      <rgbColor rgb="FF1399FD"/>
      <rgbColor rgb="FFF0F0F0"/>
      <rgbColor rgb="FFE7E6E6"/>
      <rgbColor rgb="FFFFF1E9"/>
      <rgbColor rgb="FFA7C7B1"/>
      <rgbColor rgb="FFD0D0D0"/>
      <rgbColor rgb="FFC3C3C3"/>
      <rgbColor rgb="FFFCE4D6"/>
      <rgbColor rgb="FF3366FF"/>
      <rgbColor rgb="FF33CCCC"/>
      <rgbColor rgb="FF99CC00"/>
      <rgbColor rgb="FFFFCC00"/>
      <rgbColor rgb="FFFF9900"/>
      <rgbColor rgb="FFED752D"/>
      <rgbColor rgb="FF595959"/>
      <rgbColor rgb="FFB4B4B4"/>
      <rgbColor rgb="FF1F2937"/>
      <rgbColor rgb="FF339966"/>
      <rgbColor rgb="FF202020"/>
      <rgbColor rgb="FF262626"/>
      <rgbColor rgb="FF8B3100"/>
      <rgbColor rgb="FF993366"/>
      <rgbColor rgb="FF31526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jpeg"/><Relationship Id="rId4" Type="http://schemas.openxmlformats.org/officeDocument/2006/relationships/image" Target="../media/image4.jpeg"/><Relationship Id="rId5" Type="http://schemas.openxmlformats.org/officeDocument/2006/relationships/image" Target="../media/image5.jpeg"/><Relationship Id="rId6" Type="http://schemas.openxmlformats.org/officeDocument/2006/relationships/image" Target="../media/image6.jpeg"/><Relationship Id="rId7" Type="http://schemas.openxmlformats.org/officeDocument/2006/relationships/image" Target="../media/image7.jpeg"/><Relationship Id="rId8" Type="http://schemas.openxmlformats.org/officeDocument/2006/relationships/image" Target="../media/image8.jpeg"/><Relationship Id="rId9" Type="http://schemas.openxmlformats.org/officeDocument/2006/relationships/image" Target="../media/image9.jpeg"/><Relationship Id="rId10" Type="http://schemas.openxmlformats.org/officeDocument/2006/relationships/image" Target="../media/image10.jpeg"/><Relationship Id="rId11" Type="http://schemas.openxmlformats.org/officeDocument/2006/relationships/image" Target="../media/image11.jpeg"/><Relationship Id="rId12" Type="http://schemas.openxmlformats.org/officeDocument/2006/relationships/image" Target="../media/image12.jpeg"/><Relationship Id="rId13" Type="http://schemas.openxmlformats.org/officeDocument/2006/relationships/image" Target="../media/image13.jpeg"/><Relationship Id="rId14" Type="http://schemas.openxmlformats.org/officeDocument/2006/relationships/image" Target="../media/image14.jpeg"/><Relationship Id="rId15" Type="http://schemas.openxmlformats.org/officeDocument/2006/relationships/image" Target="../media/image15.jpeg"/><Relationship Id="rId16" Type="http://schemas.openxmlformats.org/officeDocument/2006/relationships/image" Target="../media/image16.jpeg"/><Relationship Id="rId17" Type="http://schemas.openxmlformats.org/officeDocument/2006/relationships/image" Target="../media/image17.jpeg"/><Relationship Id="rId18" Type="http://schemas.openxmlformats.org/officeDocument/2006/relationships/image" Target="../media/image18.jpeg"/><Relationship Id="rId19" Type="http://schemas.openxmlformats.org/officeDocument/2006/relationships/image" Target="../media/image19.jpeg"/><Relationship Id="rId20" Type="http://schemas.openxmlformats.org/officeDocument/2006/relationships/image" Target="../media/image20.jpeg"/><Relationship Id="rId21" Type="http://schemas.openxmlformats.org/officeDocument/2006/relationships/image" Target="../media/image21.jpeg"/><Relationship Id="rId22" Type="http://schemas.openxmlformats.org/officeDocument/2006/relationships/image" Target="../media/image22.jpeg"/><Relationship Id="rId23" Type="http://schemas.openxmlformats.org/officeDocument/2006/relationships/image" Target="../media/image20.jpeg"/><Relationship Id="rId24" Type="http://schemas.openxmlformats.org/officeDocument/2006/relationships/image" Target="../media/image21.jpeg"/><Relationship Id="rId25" Type="http://schemas.openxmlformats.org/officeDocument/2006/relationships/image" Target="../media/image22.jpeg"/><Relationship Id="rId26" Type="http://schemas.openxmlformats.org/officeDocument/2006/relationships/image" Target="../media/image20.jpeg"/><Relationship Id="rId27" Type="http://schemas.openxmlformats.org/officeDocument/2006/relationships/image" Target="../media/image21.jpeg"/><Relationship Id="rId28" Type="http://schemas.openxmlformats.org/officeDocument/2006/relationships/image" Target="../media/image22.jpeg"/><Relationship Id="rId29" Type="http://schemas.openxmlformats.org/officeDocument/2006/relationships/image" Target="../media/image23.jpeg"/><Relationship Id="rId30" Type="http://schemas.openxmlformats.org/officeDocument/2006/relationships/image" Target="../media/image24.jpeg"/><Relationship Id="rId31" Type="http://schemas.openxmlformats.org/officeDocument/2006/relationships/image" Target="../media/image25.jpeg"/><Relationship Id="rId32" Type="http://schemas.openxmlformats.org/officeDocument/2006/relationships/image" Target="../media/image26.jpeg"/><Relationship Id="rId33" Type="http://schemas.openxmlformats.org/officeDocument/2006/relationships/image" Target="../media/image27.jpeg"/><Relationship Id="rId34" Type="http://schemas.openxmlformats.org/officeDocument/2006/relationships/image" Target="../media/image28.jpeg"/><Relationship Id="rId35" Type="http://schemas.openxmlformats.org/officeDocument/2006/relationships/image" Target="../media/image29.jpeg"/><Relationship Id="rId36" Type="http://schemas.openxmlformats.org/officeDocument/2006/relationships/image" Target="../media/image30.jpeg"/><Relationship Id="rId37" Type="http://schemas.openxmlformats.org/officeDocument/2006/relationships/image" Target="../media/image31.jpeg"/><Relationship Id="rId38" Type="http://schemas.openxmlformats.org/officeDocument/2006/relationships/image" Target="../media/image32.jpeg"/><Relationship Id="rId39" Type="http://schemas.openxmlformats.org/officeDocument/2006/relationships/image" Target="../media/image33.jpeg"/><Relationship Id="rId40" Type="http://schemas.openxmlformats.org/officeDocument/2006/relationships/image" Target="../media/image34.jpeg"/><Relationship Id="rId41" Type="http://schemas.openxmlformats.org/officeDocument/2006/relationships/image" Target="../media/image33.jpeg"/><Relationship Id="rId42" Type="http://schemas.openxmlformats.org/officeDocument/2006/relationships/image" Target="../media/image34.jpeg"/><Relationship Id="rId43" Type="http://schemas.openxmlformats.org/officeDocument/2006/relationships/image" Target="../media/image35.jpeg"/><Relationship Id="rId44" Type="http://schemas.openxmlformats.org/officeDocument/2006/relationships/image" Target="../media/image36.jpeg"/><Relationship Id="rId45" Type="http://schemas.openxmlformats.org/officeDocument/2006/relationships/image" Target="../media/image37.jpeg"/><Relationship Id="rId46" Type="http://schemas.openxmlformats.org/officeDocument/2006/relationships/image" Target="../media/image38.jpeg"/><Relationship Id="rId47" Type="http://schemas.openxmlformats.org/officeDocument/2006/relationships/image" Target="../media/image39.jpeg"/><Relationship Id="rId48" Type="http://schemas.openxmlformats.org/officeDocument/2006/relationships/image" Target="../media/image40.jpeg"/><Relationship Id="rId49" Type="http://schemas.openxmlformats.org/officeDocument/2006/relationships/image" Target="../media/image41.jpeg"/><Relationship Id="rId50" Type="http://schemas.openxmlformats.org/officeDocument/2006/relationships/image" Target="../media/image42.jpeg"/><Relationship Id="rId51" Type="http://schemas.openxmlformats.org/officeDocument/2006/relationships/image" Target="../media/image43.jpeg"/><Relationship Id="rId52" Type="http://schemas.openxmlformats.org/officeDocument/2006/relationships/image" Target="../media/image44.jpeg"/><Relationship Id="rId53" Type="http://schemas.openxmlformats.org/officeDocument/2006/relationships/image" Target="../media/image45.jpeg"/><Relationship Id="rId54" Type="http://schemas.openxmlformats.org/officeDocument/2006/relationships/image" Target="../media/image46.jpeg"/><Relationship Id="rId55" Type="http://schemas.openxmlformats.org/officeDocument/2006/relationships/image" Target="../media/image47.jpeg"/><Relationship Id="rId56" Type="http://schemas.openxmlformats.org/officeDocument/2006/relationships/image" Target="../media/image48.jpeg"/><Relationship Id="rId57" Type="http://schemas.openxmlformats.org/officeDocument/2006/relationships/image" Target="../media/image49.jpeg"/><Relationship Id="rId58" Type="http://schemas.openxmlformats.org/officeDocument/2006/relationships/image" Target="../media/image50.jpeg"/><Relationship Id="rId59" Type="http://schemas.openxmlformats.org/officeDocument/2006/relationships/image" Target="../media/image51.jpeg"/><Relationship Id="rId60" Type="http://schemas.openxmlformats.org/officeDocument/2006/relationships/image" Target="../media/image52.jpeg"/><Relationship Id="rId61" Type="http://schemas.openxmlformats.org/officeDocument/2006/relationships/image" Target="../media/image53.jpeg"/><Relationship Id="rId62" Type="http://schemas.openxmlformats.org/officeDocument/2006/relationships/image" Target="../media/image54.png"/><Relationship Id="rId63" Type="http://schemas.openxmlformats.org/officeDocument/2006/relationships/image" Target="../media/image55.jpeg"/><Relationship Id="rId64" Type="http://schemas.openxmlformats.org/officeDocument/2006/relationships/image" Target="../media/image56.jpeg"/><Relationship Id="rId65" Type="http://schemas.openxmlformats.org/officeDocument/2006/relationships/image" Target="../media/image57.png"/><Relationship Id="rId66" Type="http://schemas.openxmlformats.org/officeDocument/2006/relationships/image" Target="../media/image57.png"/><Relationship Id="rId67" Type="http://schemas.openxmlformats.org/officeDocument/2006/relationships/image" Target="../media/image57.png"/><Relationship Id="rId68" Type="http://schemas.openxmlformats.org/officeDocument/2006/relationships/image" Target="../media/image57.png"/><Relationship Id="rId69" Type="http://schemas.openxmlformats.org/officeDocument/2006/relationships/image" Target="../media/image57.png"/><Relationship Id="rId70" Type="http://schemas.openxmlformats.org/officeDocument/2006/relationships/image" Target="../media/image57.png"/><Relationship Id="rId71" Type="http://schemas.openxmlformats.org/officeDocument/2006/relationships/image" Target="../media/image57.png"/><Relationship Id="rId72" Type="http://schemas.openxmlformats.org/officeDocument/2006/relationships/image" Target="../media/image57.png"/><Relationship Id="rId73" Type="http://schemas.openxmlformats.org/officeDocument/2006/relationships/image" Target="../media/image57.png"/><Relationship Id="rId74" Type="http://schemas.openxmlformats.org/officeDocument/2006/relationships/image" Target="../media/image57.png"/><Relationship Id="rId75" Type="http://schemas.openxmlformats.org/officeDocument/2006/relationships/image" Target="../media/image57.png"/><Relationship Id="rId76" Type="http://schemas.openxmlformats.org/officeDocument/2006/relationships/image" Target="../media/image57.png"/><Relationship Id="rId77" Type="http://schemas.openxmlformats.org/officeDocument/2006/relationships/image" Target="../media/image57.png"/><Relationship Id="rId78" Type="http://schemas.openxmlformats.org/officeDocument/2006/relationships/image" Target="../media/image57.png"/><Relationship Id="rId79" Type="http://schemas.openxmlformats.org/officeDocument/2006/relationships/image" Target="../media/image57.png"/><Relationship Id="rId80" Type="http://schemas.openxmlformats.org/officeDocument/2006/relationships/image" Target="../media/image58.jpeg"/><Relationship Id="rId81" Type="http://schemas.openxmlformats.org/officeDocument/2006/relationships/image" Target="../media/image59.png"/><Relationship Id="rId82" Type="http://schemas.openxmlformats.org/officeDocument/2006/relationships/image" Target="../media/image60.jpeg"/><Relationship Id="rId83" Type="http://schemas.openxmlformats.org/officeDocument/2006/relationships/image" Target="../media/image61.jpeg"/><Relationship Id="rId84" Type="http://schemas.openxmlformats.org/officeDocument/2006/relationships/image" Target="../media/image62.jpeg"/><Relationship Id="rId85" Type="http://schemas.openxmlformats.org/officeDocument/2006/relationships/image" Target="../media/image63.png"/><Relationship Id="rId86" Type="http://schemas.openxmlformats.org/officeDocument/2006/relationships/image" Target="../media/image64.jpeg"/><Relationship Id="rId87" Type="http://schemas.openxmlformats.org/officeDocument/2006/relationships/image" Target="../media/image65.jpeg"/><Relationship Id="rId88" Type="http://schemas.openxmlformats.org/officeDocument/2006/relationships/image" Target="../media/image66.jpeg"/><Relationship Id="rId89" Type="http://schemas.openxmlformats.org/officeDocument/2006/relationships/image" Target="../media/image67.jpeg"/><Relationship Id="rId90" Type="http://schemas.openxmlformats.org/officeDocument/2006/relationships/image" Target="../media/image68.jpeg"/><Relationship Id="rId91" Type="http://schemas.openxmlformats.org/officeDocument/2006/relationships/image" Target="../media/image69.jpeg"/><Relationship Id="rId92" Type="http://schemas.openxmlformats.org/officeDocument/2006/relationships/image" Target="../media/image70.jpeg"/><Relationship Id="rId93" Type="http://schemas.openxmlformats.org/officeDocument/2006/relationships/image" Target="../media/image71.jpeg"/><Relationship Id="rId94" Type="http://schemas.openxmlformats.org/officeDocument/2006/relationships/image" Target="../media/image72.jpeg"/><Relationship Id="rId95" Type="http://schemas.openxmlformats.org/officeDocument/2006/relationships/image" Target="../media/image73.jpeg"/><Relationship Id="rId96" Type="http://schemas.openxmlformats.org/officeDocument/2006/relationships/image" Target="../media/image74.jpeg"/><Relationship Id="rId97" Type="http://schemas.openxmlformats.org/officeDocument/2006/relationships/image" Target="../media/image68.jpeg"/><Relationship Id="rId98" Type="http://schemas.openxmlformats.org/officeDocument/2006/relationships/image" Target="../media/image69.jpeg"/><Relationship Id="rId99" Type="http://schemas.openxmlformats.org/officeDocument/2006/relationships/image" Target="../media/image75.jpeg"/><Relationship Id="rId100" Type="http://schemas.openxmlformats.org/officeDocument/2006/relationships/image" Target="../media/image76.jpeg"/><Relationship Id="rId101" Type="http://schemas.openxmlformats.org/officeDocument/2006/relationships/image" Target="../media/image70.jpeg"/><Relationship Id="rId102" Type="http://schemas.openxmlformats.org/officeDocument/2006/relationships/image" Target="../media/image77.jpeg"/><Relationship Id="rId103" Type="http://schemas.openxmlformats.org/officeDocument/2006/relationships/image" Target="../media/image72.jpeg"/><Relationship Id="rId104" Type="http://schemas.openxmlformats.org/officeDocument/2006/relationships/image" Target="../media/image78.jpeg"/><Relationship Id="rId105" Type="http://schemas.openxmlformats.org/officeDocument/2006/relationships/image" Target="../media/image57.png"/><Relationship Id="rId106" Type="http://schemas.openxmlformats.org/officeDocument/2006/relationships/image" Target="../media/image57.png"/><Relationship Id="rId107" Type="http://schemas.openxmlformats.org/officeDocument/2006/relationships/image" Target="../media/image57.png"/><Relationship Id="rId108" Type="http://schemas.openxmlformats.org/officeDocument/2006/relationships/image" Target="../media/image57.png"/><Relationship Id="rId109" Type="http://schemas.openxmlformats.org/officeDocument/2006/relationships/image" Target="../media/image79.jpeg"/><Relationship Id="rId110" Type="http://schemas.openxmlformats.org/officeDocument/2006/relationships/image" Target="../media/image80.jpeg"/><Relationship Id="rId111" Type="http://schemas.openxmlformats.org/officeDocument/2006/relationships/image" Target="../media/image81.jpeg"/><Relationship Id="rId112" Type="http://schemas.openxmlformats.org/officeDocument/2006/relationships/image" Target="../media/image82.jpeg"/><Relationship Id="rId113" Type="http://schemas.openxmlformats.org/officeDocument/2006/relationships/image" Target="../media/image83.jpeg"/><Relationship Id="rId114" Type="http://schemas.openxmlformats.org/officeDocument/2006/relationships/image" Target="../media/image81.jpeg"/><Relationship Id="rId115" Type="http://schemas.openxmlformats.org/officeDocument/2006/relationships/image" Target="../media/image84.jpeg"/><Relationship Id="rId116" Type="http://schemas.openxmlformats.org/officeDocument/2006/relationships/image" Target="../media/image85.jpeg"/><Relationship Id="rId117" Type="http://schemas.openxmlformats.org/officeDocument/2006/relationships/image" Target="../media/image86.jpeg"/><Relationship Id="rId118" Type="http://schemas.openxmlformats.org/officeDocument/2006/relationships/image" Target="../media/image87.jpeg"/><Relationship Id="rId119" Type="http://schemas.openxmlformats.org/officeDocument/2006/relationships/image" Target="../media/image88.jpeg"/><Relationship Id="rId120" Type="http://schemas.openxmlformats.org/officeDocument/2006/relationships/image" Target="../media/image86.jpeg"/><Relationship Id="rId121" Type="http://schemas.openxmlformats.org/officeDocument/2006/relationships/image" Target="../media/image89.jpeg"/><Relationship Id="rId122" Type="http://schemas.openxmlformats.org/officeDocument/2006/relationships/image" Target="../media/image90.jpeg"/><Relationship Id="rId123" Type="http://schemas.openxmlformats.org/officeDocument/2006/relationships/image" Target="../media/image91.jpeg"/><Relationship Id="rId124" Type="http://schemas.openxmlformats.org/officeDocument/2006/relationships/image" Target="../media/image92.jpeg"/><Relationship Id="rId125" Type="http://schemas.openxmlformats.org/officeDocument/2006/relationships/image" Target="../media/image93.jpeg"/><Relationship Id="rId126" Type="http://schemas.openxmlformats.org/officeDocument/2006/relationships/image" Target="../media/image91.jpeg"/><Relationship Id="rId127" Type="http://schemas.openxmlformats.org/officeDocument/2006/relationships/image" Target="../media/image94.jpeg"/><Relationship Id="rId128" Type="http://schemas.openxmlformats.org/officeDocument/2006/relationships/image" Target="../media/image95.jpeg"/><Relationship Id="rId129" Type="http://schemas.openxmlformats.org/officeDocument/2006/relationships/image" Target="../media/image96.jpeg"/><Relationship Id="rId130" Type="http://schemas.openxmlformats.org/officeDocument/2006/relationships/image" Target="../media/image97.jpeg"/><Relationship Id="rId131" Type="http://schemas.openxmlformats.org/officeDocument/2006/relationships/image" Target="../media/image98.jpeg"/><Relationship Id="rId132" Type="http://schemas.openxmlformats.org/officeDocument/2006/relationships/image" Target="../media/image96.jpeg"/><Relationship Id="rId133" Type="http://schemas.openxmlformats.org/officeDocument/2006/relationships/image" Target="../media/image99.jpeg"/><Relationship Id="rId134" Type="http://schemas.openxmlformats.org/officeDocument/2006/relationships/image" Target="../media/image100.jpeg"/><Relationship Id="rId135" Type="http://schemas.openxmlformats.org/officeDocument/2006/relationships/image" Target="../media/image101.jpeg"/><Relationship Id="rId136" Type="http://schemas.openxmlformats.org/officeDocument/2006/relationships/image" Target="../media/image102.jpeg"/><Relationship Id="rId137" Type="http://schemas.openxmlformats.org/officeDocument/2006/relationships/image" Target="../media/image103.jpeg"/><Relationship Id="rId138" Type="http://schemas.openxmlformats.org/officeDocument/2006/relationships/image" Target="../media/image101.jpeg"/><Relationship Id="rId139" Type="http://schemas.openxmlformats.org/officeDocument/2006/relationships/image" Target="../media/image57.png"/><Relationship Id="rId140" Type="http://schemas.openxmlformats.org/officeDocument/2006/relationships/image" Target="../media/image57.png"/><Relationship Id="rId141" Type="http://schemas.openxmlformats.org/officeDocument/2006/relationships/image" Target="../media/image57.png"/><Relationship Id="rId142" Type="http://schemas.openxmlformats.org/officeDocument/2006/relationships/image" Target="../media/image57.png"/><Relationship Id="rId143" Type="http://schemas.openxmlformats.org/officeDocument/2006/relationships/image" Target="../media/image57.png"/><Relationship Id="rId144" Type="http://schemas.openxmlformats.org/officeDocument/2006/relationships/image" Target="../media/image57.png"/><Relationship Id="rId145" Type="http://schemas.openxmlformats.org/officeDocument/2006/relationships/image" Target="../media/image104.jpeg"/><Relationship Id="rId146" Type="http://schemas.openxmlformats.org/officeDocument/2006/relationships/image" Target="../media/image105.jpeg"/><Relationship Id="rId147" Type="http://schemas.openxmlformats.org/officeDocument/2006/relationships/image" Target="../media/image106.jpeg"/><Relationship Id="rId148" Type="http://schemas.openxmlformats.org/officeDocument/2006/relationships/image" Target="../media/image107.jpeg"/><Relationship Id="rId149" Type="http://schemas.openxmlformats.org/officeDocument/2006/relationships/image" Target="../media/image108.jpeg"/><Relationship Id="rId150" Type="http://schemas.openxmlformats.org/officeDocument/2006/relationships/image" Target="../media/image109.jpeg"/><Relationship Id="rId151" Type="http://schemas.openxmlformats.org/officeDocument/2006/relationships/image" Target="../media/image110.jpeg"/><Relationship Id="rId152" Type="http://schemas.openxmlformats.org/officeDocument/2006/relationships/image" Target="../media/image111.jpeg"/><Relationship Id="rId153" Type="http://schemas.openxmlformats.org/officeDocument/2006/relationships/image" Target="../media/image112.jpeg"/><Relationship Id="rId154" Type="http://schemas.openxmlformats.org/officeDocument/2006/relationships/image" Target="../media/image113.jpeg"/><Relationship Id="rId155" Type="http://schemas.openxmlformats.org/officeDocument/2006/relationships/image" Target="../media/image57.png"/><Relationship Id="rId156" Type="http://schemas.openxmlformats.org/officeDocument/2006/relationships/image" Target="../media/image57.png"/><Relationship Id="rId157" Type="http://schemas.openxmlformats.org/officeDocument/2006/relationships/image" Target="../media/image114.jpeg"/><Relationship Id="rId158" Type="http://schemas.openxmlformats.org/officeDocument/2006/relationships/image" Target="../media/image115.jpeg"/><Relationship Id="rId159" Type="http://schemas.openxmlformats.org/officeDocument/2006/relationships/image" Target="../media/image116.jpeg"/><Relationship Id="rId160" Type="http://schemas.openxmlformats.org/officeDocument/2006/relationships/image" Target="../media/image117.jpeg"/><Relationship Id="rId161" Type="http://schemas.openxmlformats.org/officeDocument/2006/relationships/image" Target="../media/image118.jpeg"/><Relationship Id="rId162" Type="http://schemas.openxmlformats.org/officeDocument/2006/relationships/image" Target="../media/image119.jpeg"/><Relationship Id="rId163" Type="http://schemas.openxmlformats.org/officeDocument/2006/relationships/image" Target="../media/image57.png"/><Relationship Id="rId164" Type="http://schemas.openxmlformats.org/officeDocument/2006/relationships/image" Target="../media/image57.png"/><Relationship Id="rId165" Type="http://schemas.openxmlformats.org/officeDocument/2006/relationships/image" Target="../media/image57.png"/><Relationship Id="rId166" Type="http://schemas.openxmlformats.org/officeDocument/2006/relationships/image" Target="../media/image57.png"/><Relationship Id="rId167" Type="http://schemas.openxmlformats.org/officeDocument/2006/relationships/image" Target="../media/image57.png"/><Relationship Id="rId168" Type="http://schemas.openxmlformats.org/officeDocument/2006/relationships/image" Target="../media/image57.png"/><Relationship Id="rId169" Type="http://schemas.openxmlformats.org/officeDocument/2006/relationships/image" Target="../media/image57.png"/><Relationship Id="rId170" Type="http://schemas.openxmlformats.org/officeDocument/2006/relationships/image" Target="../media/image120.jpeg"/><Relationship Id="rId171" Type="http://schemas.openxmlformats.org/officeDocument/2006/relationships/image" Target="../media/image121.jpeg"/><Relationship Id="rId172" Type="http://schemas.openxmlformats.org/officeDocument/2006/relationships/image" Target="../media/image122.jpeg"/><Relationship Id="rId173" Type="http://schemas.openxmlformats.org/officeDocument/2006/relationships/image" Target="../media/image123.jpeg"/><Relationship Id="rId174" Type="http://schemas.openxmlformats.org/officeDocument/2006/relationships/image" Target="../media/image124.jpeg"/><Relationship Id="rId175" Type="http://schemas.openxmlformats.org/officeDocument/2006/relationships/image" Target="../media/image125.jpeg"/><Relationship Id="rId176" Type="http://schemas.openxmlformats.org/officeDocument/2006/relationships/image" Target="../media/image126.jpeg"/><Relationship Id="rId177" Type="http://schemas.openxmlformats.org/officeDocument/2006/relationships/image" Target="../media/image127.jpeg"/><Relationship Id="rId178" Type="http://schemas.openxmlformats.org/officeDocument/2006/relationships/image" Target="../media/image128.jpeg"/><Relationship Id="rId179" Type="http://schemas.openxmlformats.org/officeDocument/2006/relationships/image" Target="../media/image129.jpeg"/><Relationship Id="rId180" Type="http://schemas.openxmlformats.org/officeDocument/2006/relationships/image" Target="../media/image130.jpeg"/><Relationship Id="rId181" Type="http://schemas.openxmlformats.org/officeDocument/2006/relationships/image" Target="../media/image131.jpeg"/><Relationship Id="rId182" Type="http://schemas.openxmlformats.org/officeDocument/2006/relationships/image" Target="../media/image132.jpeg"/><Relationship Id="rId183" Type="http://schemas.openxmlformats.org/officeDocument/2006/relationships/image" Target="../media/image133.jpeg"/><Relationship Id="rId184" Type="http://schemas.openxmlformats.org/officeDocument/2006/relationships/image" Target="../media/image134.jpeg"/><Relationship Id="rId185" Type="http://schemas.openxmlformats.org/officeDocument/2006/relationships/image" Target="../media/image135.jpeg"/><Relationship Id="rId186" Type="http://schemas.openxmlformats.org/officeDocument/2006/relationships/image" Target="../media/image136.jpeg"/><Relationship Id="rId187" Type="http://schemas.openxmlformats.org/officeDocument/2006/relationships/image" Target="../media/image137.jpeg"/><Relationship Id="rId188" Type="http://schemas.openxmlformats.org/officeDocument/2006/relationships/image" Target="../media/image138.png"/><Relationship Id="rId189" Type="http://schemas.openxmlformats.org/officeDocument/2006/relationships/image" Target="../media/image139.jpeg"/><Relationship Id="rId190" Type="http://schemas.openxmlformats.org/officeDocument/2006/relationships/image" Target="../media/image140.jpeg"/><Relationship Id="rId191" Type="http://schemas.openxmlformats.org/officeDocument/2006/relationships/image" Target="../media/image141.jpeg"/><Relationship Id="rId192" Type="http://schemas.openxmlformats.org/officeDocument/2006/relationships/image" Target="../media/image142.jpeg"/><Relationship Id="rId193" Type="http://schemas.openxmlformats.org/officeDocument/2006/relationships/image" Target="../media/image143.jpeg"/><Relationship Id="rId194" Type="http://schemas.openxmlformats.org/officeDocument/2006/relationships/image" Target="../media/image144.jpeg"/><Relationship Id="rId195" Type="http://schemas.openxmlformats.org/officeDocument/2006/relationships/image" Target="../media/image145.jpeg"/><Relationship Id="rId196" Type="http://schemas.openxmlformats.org/officeDocument/2006/relationships/image" Target="../media/image146.jpeg"/><Relationship Id="rId197" Type="http://schemas.openxmlformats.org/officeDocument/2006/relationships/image" Target="../media/image147.jpeg"/><Relationship Id="rId198" Type="http://schemas.openxmlformats.org/officeDocument/2006/relationships/image" Target="../media/image148.jpeg"/><Relationship Id="rId199" Type="http://schemas.openxmlformats.org/officeDocument/2006/relationships/image" Target="../media/image149.jpeg"/><Relationship Id="rId200" Type="http://schemas.openxmlformats.org/officeDocument/2006/relationships/image" Target="../media/image150.png"/><Relationship Id="rId201" Type="http://schemas.openxmlformats.org/officeDocument/2006/relationships/image" Target="../media/image151.jpeg"/><Relationship Id="rId202" Type="http://schemas.openxmlformats.org/officeDocument/2006/relationships/image" Target="../media/image152.jpeg"/><Relationship Id="rId203" Type="http://schemas.openxmlformats.org/officeDocument/2006/relationships/image" Target="../media/image153.jpeg"/><Relationship Id="rId204" Type="http://schemas.openxmlformats.org/officeDocument/2006/relationships/image" Target="../media/image154.png"/><Relationship Id="rId205" Type="http://schemas.openxmlformats.org/officeDocument/2006/relationships/image" Target="../media/image57.png"/><Relationship Id="rId206" Type="http://schemas.openxmlformats.org/officeDocument/2006/relationships/image" Target="../media/image57.png"/><Relationship Id="rId207" Type="http://schemas.openxmlformats.org/officeDocument/2006/relationships/image" Target="../media/image57.png"/><Relationship Id="rId208" Type="http://schemas.openxmlformats.org/officeDocument/2006/relationships/image" Target="../media/image57.png"/><Relationship Id="rId209" Type="http://schemas.openxmlformats.org/officeDocument/2006/relationships/image" Target="../media/image155.jpeg"/><Relationship Id="rId210" Type="http://schemas.openxmlformats.org/officeDocument/2006/relationships/image" Target="../media/image156.jpeg"/><Relationship Id="rId211" Type="http://schemas.openxmlformats.org/officeDocument/2006/relationships/image" Target="../media/image157.jpeg"/><Relationship Id="rId212" Type="http://schemas.openxmlformats.org/officeDocument/2006/relationships/image" Target="../media/image158.jpeg"/><Relationship Id="rId213" Type="http://schemas.openxmlformats.org/officeDocument/2006/relationships/image" Target="../media/image159.jpeg"/><Relationship Id="rId214" Type="http://schemas.openxmlformats.org/officeDocument/2006/relationships/image" Target="../media/image160.jpeg"/><Relationship Id="rId215" Type="http://schemas.openxmlformats.org/officeDocument/2006/relationships/image" Target="../media/image161.jpeg"/><Relationship Id="rId216" Type="http://schemas.openxmlformats.org/officeDocument/2006/relationships/image" Target="../media/image162.jpeg"/><Relationship Id="rId217" Type="http://schemas.openxmlformats.org/officeDocument/2006/relationships/image" Target="../media/image163.jpeg"/><Relationship Id="rId218" Type="http://schemas.openxmlformats.org/officeDocument/2006/relationships/image" Target="../media/image164.jpeg"/><Relationship Id="rId219" Type="http://schemas.openxmlformats.org/officeDocument/2006/relationships/image" Target="../media/image155.jpeg"/><Relationship Id="rId220" Type="http://schemas.openxmlformats.org/officeDocument/2006/relationships/image" Target="../media/image156.jpeg"/><Relationship Id="rId221" Type="http://schemas.openxmlformats.org/officeDocument/2006/relationships/image" Target="../media/image157.jpeg"/><Relationship Id="rId222" Type="http://schemas.openxmlformats.org/officeDocument/2006/relationships/image" Target="../media/image158.jpeg"/><Relationship Id="rId223" Type="http://schemas.openxmlformats.org/officeDocument/2006/relationships/image" Target="../media/image159.jpeg"/><Relationship Id="rId224" Type="http://schemas.openxmlformats.org/officeDocument/2006/relationships/image" Target="../media/image160.jpeg"/><Relationship Id="rId225" Type="http://schemas.openxmlformats.org/officeDocument/2006/relationships/image" Target="../media/image161.jpeg"/><Relationship Id="rId226" Type="http://schemas.openxmlformats.org/officeDocument/2006/relationships/image" Target="../media/image162.jpeg"/><Relationship Id="rId227" Type="http://schemas.openxmlformats.org/officeDocument/2006/relationships/image" Target="../media/image163.jpeg"/><Relationship Id="rId228" Type="http://schemas.openxmlformats.org/officeDocument/2006/relationships/image" Target="../media/image164.jpeg"/><Relationship Id="rId229" Type="http://schemas.openxmlformats.org/officeDocument/2006/relationships/image" Target="../media/image57.png"/><Relationship Id="rId230" Type="http://schemas.openxmlformats.org/officeDocument/2006/relationships/image" Target="../media/image57.png"/><Relationship Id="rId231" Type="http://schemas.openxmlformats.org/officeDocument/2006/relationships/image" Target="../media/image57.png"/><Relationship Id="rId232" Type="http://schemas.openxmlformats.org/officeDocument/2006/relationships/image" Target="../media/image57.png"/><Relationship Id="rId233" Type="http://schemas.openxmlformats.org/officeDocument/2006/relationships/image" Target="../media/image165.png"/><Relationship Id="rId234" Type="http://schemas.openxmlformats.org/officeDocument/2006/relationships/image" Target="../media/image166.jpeg"/><Relationship Id="rId235" Type="http://schemas.openxmlformats.org/officeDocument/2006/relationships/image" Target="../media/image167.jpeg"/><Relationship Id="rId236" Type="http://schemas.openxmlformats.org/officeDocument/2006/relationships/image" Target="../media/image168.png"/><Relationship Id="rId237" Type="http://schemas.openxmlformats.org/officeDocument/2006/relationships/image" Target="../media/image169.jpeg"/><Relationship Id="rId238" Type="http://schemas.openxmlformats.org/officeDocument/2006/relationships/image" Target="../media/image170.jpeg"/><Relationship Id="rId239" Type="http://schemas.openxmlformats.org/officeDocument/2006/relationships/image" Target="../media/image171.jpeg"/><Relationship Id="rId240" Type="http://schemas.openxmlformats.org/officeDocument/2006/relationships/image" Target="../media/image172.jpeg"/><Relationship Id="rId241" Type="http://schemas.openxmlformats.org/officeDocument/2006/relationships/image" Target="../media/image173.jpeg"/><Relationship Id="rId242" Type="http://schemas.openxmlformats.org/officeDocument/2006/relationships/image" Target="../media/image174.jpeg"/><Relationship Id="rId243" Type="http://schemas.openxmlformats.org/officeDocument/2006/relationships/image" Target="../media/image175.jpeg"/><Relationship Id="rId244" Type="http://schemas.openxmlformats.org/officeDocument/2006/relationships/image" Target="../media/image176.png"/><Relationship Id="rId245" Type="http://schemas.openxmlformats.org/officeDocument/2006/relationships/image" Target="../media/image177.jpeg"/><Relationship Id="rId246" Type="http://schemas.openxmlformats.org/officeDocument/2006/relationships/image" Target="../media/image178.png"/><Relationship Id="rId247" Type="http://schemas.openxmlformats.org/officeDocument/2006/relationships/image" Target="../media/image179.jpeg"/><Relationship Id="rId248" Type="http://schemas.openxmlformats.org/officeDocument/2006/relationships/image" Target="../media/image180.jpeg"/><Relationship Id="rId249" Type="http://schemas.openxmlformats.org/officeDocument/2006/relationships/image" Target="../media/image181.jpeg"/><Relationship Id="rId250" Type="http://schemas.openxmlformats.org/officeDocument/2006/relationships/image" Target="../media/image182.jpeg"/><Relationship Id="rId251" Type="http://schemas.openxmlformats.org/officeDocument/2006/relationships/image" Target="../media/image183.jpeg"/><Relationship Id="rId252" Type="http://schemas.openxmlformats.org/officeDocument/2006/relationships/image" Target="../media/image184.jpeg"/><Relationship Id="rId253" Type="http://schemas.openxmlformats.org/officeDocument/2006/relationships/image" Target="../media/image185.jpeg"/><Relationship Id="rId254" Type="http://schemas.openxmlformats.org/officeDocument/2006/relationships/image" Target="../media/image186.jpeg"/><Relationship Id="rId255" Type="http://schemas.openxmlformats.org/officeDocument/2006/relationships/image" Target="../media/image187.jpeg"/><Relationship Id="rId256" Type="http://schemas.openxmlformats.org/officeDocument/2006/relationships/image" Target="../media/image188.jpeg"/><Relationship Id="rId257" Type="http://schemas.openxmlformats.org/officeDocument/2006/relationships/image" Target="../media/image189.jpeg"/><Relationship Id="rId258" Type="http://schemas.openxmlformats.org/officeDocument/2006/relationships/image" Target="../media/image190.jpeg"/><Relationship Id="rId259" Type="http://schemas.openxmlformats.org/officeDocument/2006/relationships/image" Target="../media/image191.jpeg"/><Relationship Id="rId260" Type="http://schemas.openxmlformats.org/officeDocument/2006/relationships/image" Target="../media/image192.jpeg"/><Relationship Id="rId261" Type="http://schemas.openxmlformats.org/officeDocument/2006/relationships/image" Target="../media/image193.jpeg"/><Relationship Id="rId262" Type="http://schemas.openxmlformats.org/officeDocument/2006/relationships/image" Target="../media/image194.jpeg"/><Relationship Id="rId263" Type="http://schemas.openxmlformats.org/officeDocument/2006/relationships/image" Target="../media/image195.jpeg"/><Relationship Id="rId264" Type="http://schemas.openxmlformats.org/officeDocument/2006/relationships/image" Target="../media/image196.jpeg"/><Relationship Id="rId265" Type="http://schemas.openxmlformats.org/officeDocument/2006/relationships/image" Target="../media/image57.png"/><Relationship Id="rId266" Type="http://schemas.openxmlformats.org/officeDocument/2006/relationships/image" Target="../media/image57.png"/><Relationship Id="rId267" Type="http://schemas.openxmlformats.org/officeDocument/2006/relationships/image" Target="../media/image197.jpeg"/><Relationship Id="rId268" Type="http://schemas.openxmlformats.org/officeDocument/2006/relationships/image" Target="../media/image198.jpeg"/><Relationship Id="rId269" Type="http://schemas.openxmlformats.org/officeDocument/2006/relationships/image" Target="../media/image199.jpeg"/><Relationship Id="rId270" Type="http://schemas.openxmlformats.org/officeDocument/2006/relationships/image" Target="../media/image200.jpeg"/><Relationship Id="rId271" Type="http://schemas.openxmlformats.org/officeDocument/2006/relationships/image" Target="../media/image201.jpeg"/><Relationship Id="rId272" Type="http://schemas.openxmlformats.org/officeDocument/2006/relationships/image" Target="../media/image202.jpeg"/><Relationship Id="rId273" Type="http://schemas.openxmlformats.org/officeDocument/2006/relationships/image" Target="../media/image203.jpeg"/><Relationship Id="rId274" Type="http://schemas.openxmlformats.org/officeDocument/2006/relationships/image" Target="../media/image204.jpeg"/><Relationship Id="rId275" Type="http://schemas.openxmlformats.org/officeDocument/2006/relationships/image" Target="../media/image57.png"/><Relationship Id="rId276" Type="http://schemas.openxmlformats.org/officeDocument/2006/relationships/image" Target="../media/image57.png"/><Relationship Id="rId277" Type="http://schemas.openxmlformats.org/officeDocument/2006/relationships/image" Target="../media/image205.jpeg"/><Relationship Id="rId278" Type="http://schemas.openxmlformats.org/officeDocument/2006/relationships/image" Target="../media/image206.jpeg"/><Relationship Id="rId279" Type="http://schemas.openxmlformats.org/officeDocument/2006/relationships/image" Target="../media/image207.jpeg"/><Relationship Id="rId280" Type="http://schemas.openxmlformats.org/officeDocument/2006/relationships/image" Target="../media/image208.png"/><Relationship Id="rId281" Type="http://schemas.openxmlformats.org/officeDocument/2006/relationships/image" Target="../media/image209.jpeg"/><Relationship Id="rId282" Type="http://schemas.openxmlformats.org/officeDocument/2006/relationships/image" Target="../media/image210.jpeg"/><Relationship Id="rId283" Type="http://schemas.openxmlformats.org/officeDocument/2006/relationships/image" Target="../media/image211.jpeg"/><Relationship Id="rId284" Type="http://schemas.openxmlformats.org/officeDocument/2006/relationships/image" Target="../media/image212.jpeg"/><Relationship Id="rId285" Type="http://schemas.openxmlformats.org/officeDocument/2006/relationships/image" Target="../media/image213.jpeg"/><Relationship Id="rId286" Type="http://schemas.openxmlformats.org/officeDocument/2006/relationships/image" Target="../media/image214.jpeg"/><Relationship Id="rId287" Type="http://schemas.openxmlformats.org/officeDocument/2006/relationships/image" Target="../media/image57.png"/><Relationship Id="rId288" Type="http://schemas.openxmlformats.org/officeDocument/2006/relationships/image" Target="../media/image57.png"/><Relationship Id="rId289" Type="http://schemas.openxmlformats.org/officeDocument/2006/relationships/image" Target="../media/image215.jpeg"/><Relationship Id="rId290" Type="http://schemas.openxmlformats.org/officeDocument/2006/relationships/image" Target="../media/image216.jpeg"/><Relationship Id="rId291" Type="http://schemas.openxmlformats.org/officeDocument/2006/relationships/image" Target="../media/image217.jpeg"/><Relationship Id="rId292" Type="http://schemas.openxmlformats.org/officeDocument/2006/relationships/image" Target="../media/image218.jpeg"/><Relationship Id="rId293" Type="http://schemas.openxmlformats.org/officeDocument/2006/relationships/image" Target="../media/image219.png"/><Relationship Id="rId294" Type="http://schemas.openxmlformats.org/officeDocument/2006/relationships/image" Target="../media/image220.png"/><Relationship Id="rId295" Type="http://schemas.openxmlformats.org/officeDocument/2006/relationships/image" Target="../media/image221.png"/><Relationship Id="rId296" Type="http://schemas.openxmlformats.org/officeDocument/2006/relationships/image" Target="../media/image222.png"/><Relationship Id="rId297" Type="http://schemas.openxmlformats.org/officeDocument/2006/relationships/image" Target="../media/image57.png"/><Relationship Id="rId298" Type="http://schemas.openxmlformats.org/officeDocument/2006/relationships/image" Target="../media/image57.png"/><Relationship Id="rId299" Type="http://schemas.openxmlformats.org/officeDocument/2006/relationships/image" Target="../media/image223.jpeg"/><Relationship Id="rId300" Type="http://schemas.openxmlformats.org/officeDocument/2006/relationships/image" Target="../media/image216.jpeg"/><Relationship Id="rId301" Type="http://schemas.openxmlformats.org/officeDocument/2006/relationships/image" Target="../media/image224.jpeg"/><Relationship Id="rId302" Type="http://schemas.openxmlformats.org/officeDocument/2006/relationships/image" Target="../media/image225.jpeg"/><Relationship Id="rId303" Type="http://schemas.openxmlformats.org/officeDocument/2006/relationships/image" Target="../media/image226.jpeg"/><Relationship Id="rId304" Type="http://schemas.openxmlformats.org/officeDocument/2006/relationships/image" Target="../media/image227.jpeg"/><Relationship Id="rId305" Type="http://schemas.openxmlformats.org/officeDocument/2006/relationships/image" Target="../media/image228.jpeg"/><Relationship Id="rId306" Type="http://schemas.openxmlformats.org/officeDocument/2006/relationships/image" Target="../media/image229.jpeg"/><Relationship Id="rId307" Type="http://schemas.openxmlformats.org/officeDocument/2006/relationships/image" Target="../media/image230.jpeg"/><Relationship Id="rId308" Type="http://schemas.openxmlformats.org/officeDocument/2006/relationships/image" Target="../media/image231.jpeg"/><Relationship Id="rId309" Type="http://schemas.openxmlformats.org/officeDocument/2006/relationships/image" Target="../media/image232.jpeg"/><Relationship Id="rId310" Type="http://schemas.openxmlformats.org/officeDocument/2006/relationships/image" Target="../media/image233.jpeg"/><Relationship Id="rId311" Type="http://schemas.openxmlformats.org/officeDocument/2006/relationships/image" Target="../media/image57.png"/><Relationship Id="rId312" Type="http://schemas.openxmlformats.org/officeDocument/2006/relationships/image" Target="../media/image57.png"/><Relationship Id="rId313" Type="http://schemas.openxmlformats.org/officeDocument/2006/relationships/image" Target="../media/image234.jpeg"/><Relationship Id="rId314" Type="http://schemas.openxmlformats.org/officeDocument/2006/relationships/image" Target="../media/image235.jpeg"/><Relationship Id="rId315" Type="http://schemas.openxmlformats.org/officeDocument/2006/relationships/image" Target="../media/image236.jpeg"/><Relationship Id="rId316" Type="http://schemas.openxmlformats.org/officeDocument/2006/relationships/image" Target="../media/image237.jpeg"/><Relationship Id="rId317" Type="http://schemas.openxmlformats.org/officeDocument/2006/relationships/image" Target="../media/image205.jpeg"/><Relationship Id="rId318" Type="http://schemas.openxmlformats.org/officeDocument/2006/relationships/image" Target="../media/image206.jpeg"/><Relationship Id="rId319" Type="http://schemas.openxmlformats.org/officeDocument/2006/relationships/image" Target="../media/image238.png"/><Relationship Id="rId320" Type="http://schemas.openxmlformats.org/officeDocument/2006/relationships/image" Target="../media/image238.png"/>
</Relationships>
</file>

<file path=xl/drawings/_rels/drawing2.xml.rels><?xml version="1.0" encoding="UTF-8"?>
<Relationships xmlns="http://schemas.openxmlformats.org/package/2006/relationships"><Relationship Id="rId1" Type="http://schemas.openxmlformats.org/officeDocument/2006/relationships/image" Target="../media/image239.jpeg"/><Relationship Id="rId2" Type="http://schemas.openxmlformats.org/officeDocument/2006/relationships/image" Target="../media/image240.jpeg"/><Relationship Id="rId3" Type="http://schemas.openxmlformats.org/officeDocument/2006/relationships/image" Target="../media/image241.jpeg"/><Relationship Id="rId4" Type="http://schemas.openxmlformats.org/officeDocument/2006/relationships/image" Target="../media/image242.jpeg"/><Relationship Id="rId5" Type="http://schemas.openxmlformats.org/officeDocument/2006/relationships/image" Target="../media/image243.jpeg"/><Relationship Id="rId6" Type="http://schemas.openxmlformats.org/officeDocument/2006/relationships/image" Target="../media/image244.jpeg"/><Relationship Id="rId7" Type="http://schemas.openxmlformats.org/officeDocument/2006/relationships/image" Target="../media/image245.jpeg"/><Relationship Id="rId8" Type="http://schemas.openxmlformats.org/officeDocument/2006/relationships/image" Target="../media/image246.jpeg"/><Relationship Id="rId9" Type="http://schemas.openxmlformats.org/officeDocument/2006/relationships/image" Target="../media/image247.jpeg"/><Relationship Id="rId10" Type="http://schemas.openxmlformats.org/officeDocument/2006/relationships/image" Target="../media/image248.jpeg"/><Relationship Id="rId11" Type="http://schemas.openxmlformats.org/officeDocument/2006/relationships/image" Target="../media/image249.jpeg"/><Relationship Id="rId12" Type="http://schemas.openxmlformats.org/officeDocument/2006/relationships/image" Target="../media/image250.jpeg"/><Relationship Id="rId13" Type="http://schemas.openxmlformats.org/officeDocument/2006/relationships/image" Target="../media/image251.jpeg"/><Relationship Id="rId14" Type="http://schemas.openxmlformats.org/officeDocument/2006/relationships/image" Target="../media/image252.jpeg"/><Relationship Id="rId15" Type="http://schemas.openxmlformats.org/officeDocument/2006/relationships/image" Target="../media/image247.jpeg"/><Relationship Id="rId16" Type="http://schemas.openxmlformats.org/officeDocument/2006/relationships/image" Target="../media/image247.jpeg"/><Relationship Id="rId17" Type="http://schemas.openxmlformats.org/officeDocument/2006/relationships/image" Target="../media/image247.jpeg"/><Relationship Id="rId18" Type="http://schemas.openxmlformats.org/officeDocument/2006/relationships/image" Target="../media/image247.jpeg"/><Relationship Id="rId19" Type="http://schemas.openxmlformats.org/officeDocument/2006/relationships/image" Target="../media/image253.jpeg"/><Relationship Id="rId20" Type="http://schemas.openxmlformats.org/officeDocument/2006/relationships/image" Target="../media/image254.jpeg"/><Relationship Id="rId21" Type="http://schemas.openxmlformats.org/officeDocument/2006/relationships/image" Target="../media/image255.jpeg"/><Relationship Id="rId22" Type="http://schemas.openxmlformats.org/officeDocument/2006/relationships/image" Target="../media/image256.jpeg"/><Relationship Id="rId23" Type="http://schemas.openxmlformats.org/officeDocument/2006/relationships/image" Target="../media/image257.jpeg"/><Relationship Id="rId24" Type="http://schemas.openxmlformats.org/officeDocument/2006/relationships/image" Target="../media/image258.jpeg"/><Relationship Id="rId25" Type="http://schemas.openxmlformats.org/officeDocument/2006/relationships/image" Target="../media/image259.jpeg"/><Relationship Id="rId26" Type="http://schemas.openxmlformats.org/officeDocument/2006/relationships/image" Target="../media/image260.jpeg"/><Relationship Id="rId27" Type="http://schemas.openxmlformats.org/officeDocument/2006/relationships/image" Target="../media/image261.jpeg"/><Relationship Id="rId28" Type="http://schemas.openxmlformats.org/officeDocument/2006/relationships/image" Target="../media/image262.jpeg"/><Relationship Id="rId29" Type="http://schemas.openxmlformats.org/officeDocument/2006/relationships/image" Target="../media/image263.jpeg"/><Relationship Id="rId30" Type="http://schemas.openxmlformats.org/officeDocument/2006/relationships/image" Target="../media/image264.jpeg"/><Relationship Id="rId31" Type="http://schemas.openxmlformats.org/officeDocument/2006/relationships/image" Target="../media/image265.jpeg"/><Relationship Id="rId32" Type="http://schemas.openxmlformats.org/officeDocument/2006/relationships/image" Target="../media/image266.jpeg"/>
</Relationships>
</file>

<file path=xl/drawings/_rels/drawing3.xml.rels><?xml version="1.0" encoding="UTF-8"?>
<Relationships xmlns="http://schemas.openxmlformats.org/package/2006/relationships"><Relationship Id="rId1" Type="http://schemas.openxmlformats.org/officeDocument/2006/relationships/image" Target="../media/image267.jpeg"/><Relationship Id="rId2" Type="http://schemas.openxmlformats.org/officeDocument/2006/relationships/image" Target="../media/image268.jpeg"/><Relationship Id="rId3" Type="http://schemas.openxmlformats.org/officeDocument/2006/relationships/image" Target="../media/image57.png"/><Relationship Id="rId4" Type="http://schemas.openxmlformats.org/officeDocument/2006/relationships/image" Target="../media/image57.png"/><Relationship Id="rId5" Type="http://schemas.openxmlformats.org/officeDocument/2006/relationships/image" Target="../media/image57.png"/><Relationship Id="rId6" Type="http://schemas.openxmlformats.org/officeDocument/2006/relationships/image" Target="../media/image269.jpeg"/><Relationship Id="rId7" Type="http://schemas.openxmlformats.org/officeDocument/2006/relationships/image" Target="../media/image270.jpeg"/><Relationship Id="rId8" Type="http://schemas.openxmlformats.org/officeDocument/2006/relationships/image" Target="../media/image271.jpeg"/><Relationship Id="rId9" Type="http://schemas.openxmlformats.org/officeDocument/2006/relationships/image" Target="../media/image272.jpeg"/><Relationship Id="rId10" Type="http://schemas.openxmlformats.org/officeDocument/2006/relationships/image" Target="../media/image273.jpeg"/><Relationship Id="rId11" Type="http://schemas.openxmlformats.org/officeDocument/2006/relationships/image" Target="../media/image274.jpeg"/><Relationship Id="rId12" Type="http://schemas.openxmlformats.org/officeDocument/2006/relationships/image" Target="../media/image57.png"/><Relationship Id="rId13" Type="http://schemas.openxmlformats.org/officeDocument/2006/relationships/image" Target="../media/image57.png"/><Relationship Id="rId14" Type="http://schemas.openxmlformats.org/officeDocument/2006/relationships/image" Target="../media/image57.png"/><Relationship Id="rId15" Type="http://schemas.openxmlformats.org/officeDocument/2006/relationships/image" Target="../media/image57.png"/><Relationship Id="rId16" Type="http://schemas.openxmlformats.org/officeDocument/2006/relationships/image" Target="../media/image57.png"/><Relationship Id="rId17" Type="http://schemas.openxmlformats.org/officeDocument/2006/relationships/image" Target="../media/image275.jpeg"/><Relationship Id="rId18" Type="http://schemas.openxmlformats.org/officeDocument/2006/relationships/image" Target="../media/image276.jpeg"/><Relationship Id="rId19" Type="http://schemas.openxmlformats.org/officeDocument/2006/relationships/image" Target="../media/image277.jpeg"/><Relationship Id="rId20" Type="http://schemas.openxmlformats.org/officeDocument/2006/relationships/image" Target="../media/image278.jpeg"/><Relationship Id="rId21" Type="http://schemas.openxmlformats.org/officeDocument/2006/relationships/image" Target="../media/image279.jpeg"/><Relationship Id="rId22" Type="http://schemas.openxmlformats.org/officeDocument/2006/relationships/image" Target="../media/image280.jpeg"/><Relationship Id="rId23" Type="http://schemas.openxmlformats.org/officeDocument/2006/relationships/image" Target="../media/image281.jpeg"/><Relationship Id="rId24" Type="http://schemas.openxmlformats.org/officeDocument/2006/relationships/image" Target="../media/image282.jpeg"/><Relationship Id="rId25" Type="http://schemas.openxmlformats.org/officeDocument/2006/relationships/image" Target="../media/image283.jpeg"/><Relationship Id="rId26" Type="http://schemas.openxmlformats.org/officeDocument/2006/relationships/image" Target="../media/image284.jpeg"/><Relationship Id="rId27" Type="http://schemas.openxmlformats.org/officeDocument/2006/relationships/image" Target="../media/image285.jpeg"/><Relationship Id="rId28" Type="http://schemas.openxmlformats.org/officeDocument/2006/relationships/image" Target="../media/image286.jpeg"/><Relationship Id="rId29" Type="http://schemas.openxmlformats.org/officeDocument/2006/relationships/image" Target="../media/image287.jpeg"/><Relationship Id="rId30" Type="http://schemas.openxmlformats.org/officeDocument/2006/relationships/image" Target="../media/image288.jpeg"/><Relationship Id="rId31" Type="http://schemas.openxmlformats.org/officeDocument/2006/relationships/image" Target="../media/image57.png"/><Relationship Id="rId32" Type="http://schemas.openxmlformats.org/officeDocument/2006/relationships/image" Target="../media/image57.png"/><Relationship Id="rId33" Type="http://schemas.openxmlformats.org/officeDocument/2006/relationships/image" Target="../media/image57.png"/><Relationship Id="rId34" Type="http://schemas.openxmlformats.org/officeDocument/2006/relationships/image" Target="../media/image289.jpeg"/><Relationship Id="rId35" Type="http://schemas.openxmlformats.org/officeDocument/2006/relationships/image" Target="../media/image290.jpeg"/><Relationship Id="rId36" Type="http://schemas.openxmlformats.org/officeDocument/2006/relationships/image" Target="../media/image291.jpeg"/><Relationship Id="rId37" Type="http://schemas.openxmlformats.org/officeDocument/2006/relationships/image" Target="../media/image292.jpeg"/><Relationship Id="rId38" Type="http://schemas.openxmlformats.org/officeDocument/2006/relationships/image" Target="../media/image293.jpeg"/><Relationship Id="rId39" Type="http://schemas.openxmlformats.org/officeDocument/2006/relationships/image" Target="../media/image294.jpeg"/><Relationship Id="rId40" Type="http://schemas.openxmlformats.org/officeDocument/2006/relationships/image" Target="../media/image295.jpeg"/><Relationship Id="rId41" Type="http://schemas.openxmlformats.org/officeDocument/2006/relationships/image" Target="../media/image296.jpeg"/><Relationship Id="rId42" Type="http://schemas.openxmlformats.org/officeDocument/2006/relationships/image" Target="../media/image297.jpeg"/><Relationship Id="rId43" Type="http://schemas.openxmlformats.org/officeDocument/2006/relationships/image" Target="../media/image298.jpeg"/><Relationship Id="rId44" Type="http://schemas.openxmlformats.org/officeDocument/2006/relationships/image" Target="../media/image299.jpeg"/><Relationship Id="rId45" Type="http://schemas.openxmlformats.org/officeDocument/2006/relationships/image" Target="../media/image300.jpeg"/><Relationship Id="rId46" Type="http://schemas.openxmlformats.org/officeDocument/2006/relationships/image" Target="../media/image301.jpeg"/><Relationship Id="rId47" Type="http://schemas.openxmlformats.org/officeDocument/2006/relationships/image" Target="../media/image302.jpeg"/><Relationship Id="rId48" Type="http://schemas.openxmlformats.org/officeDocument/2006/relationships/image" Target="../media/image303.jpeg"/><Relationship Id="rId49" Type="http://schemas.openxmlformats.org/officeDocument/2006/relationships/image" Target="../media/image304.jpeg"/><Relationship Id="rId50" Type="http://schemas.openxmlformats.org/officeDocument/2006/relationships/image" Target="../media/image57.png"/><Relationship Id="rId51" Type="http://schemas.openxmlformats.org/officeDocument/2006/relationships/image" Target="../media/image57.png"/><Relationship Id="rId52" Type="http://schemas.openxmlformats.org/officeDocument/2006/relationships/image" Target="../media/image57.png"/><Relationship Id="rId53" Type="http://schemas.openxmlformats.org/officeDocument/2006/relationships/image" Target="../media/image57.png"/><Relationship Id="rId54" Type="http://schemas.openxmlformats.org/officeDocument/2006/relationships/image" Target="../media/image305.jpeg"/><Relationship Id="rId55" Type="http://schemas.openxmlformats.org/officeDocument/2006/relationships/image" Target="../media/image306.jpeg"/><Relationship Id="rId56" Type="http://schemas.openxmlformats.org/officeDocument/2006/relationships/image" Target="../media/image307.jpeg"/><Relationship Id="rId57" Type="http://schemas.openxmlformats.org/officeDocument/2006/relationships/image" Target="../media/image308.jpeg"/><Relationship Id="rId58" Type="http://schemas.openxmlformats.org/officeDocument/2006/relationships/image" Target="../media/image309.jpeg"/><Relationship Id="rId59" Type="http://schemas.openxmlformats.org/officeDocument/2006/relationships/image" Target="../media/image310.jpeg"/><Relationship Id="rId60" Type="http://schemas.openxmlformats.org/officeDocument/2006/relationships/image" Target="../media/image57.png"/><Relationship Id="rId61" Type="http://schemas.openxmlformats.org/officeDocument/2006/relationships/image" Target="../media/image311.jpeg"/><Relationship Id="rId62" Type="http://schemas.openxmlformats.org/officeDocument/2006/relationships/image" Target="../media/image312.jpeg"/><Relationship Id="rId63" Type="http://schemas.openxmlformats.org/officeDocument/2006/relationships/image" Target="../media/image313.jpeg"/><Relationship Id="rId64" Type="http://schemas.openxmlformats.org/officeDocument/2006/relationships/image" Target="../media/image314.jpeg"/><Relationship Id="rId65" Type="http://schemas.openxmlformats.org/officeDocument/2006/relationships/image" Target="../media/image315.jpeg"/><Relationship Id="rId66" Type="http://schemas.openxmlformats.org/officeDocument/2006/relationships/image" Target="../media/image316.jpeg"/><Relationship Id="rId67" Type="http://schemas.openxmlformats.org/officeDocument/2006/relationships/image" Target="../media/image57.png"/><Relationship Id="rId68" Type="http://schemas.openxmlformats.org/officeDocument/2006/relationships/image" Target="../media/image317.jpeg"/><Relationship Id="rId69" Type="http://schemas.openxmlformats.org/officeDocument/2006/relationships/image" Target="../media/image318.jpeg"/><Relationship Id="rId70" Type="http://schemas.openxmlformats.org/officeDocument/2006/relationships/image" Target="../media/image319.jpeg"/><Relationship Id="rId71" Type="http://schemas.openxmlformats.org/officeDocument/2006/relationships/image" Target="../media/image320.jpeg"/><Relationship Id="rId72" Type="http://schemas.openxmlformats.org/officeDocument/2006/relationships/image" Target="../media/image321.jpeg"/><Relationship Id="rId73" Type="http://schemas.openxmlformats.org/officeDocument/2006/relationships/image" Target="../media/image322.jpeg"/><Relationship Id="rId74" Type="http://schemas.openxmlformats.org/officeDocument/2006/relationships/image" Target="../media/image323.jpeg"/><Relationship Id="rId75" Type="http://schemas.openxmlformats.org/officeDocument/2006/relationships/image" Target="../media/image324.jpeg"/><Relationship Id="rId76" Type="http://schemas.openxmlformats.org/officeDocument/2006/relationships/image" Target="../media/image57.png"/><Relationship Id="rId77" Type="http://schemas.openxmlformats.org/officeDocument/2006/relationships/image" Target="../media/image325.jpeg"/><Relationship Id="rId78" Type="http://schemas.openxmlformats.org/officeDocument/2006/relationships/image" Target="../media/image326.jpeg"/><Relationship Id="rId79" Type="http://schemas.openxmlformats.org/officeDocument/2006/relationships/image" Target="../media/image327.jpeg"/><Relationship Id="rId80" Type="http://schemas.openxmlformats.org/officeDocument/2006/relationships/image" Target="../media/image328.jpeg"/><Relationship Id="rId81" Type="http://schemas.openxmlformats.org/officeDocument/2006/relationships/image" Target="../media/image329.jpeg"/><Relationship Id="rId82" Type="http://schemas.openxmlformats.org/officeDocument/2006/relationships/image" Target="../media/image330.jpeg"/><Relationship Id="rId83" Type="http://schemas.openxmlformats.org/officeDocument/2006/relationships/image" Target="../media/image329.jpeg"/><Relationship Id="rId84" Type="http://schemas.openxmlformats.org/officeDocument/2006/relationships/image" Target="../media/image331.jpeg"/><Relationship Id="rId85" Type="http://schemas.openxmlformats.org/officeDocument/2006/relationships/image" Target="../media/image332.png"/><Relationship Id="rId86" Type="http://schemas.openxmlformats.org/officeDocument/2006/relationships/image" Target="../media/image333.jpeg"/><Relationship Id="rId87" Type="http://schemas.openxmlformats.org/officeDocument/2006/relationships/image" Target="../media/image334.jpeg"/><Relationship Id="rId88" Type="http://schemas.openxmlformats.org/officeDocument/2006/relationships/image" Target="../media/image335.jpeg"/><Relationship Id="rId89" Type="http://schemas.openxmlformats.org/officeDocument/2006/relationships/image" Target="../media/image336.jpeg"/><Relationship Id="rId90" Type="http://schemas.openxmlformats.org/officeDocument/2006/relationships/image" Target="../media/image337.jpeg"/><Relationship Id="rId91" Type="http://schemas.openxmlformats.org/officeDocument/2006/relationships/image" Target="../media/image57.png"/><Relationship Id="rId92" Type="http://schemas.openxmlformats.org/officeDocument/2006/relationships/image" Target="../media/image57.png"/><Relationship Id="rId93" Type="http://schemas.openxmlformats.org/officeDocument/2006/relationships/image" Target="../media/image338.jpeg"/><Relationship Id="rId94" Type="http://schemas.openxmlformats.org/officeDocument/2006/relationships/image" Target="../media/image339.jpeg"/><Relationship Id="rId95" Type="http://schemas.openxmlformats.org/officeDocument/2006/relationships/image" Target="../media/image57.png"/><Relationship Id="rId96" Type="http://schemas.openxmlformats.org/officeDocument/2006/relationships/image" Target="../media/image340.jpeg"/><Relationship Id="rId97" Type="http://schemas.openxmlformats.org/officeDocument/2006/relationships/image" Target="../media/image341.jpeg"/><Relationship Id="rId98" Type="http://schemas.openxmlformats.org/officeDocument/2006/relationships/image" Target="../media/image57.png"/>
</Relationships>
</file>

<file path=xl/drawings/_rels/drawing4.xml.rels><?xml version="1.0" encoding="UTF-8"?>
<Relationships xmlns="http://schemas.openxmlformats.org/package/2006/relationships"><Relationship Id="rId1" Type="http://schemas.openxmlformats.org/officeDocument/2006/relationships/image" Target="../media/image267.jpeg"/><Relationship Id="rId2" Type="http://schemas.openxmlformats.org/officeDocument/2006/relationships/image" Target="../media/image268.jpeg"/><Relationship Id="rId3" Type="http://schemas.openxmlformats.org/officeDocument/2006/relationships/image" Target="../media/image57.png"/><Relationship Id="rId4" Type="http://schemas.openxmlformats.org/officeDocument/2006/relationships/image" Target="../media/image57.png"/><Relationship Id="rId5" Type="http://schemas.openxmlformats.org/officeDocument/2006/relationships/image" Target="../media/image269.jpeg"/><Relationship Id="rId6" Type="http://schemas.openxmlformats.org/officeDocument/2006/relationships/image" Target="../media/image270.jpeg"/><Relationship Id="rId7" Type="http://schemas.openxmlformats.org/officeDocument/2006/relationships/image" Target="../media/image271.jpeg"/><Relationship Id="rId8" Type="http://schemas.openxmlformats.org/officeDocument/2006/relationships/image" Target="../media/image272.jpeg"/><Relationship Id="rId9" Type="http://schemas.openxmlformats.org/officeDocument/2006/relationships/image" Target="../media/image273.jpeg"/><Relationship Id="rId10" Type="http://schemas.openxmlformats.org/officeDocument/2006/relationships/image" Target="../media/image274.jpeg"/><Relationship Id="rId11" Type="http://schemas.openxmlformats.org/officeDocument/2006/relationships/image" Target="../media/image57.png"/><Relationship Id="rId12" Type="http://schemas.openxmlformats.org/officeDocument/2006/relationships/image" Target="../media/image57.png"/><Relationship Id="rId13" Type="http://schemas.openxmlformats.org/officeDocument/2006/relationships/image" Target="../media/image57.png"/><Relationship Id="rId14" Type="http://schemas.openxmlformats.org/officeDocument/2006/relationships/image" Target="../media/image57.png"/><Relationship Id="rId15" Type="http://schemas.openxmlformats.org/officeDocument/2006/relationships/image" Target="../media/image57.png"/><Relationship Id="rId16" Type="http://schemas.openxmlformats.org/officeDocument/2006/relationships/image" Target="../media/image57.png"/><Relationship Id="rId17" Type="http://schemas.openxmlformats.org/officeDocument/2006/relationships/image" Target="../media/image57.png"/><Relationship Id="rId18" Type="http://schemas.openxmlformats.org/officeDocument/2006/relationships/image" Target="../media/image57.png"/><Relationship Id="rId19" Type="http://schemas.openxmlformats.org/officeDocument/2006/relationships/image" Target="../media/image275.jpeg"/><Relationship Id="rId20" Type="http://schemas.openxmlformats.org/officeDocument/2006/relationships/image" Target="../media/image277.jpeg"/><Relationship Id="rId21" Type="http://schemas.openxmlformats.org/officeDocument/2006/relationships/image" Target="../media/image276.jpeg"/><Relationship Id="rId22" Type="http://schemas.openxmlformats.org/officeDocument/2006/relationships/image" Target="../media/image278.jpeg"/><Relationship Id="rId23" Type="http://schemas.openxmlformats.org/officeDocument/2006/relationships/image" Target="../media/image279.jpeg"/><Relationship Id="rId24" Type="http://schemas.openxmlformats.org/officeDocument/2006/relationships/image" Target="../media/image280.jpeg"/><Relationship Id="rId25" Type="http://schemas.openxmlformats.org/officeDocument/2006/relationships/image" Target="../media/image281.jpeg"/><Relationship Id="rId26" Type="http://schemas.openxmlformats.org/officeDocument/2006/relationships/image" Target="../media/image282.jpeg"/><Relationship Id="rId27" Type="http://schemas.openxmlformats.org/officeDocument/2006/relationships/image" Target="../media/image283.jpeg"/><Relationship Id="rId28" Type="http://schemas.openxmlformats.org/officeDocument/2006/relationships/image" Target="../media/image284.jpeg"/><Relationship Id="rId29" Type="http://schemas.openxmlformats.org/officeDocument/2006/relationships/image" Target="../media/image285.jpeg"/><Relationship Id="rId30" Type="http://schemas.openxmlformats.org/officeDocument/2006/relationships/image" Target="../media/image286.jpeg"/><Relationship Id="rId31" Type="http://schemas.openxmlformats.org/officeDocument/2006/relationships/image" Target="../media/image287.jpeg"/><Relationship Id="rId32" Type="http://schemas.openxmlformats.org/officeDocument/2006/relationships/image" Target="../media/image288.jpeg"/><Relationship Id="rId33" Type="http://schemas.openxmlformats.org/officeDocument/2006/relationships/image" Target="../media/image57.png"/><Relationship Id="rId34" Type="http://schemas.openxmlformats.org/officeDocument/2006/relationships/image" Target="../media/image57.png"/><Relationship Id="rId35" Type="http://schemas.openxmlformats.org/officeDocument/2006/relationships/image" Target="../media/image57.png"/><Relationship Id="rId36" Type="http://schemas.openxmlformats.org/officeDocument/2006/relationships/image" Target="../media/image290.jpeg"/><Relationship Id="rId37" Type="http://schemas.openxmlformats.org/officeDocument/2006/relationships/image" Target="../media/image291.jpeg"/><Relationship Id="rId38" Type="http://schemas.openxmlformats.org/officeDocument/2006/relationships/image" Target="../media/image292.jpeg"/><Relationship Id="rId39" Type="http://schemas.openxmlformats.org/officeDocument/2006/relationships/image" Target="../media/image294.jpeg"/><Relationship Id="rId40" Type="http://schemas.openxmlformats.org/officeDocument/2006/relationships/image" Target="../media/image296.jpeg"/><Relationship Id="rId41" Type="http://schemas.openxmlformats.org/officeDocument/2006/relationships/image" Target="../media/image297.jpeg"/><Relationship Id="rId42" Type="http://schemas.openxmlformats.org/officeDocument/2006/relationships/image" Target="../media/image298.jpeg"/><Relationship Id="rId43" Type="http://schemas.openxmlformats.org/officeDocument/2006/relationships/image" Target="../media/image300.jpeg"/><Relationship Id="rId44" Type="http://schemas.openxmlformats.org/officeDocument/2006/relationships/image" Target="../media/image302.jpeg"/><Relationship Id="rId45" Type="http://schemas.openxmlformats.org/officeDocument/2006/relationships/image" Target="../media/image304.jpeg"/><Relationship Id="rId46" Type="http://schemas.openxmlformats.org/officeDocument/2006/relationships/image" Target="../media/image57.png"/><Relationship Id="rId47" Type="http://schemas.openxmlformats.org/officeDocument/2006/relationships/image" Target="../media/image57.png"/><Relationship Id="rId48" Type="http://schemas.openxmlformats.org/officeDocument/2006/relationships/image" Target="../media/image57.png"/><Relationship Id="rId49" Type="http://schemas.openxmlformats.org/officeDocument/2006/relationships/image" Target="../media/image293.jpeg"/><Relationship Id="rId50" Type="http://schemas.openxmlformats.org/officeDocument/2006/relationships/image" Target="../media/image299.jpeg"/><Relationship Id="rId51" Type="http://schemas.openxmlformats.org/officeDocument/2006/relationships/image" Target="../media/image57.png"/><Relationship Id="rId52" Type="http://schemas.openxmlformats.org/officeDocument/2006/relationships/image" Target="../media/image289.jpeg"/><Relationship Id="rId53" Type="http://schemas.openxmlformats.org/officeDocument/2006/relationships/image" Target="../media/image301.jpeg"/><Relationship Id="rId54" Type="http://schemas.openxmlformats.org/officeDocument/2006/relationships/image" Target="../media/image295.jpeg"/><Relationship Id="rId55" Type="http://schemas.openxmlformats.org/officeDocument/2006/relationships/image" Target="../media/image303.jpeg"/><Relationship Id="rId56" Type="http://schemas.openxmlformats.org/officeDocument/2006/relationships/image" Target="../media/image305.jpeg"/><Relationship Id="rId57" Type="http://schemas.openxmlformats.org/officeDocument/2006/relationships/image" Target="../media/image306.jpeg"/><Relationship Id="rId58" Type="http://schemas.openxmlformats.org/officeDocument/2006/relationships/image" Target="../media/image309.jpeg"/><Relationship Id="rId59" Type="http://schemas.openxmlformats.org/officeDocument/2006/relationships/image" Target="../media/image310.jpeg"/><Relationship Id="rId60" Type="http://schemas.openxmlformats.org/officeDocument/2006/relationships/image" Target="../media/image57.png"/><Relationship Id="rId61" Type="http://schemas.openxmlformats.org/officeDocument/2006/relationships/image" Target="../media/image313.jpeg"/><Relationship Id="rId62" Type="http://schemas.openxmlformats.org/officeDocument/2006/relationships/image" Target="../media/image314.jpeg"/><Relationship Id="rId63" Type="http://schemas.openxmlformats.org/officeDocument/2006/relationships/image" Target="../media/image307.jpeg"/><Relationship Id="rId64" Type="http://schemas.openxmlformats.org/officeDocument/2006/relationships/image" Target="../media/image308.jpeg"/><Relationship Id="rId65" Type="http://schemas.openxmlformats.org/officeDocument/2006/relationships/image" Target="../media/image311.jpeg"/><Relationship Id="rId66" Type="http://schemas.openxmlformats.org/officeDocument/2006/relationships/image" Target="../media/image312.jpeg"/><Relationship Id="rId67" Type="http://schemas.openxmlformats.org/officeDocument/2006/relationships/image" Target="../media/image315.jpeg"/><Relationship Id="rId68" Type="http://schemas.openxmlformats.org/officeDocument/2006/relationships/image" Target="../media/image316.jpeg"/><Relationship Id="rId69" Type="http://schemas.openxmlformats.org/officeDocument/2006/relationships/image" Target="../media/image57.png"/><Relationship Id="rId70" Type="http://schemas.openxmlformats.org/officeDocument/2006/relationships/image" Target="../media/image319.jpeg"/><Relationship Id="rId71" Type="http://schemas.openxmlformats.org/officeDocument/2006/relationships/image" Target="../media/image320.jpeg"/><Relationship Id="rId72" Type="http://schemas.openxmlformats.org/officeDocument/2006/relationships/image" Target="../media/image321.jpeg"/><Relationship Id="rId73" Type="http://schemas.openxmlformats.org/officeDocument/2006/relationships/image" Target="../media/image322.jpeg"/><Relationship Id="rId74" Type="http://schemas.openxmlformats.org/officeDocument/2006/relationships/image" Target="../media/image317.jpeg"/><Relationship Id="rId75" Type="http://schemas.openxmlformats.org/officeDocument/2006/relationships/image" Target="../media/image318.jpeg"/><Relationship Id="rId76" Type="http://schemas.openxmlformats.org/officeDocument/2006/relationships/image" Target="../media/image323.jpeg"/><Relationship Id="rId77" Type="http://schemas.openxmlformats.org/officeDocument/2006/relationships/image" Target="../media/image324.jpeg"/><Relationship Id="rId78" Type="http://schemas.openxmlformats.org/officeDocument/2006/relationships/image" Target="../media/image57.png"/><Relationship Id="rId79" Type="http://schemas.openxmlformats.org/officeDocument/2006/relationships/image" Target="../media/image326.jpeg"/><Relationship Id="rId80" Type="http://schemas.openxmlformats.org/officeDocument/2006/relationships/image" Target="../media/image328.jpeg"/><Relationship Id="rId81" Type="http://schemas.openxmlformats.org/officeDocument/2006/relationships/image" Target="../media/image325.jpeg"/><Relationship Id="rId82" Type="http://schemas.openxmlformats.org/officeDocument/2006/relationships/image" Target="../media/image327.jpeg"/><Relationship Id="rId83" Type="http://schemas.openxmlformats.org/officeDocument/2006/relationships/image" Target="../media/image342.png"/><Relationship Id="rId84" Type="http://schemas.openxmlformats.org/officeDocument/2006/relationships/image" Target="../media/image329.jpeg"/><Relationship Id="rId85" Type="http://schemas.openxmlformats.org/officeDocument/2006/relationships/image" Target="../media/image330.jpeg"/><Relationship Id="rId86" Type="http://schemas.openxmlformats.org/officeDocument/2006/relationships/image" Target="../media/image57.png"/><Relationship Id="rId87" Type="http://schemas.openxmlformats.org/officeDocument/2006/relationships/image" Target="../media/image329.jpeg"/><Relationship Id="rId88" Type="http://schemas.openxmlformats.org/officeDocument/2006/relationships/image" Target="../media/image331.jpeg"/><Relationship Id="rId89" Type="http://schemas.openxmlformats.org/officeDocument/2006/relationships/image" Target="../media/image332.png"/><Relationship Id="rId90" Type="http://schemas.openxmlformats.org/officeDocument/2006/relationships/image" Target="../media/image333.jpeg"/><Relationship Id="rId91" Type="http://schemas.openxmlformats.org/officeDocument/2006/relationships/image" Target="../media/image334.jpeg"/><Relationship Id="rId92" Type="http://schemas.openxmlformats.org/officeDocument/2006/relationships/image" Target="../media/image335.jpeg"/><Relationship Id="rId93" Type="http://schemas.openxmlformats.org/officeDocument/2006/relationships/image" Target="../media/image336.jpeg"/><Relationship Id="rId94" Type="http://schemas.openxmlformats.org/officeDocument/2006/relationships/image" Target="../media/image337.jpeg"/><Relationship Id="rId95" Type="http://schemas.openxmlformats.org/officeDocument/2006/relationships/image" Target="../media/image57.png"/><Relationship Id="rId96" Type="http://schemas.openxmlformats.org/officeDocument/2006/relationships/image" Target="../media/image57.png"/><Relationship Id="rId97" Type="http://schemas.openxmlformats.org/officeDocument/2006/relationships/image" Target="../media/image338.jpeg"/><Relationship Id="rId98" Type="http://schemas.openxmlformats.org/officeDocument/2006/relationships/image" Target="../media/image339.jpeg"/><Relationship Id="rId99" Type="http://schemas.openxmlformats.org/officeDocument/2006/relationships/image" Target="../media/image57.png"/><Relationship Id="rId100" Type="http://schemas.openxmlformats.org/officeDocument/2006/relationships/image" Target="../media/image340.jpeg"/><Relationship Id="rId101" Type="http://schemas.openxmlformats.org/officeDocument/2006/relationships/image" Target="../media/image341.jpeg"/><Relationship Id="rId102" Type="http://schemas.openxmlformats.org/officeDocument/2006/relationships/image" Target="../media/image57.png"/>
</Relationships>
</file>

<file path=xl/drawings/_rels/drawing5.xml.rels><?xml version="1.0" encoding="UTF-8"?>
<Relationships xmlns="http://schemas.openxmlformats.org/package/2006/relationships"><Relationship Id="rId1" Type="http://schemas.openxmlformats.org/officeDocument/2006/relationships/image" Target="../media/image343.jpeg"/><Relationship Id="rId2" Type="http://schemas.openxmlformats.org/officeDocument/2006/relationships/image" Target="../media/image344.jpeg"/><Relationship Id="rId3" Type="http://schemas.openxmlformats.org/officeDocument/2006/relationships/image" Target="../media/image345.jpeg"/><Relationship Id="rId4" Type="http://schemas.openxmlformats.org/officeDocument/2006/relationships/image" Target="../media/image346.jpeg"/><Relationship Id="rId5" Type="http://schemas.openxmlformats.org/officeDocument/2006/relationships/image" Target="../media/image347.jpeg"/><Relationship Id="rId6" Type="http://schemas.openxmlformats.org/officeDocument/2006/relationships/image" Target="../media/image348.jpeg"/><Relationship Id="rId7" Type="http://schemas.openxmlformats.org/officeDocument/2006/relationships/image" Target="../media/image349.jpeg"/><Relationship Id="rId8" Type="http://schemas.openxmlformats.org/officeDocument/2006/relationships/image" Target="../media/image350.jpeg"/><Relationship Id="rId9" Type="http://schemas.openxmlformats.org/officeDocument/2006/relationships/image" Target="../media/image351.jpeg"/><Relationship Id="rId10" Type="http://schemas.openxmlformats.org/officeDocument/2006/relationships/image" Target="../media/image352.jpeg"/><Relationship Id="rId11" Type="http://schemas.openxmlformats.org/officeDocument/2006/relationships/image" Target="../media/image353.jpeg"/><Relationship Id="rId12" Type="http://schemas.openxmlformats.org/officeDocument/2006/relationships/image" Target="../media/image354.jpeg"/><Relationship Id="rId13" Type="http://schemas.openxmlformats.org/officeDocument/2006/relationships/image" Target="../media/image355.jpeg"/><Relationship Id="rId14" Type="http://schemas.openxmlformats.org/officeDocument/2006/relationships/image" Target="../media/image356.jpeg"/><Relationship Id="rId15" Type="http://schemas.openxmlformats.org/officeDocument/2006/relationships/image" Target="../media/image357.jpeg"/><Relationship Id="rId16" Type="http://schemas.openxmlformats.org/officeDocument/2006/relationships/image" Target="../media/image358.png"/><Relationship Id="rId17" Type="http://schemas.openxmlformats.org/officeDocument/2006/relationships/image" Target="../media/image359.jpeg"/><Relationship Id="rId18" Type="http://schemas.openxmlformats.org/officeDocument/2006/relationships/image" Target="../media/image360.jpeg"/><Relationship Id="rId19" Type="http://schemas.openxmlformats.org/officeDocument/2006/relationships/image" Target="../media/image361.jpeg"/><Relationship Id="rId20" Type="http://schemas.openxmlformats.org/officeDocument/2006/relationships/image" Target="../media/image362.jpeg"/><Relationship Id="rId21" Type="http://schemas.openxmlformats.org/officeDocument/2006/relationships/image" Target="../media/image363.jpeg"/><Relationship Id="rId22" Type="http://schemas.openxmlformats.org/officeDocument/2006/relationships/image" Target="../media/image364.jpeg"/><Relationship Id="rId23" Type="http://schemas.openxmlformats.org/officeDocument/2006/relationships/image" Target="../media/image365.jpeg"/><Relationship Id="rId24" Type="http://schemas.openxmlformats.org/officeDocument/2006/relationships/image" Target="../media/image366.jpeg"/><Relationship Id="rId25" Type="http://schemas.openxmlformats.org/officeDocument/2006/relationships/image" Target="../media/image367.jpeg"/><Relationship Id="rId26" Type="http://schemas.openxmlformats.org/officeDocument/2006/relationships/image" Target="../media/image368.jpeg"/><Relationship Id="rId27" Type="http://schemas.openxmlformats.org/officeDocument/2006/relationships/image" Target="../media/image369.png"/><Relationship Id="rId28" Type="http://schemas.openxmlformats.org/officeDocument/2006/relationships/image" Target="../media/image370.png"/><Relationship Id="rId29" Type="http://schemas.openxmlformats.org/officeDocument/2006/relationships/image" Target="../media/image371.jpeg"/><Relationship Id="rId30" Type="http://schemas.openxmlformats.org/officeDocument/2006/relationships/image" Target="../media/image372.jpeg"/><Relationship Id="rId31" Type="http://schemas.openxmlformats.org/officeDocument/2006/relationships/image" Target="../media/image373.jpeg"/><Relationship Id="rId32" Type="http://schemas.openxmlformats.org/officeDocument/2006/relationships/image" Target="../media/image374.jpeg"/><Relationship Id="rId33" Type="http://schemas.openxmlformats.org/officeDocument/2006/relationships/image" Target="../media/image375.jpeg"/><Relationship Id="rId34" Type="http://schemas.openxmlformats.org/officeDocument/2006/relationships/image" Target="../media/image376.jpeg"/><Relationship Id="rId35" Type="http://schemas.openxmlformats.org/officeDocument/2006/relationships/image" Target="../media/image377.jpeg"/><Relationship Id="rId36" Type="http://schemas.openxmlformats.org/officeDocument/2006/relationships/image" Target="../media/image378.jpeg"/><Relationship Id="rId37" Type="http://schemas.openxmlformats.org/officeDocument/2006/relationships/image" Target="../media/image379.jpeg"/><Relationship Id="rId38" Type="http://schemas.openxmlformats.org/officeDocument/2006/relationships/image" Target="../media/image380.jpeg"/><Relationship Id="rId39" Type="http://schemas.openxmlformats.org/officeDocument/2006/relationships/image" Target="../media/image381.jpeg"/><Relationship Id="rId40" Type="http://schemas.openxmlformats.org/officeDocument/2006/relationships/image" Target="../media/image382.jpeg"/><Relationship Id="rId41" Type="http://schemas.openxmlformats.org/officeDocument/2006/relationships/image" Target="../media/image57.png"/><Relationship Id="rId42" Type="http://schemas.openxmlformats.org/officeDocument/2006/relationships/image" Target="../media/image57.png"/><Relationship Id="rId43" Type="http://schemas.openxmlformats.org/officeDocument/2006/relationships/image" Target="../media/image57.png"/><Relationship Id="rId44" Type="http://schemas.openxmlformats.org/officeDocument/2006/relationships/image" Target="../media/image57.png"/><Relationship Id="rId45" Type="http://schemas.openxmlformats.org/officeDocument/2006/relationships/image" Target="../media/image57.png"/><Relationship Id="rId46" Type="http://schemas.openxmlformats.org/officeDocument/2006/relationships/image" Target="../media/image57.png"/><Relationship Id="rId47" Type="http://schemas.openxmlformats.org/officeDocument/2006/relationships/image" Target="../media/image57.png"/><Relationship Id="rId48" Type="http://schemas.openxmlformats.org/officeDocument/2006/relationships/image" Target="../media/image57.png"/><Relationship Id="rId49" Type="http://schemas.openxmlformats.org/officeDocument/2006/relationships/image" Target="../media/image57.png"/><Relationship Id="rId50" Type="http://schemas.openxmlformats.org/officeDocument/2006/relationships/image" Target="../media/image57.png"/><Relationship Id="rId51" Type="http://schemas.openxmlformats.org/officeDocument/2006/relationships/image" Target="../media/image57.png"/><Relationship Id="rId52" Type="http://schemas.openxmlformats.org/officeDocument/2006/relationships/image" Target="../media/image57.png"/><Relationship Id="rId53" Type="http://schemas.openxmlformats.org/officeDocument/2006/relationships/image" Target="../media/image57.png"/><Relationship Id="rId54" Type="http://schemas.openxmlformats.org/officeDocument/2006/relationships/image" Target="../media/image57.png"/><Relationship Id="rId55" Type="http://schemas.openxmlformats.org/officeDocument/2006/relationships/image" Target="../media/image57.png"/><Relationship Id="rId56" Type="http://schemas.openxmlformats.org/officeDocument/2006/relationships/image" Target="../media/image57.png"/><Relationship Id="rId57" Type="http://schemas.openxmlformats.org/officeDocument/2006/relationships/image" Target="../media/image57.png"/><Relationship Id="rId58" Type="http://schemas.openxmlformats.org/officeDocument/2006/relationships/image" Target="../media/image57.png"/><Relationship Id="rId59" Type="http://schemas.openxmlformats.org/officeDocument/2006/relationships/image" Target="../media/image57.png"/><Relationship Id="rId60" Type="http://schemas.openxmlformats.org/officeDocument/2006/relationships/image" Target="../media/image57.png"/><Relationship Id="rId61" Type="http://schemas.openxmlformats.org/officeDocument/2006/relationships/image" Target="../media/image57.png"/><Relationship Id="rId62" Type="http://schemas.openxmlformats.org/officeDocument/2006/relationships/image" Target="../media/image57.png"/><Relationship Id="rId63" Type="http://schemas.openxmlformats.org/officeDocument/2006/relationships/image" Target="../media/image57.png"/><Relationship Id="rId64" Type="http://schemas.openxmlformats.org/officeDocument/2006/relationships/image" Target="../media/image383.jpeg"/><Relationship Id="rId65" Type="http://schemas.openxmlformats.org/officeDocument/2006/relationships/image" Target="../media/image384.jpeg"/><Relationship Id="rId66" Type="http://schemas.openxmlformats.org/officeDocument/2006/relationships/image" Target="../media/image385.jpeg"/><Relationship Id="rId67" Type="http://schemas.openxmlformats.org/officeDocument/2006/relationships/image" Target="../media/image386.jpeg"/><Relationship Id="rId68" Type="http://schemas.openxmlformats.org/officeDocument/2006/relationships/image" Target="../media/image387.jpeg"/><Relationship Id="rId69" Type="http://schemas.openxmlformats.org/officeDocument/2006/relationships/image" Target="../media/image388.jpeg"/><Relationship Id="rId70" Type="http://schemas.openxmlformats.org/officeDocument/2006/relationships/image" Target="../media/image57.png"/><Relationship Id="rId71" Type="http://schemas.openxmlformats.org/officeDocument/2006/relationships/image" Target="../media/image57.png"/><Relationship Id="rId72" Type="http://schemas.openxmlformats.org/officeDocument/2006/relationships/image" Target="../media/image57.png"/><Relationship Id="rId73" Type="http://schemas.openxmlformats.org/officeDocument/2006/relationships/image" Target="../media/image389.jpeg"/><Relationship Id="rId74" Type="http://schemas.openxmlformats.org/officeDocument/2006/relationships/image" Target="../media/image390.jpeg"/><Relationship Id="rId75" Type="http://schemas.openxmlformats.org/officeDocument/2006/relationships/image" Target="../media/image391.jpeg"/><Relationship Id="rId76" Type="http://schemas.openxmlformats.org/officeDocument/2006/relationships/image" Target="../media/image392.jpeg"/><Relationship Id="rId77" Type="http://schemas.openxmlformats.org/officeDocument/2006/relationships/image" Target="../media/image393.jpeg"/><Relationship Id="rId78" Type="http://schemas.openxmlformats.org/officeDocument/2006/relationships/image" Target="../media/image394.jpeg"/><Relationship Id="rId79" Type="http://schemas.openxmlformats.org/officeDocument/2006/relationships/image" Target="../media/image395.jpeg"/><Relationship Id="rId80" Type="http://schemas.openxmlformats.org/officeDocument/2006/relationships/image" Target="../media/image396.jpeg"/><Relationship Id="rId81" Type="http://schemas.openxmlformats.org/officeDocument/2006/relationships/image" Target="../media/image397.jpeg"/><Relationship Id="rId82" Type="http://schemas.openxmlformats.org/officeDocument/2006/relationships/image" Target="../media/image398.jpeg"/><Relationship Id="rId83" Type="http://schemas.openxmlformats.org/officeDocument/2006/relationships/image" Target="../media/image399.jpeg"/><Relationship Id="rId84" Type="http://schemas.openxmlformats.org/officeDocument/2006/relationships/image" Target="../media/image400.jpeg"/><Relationship Id="rId85" Type="http://schemas.openxmlformats.org/officeDocument/2006/relationships/image" Target="../media/image401.jpeg"/><Relationship Id="rId86" Type="http://schemas.openxmlformats.org/officeDocument/2006/relationships/image" Target="../media/image402.jpeg"/><Relationship Id="rId87" Type="http://schemas.openxmlformats.org/officeDocument/2006/relationships/image" Target="../media/image57.png"/><Relationship Id="rId88" Type="http://schemas.openxmlformats.org/officeDocument/2006/relationships/image" Target="../media/image57.png"/><Relationship Id="rId89" Type="http://schemas.openxmlformats.org/officeDocument/2006/relationships/image" Target="../media/image57.png"/><Relationship Id="rId90" Type="http://schemas.openxmlformats.org/officeDocument/2006/relationships/image" Target="../media/image57.png"/><Relationship Id="rId91" Type="http://schemas.openxmlformats.org/officeDocument/2006/relationships/image" Target="../media/image57.png"/><Relationship Id="rId92" Type="http://schemas.openxmlformats.org/officeDocument/2006/relationships/image" Target="../media/image57.png"/><Relationship Id="rId93" Type="http://schemas.openxmlformats.org/officeDocument/2006/relationships/image" Target="../media/image403.jpeg"/><Relationship Id="rId94" Type="http://schemas.openxmlformats.org/officeDocument/2006/relationships/image" Target="../media/image404.jpeg"/><Relationship Id="rId95" Type="http://schemas.openxmlformats.org/officeDocument/2006/relationships/image" Target="../media/image405.jpeg"/><Relationship Id="rId96" Type="http://schemas.openxmlformats.org/officeDocument/2006/relationships/image" Target="../media/image406.jpeg"/><Relationship Id="rId97" Type="http://schemas.openxmlformats.org/officeDocument/2006/relationships/image" Target="../media/image407.jpeg"/><Relationship Id="rId98" Type="http://schemas.openxmlformats.org/officeDocument/2006/relationships/image" Target="../media/image408.jpeg"/><Relationship Id="rId99" Type="http://schemas.openxmlformats.org/officeDocument/2006/relationships/image" Target="../media/image409.jpeg"/><Relationship Id="rId100" Type="http://schemas.openxmlformats.org/officeDocument/2006/relationships/image" Target="../media/image410.jpeg"/><Relationship Id="rId101" Type="http://schemas.openxmlformats.org/officeDocument/2006/relationships/image" Target="../media/image57.png"/><Relationship Id="rId102" Type="http://schemas.openxmlformats.org/officeDocument/2006/relationships/image" Target="../media/image57.png"/><Relationship Id="rId103" Type="http://schemas.openxmlformats.org/officeDocument/2006/relationships/image" Target="../media/image57.png"/><Relationship Id="rId104" Type="http://schemas.openxmlformats.org/officeDocument/2006/relationships/image" Target="../media/image57.png"/><Relationship Id="rId105" Type="http://schemas.openxmlformats.org/officeDocument/2006/relationships/image" Target="../media/image57.png"/><Relationship Id="rId106" Type="http://schemas.openxmlformats.org/officeDocument/2006/relationships/image" Target="../media/image57.png"/><Relationship Id="rId107" Type="http://schemas.openxmlformats.org/officeDocument/2006/relationships/image" Target="../media/image411.jpeg"/><Relationship Id="rId108" Type="http://schemas.openxmlformats.org/officeDocument/2006/relationships/image" Target="../media/image412.jpeg"/><Relationship Id="rId109" Type="http://schemas.openxmlformats.org/officeDocument/2006/relationships/image" Target="../media/image413.jpeg"/><Relationship Id="rId110" Type="http://schemas.openxmlformats.org/officeDocument/2006/relationships/image" Target="../media/image414.jpeg"/><Relationship Id="rId111" Type="http://schemas.openxmlformats.org/officeDocument/2006/relationships/image" Target="../media/image415.jpeg"/><Relationship Id="rId112" Type="http://schemas.openxmlformats.org/officeDocument/2006/relationships/image" Target="../media/image416.jpeg"/><Relationship Id="rId113" Type="http://schemas.openxmlformats.org/officeDocument/2006/relationships/image" Target="../media/image417.jpeg"/><Relationship Id="rId114" Type="http://schemas.openxmlformats.org/officeDocument/2006/relationships/image" Target="../media/image418.jpeg"/><Relationship Id="rId115" Type="http://schemas.openxmlformats.org/officeDocument/2006/relationships/image" Target="../media/image57.png"/><Relationship Id="rId116" Type="http://schemas.openxmlformats.org/officeDocument/2006/relationships/image" Target="../media/image57.png"/><Relationship Id="rId117" Type="http://schemas.openxmlformats.org/officeDocument/2006/relationships/image" Target="../media/image57.png"/><Relationship Id="rId118" Type="http://schemas.openxmlformats.org/officeDocument/2006/relationships/image" Target="../media/image57.png"/><Relationship Id="rId119" Type="http://schemas.openxmlformats.org/officeDocument/2006/relationships/image" Target="../media/image419.jpeg"/><Relationship Id="rId120" Type="http://schemas.openxmlformats.org/officeDocument/2006/relationships/image" Target="../media/image420.jpeg"/><Relationship Id="rId121" Type="http://schemas.openxmlformats.org/officeDocument/2006/relationships/image" Target="../media/image421.jpeg"/><Relationship Id="rId122" Type="http://schemas.openxmlformats.org/officeDocument/2006/relationships/image" Target="../media/image422.jpeg"/><Relationship Id="rId123" Type="http://schemas.openxmlformats.org/officeDocument/2006/relationships/image" Target="../media/image423.jpeg"/><Relationship Id="rId124" Type="http://schemas.openxmlformats.org/officeDocument/2006/relationships/image" Target="../media/image424.jpeg"/><Relationship Id="rId125" Type="http://schemas.openxmlformats.org/officeDocument/2006/relationships/image" Target="../media/image57.png"/><Relationship Id="rId126" Type="http://schemas.openxmlformats.org/officeDocument/2006/relationships/image" Target="../media/image57.png"/><Relationship Id="rId127" Type="http://schemas.openxmlformats.org/officeDocument/2006/relationships/image" Target="../media/image57.png"/><Relationship Id="rId128" Type="http://schemas.openxmlformats.org/officeDocument/2006/relationships/image" Target="../media/image425.png"/><Relationship Id="rId129" Type="http://schemas.openxmlformats.org/officeDocument/2006/relationships/image" Target="../media/image426.jpeg"/><Relationship Id="rId130" Type="http://schemas.openxmlformats.org/officeDocument/2006/relationships/image" Target="../media/image427.jpeg"/><Relationship Id="rId131" Type="http://schemas.openxmlformats.org/officeDocument/2006/relationships/image" Target="../media/image428.png"/><Relationship Id="rId132" Type="http://schemas.openxmlformats.org/officeDocument/2006/relationships/image" Target="../media/image429.png"/><Relationship Id="rId133" Type="http://schemas.openxmlformats.org/officeDocument/2006/relationships/image" Target="../media/image430.png"/><Relationship Id="rId134" Type="http://schemas.openxmlformats.org/officeDocument/2006/relationships/image" Target="../media/image431.png"/><Relationship Id="rId135" Type="http://schemas.openxmlformats.org/officeDocument/2006/relationships/image" Target="../media/image432.png"/><Relationship Id="rId136" Type="http://schemas.openxmlformats.org/officeDocument/2006/relationships/image" Target="../media/image433.png"/><Relationship Id="rId137" Type="http://schemas.openxmlformats.org/officeDocument/2006/relationships/image" Target="../media/image434.png"/><Relationship Id="rId138" Type="http://schemas.openxmlformats.org/officeDocument/2006/relationships/image" Target="../media/image425.png"/><Relationship Id="rId139" Type="http://schemas.openxmlformats.org/officeDocument/2006/relationships/image" Target="../media/image435.jpeg"/><Relationship Id="rId140" Type="http://schemas.openxmlformats.org/officeDocument/2006/relationships/image" Target="../media/image436.jpeg"/><Relationship Id="rId141" Type="http://schemas.openxmlformats.org/officeDocument/2006/relationships/image" Target="../media/image437.png"/><Relationship Id="rId142" Type="http://schemas.openxmlformats.org/officeDocument/2006/relationships/image" Target="../media/image435.jpeg"/><Relationship Id="rId143" Type="http://schemas.openxmlformats.org/officeDocument/2006/relationships/image" Target="../media/image436.jpeg"/><Relationship Id="rId144" Type="http://schemas.openxmlformats.org/officeDocument/2006/relationships/image" Target="../media/image437.png"/><Relationship Id="rId145" Type="http://schemas.openxmlformats.org/officeDocument/2006/relationships/image" Target="../media/image438.jpeg"/><Relationship Id="rId146" Type="http://schemas.openxmlformats.org/officeDocument/2006/relationships/image" Target="../media/image439.jpeg"/><Relationship Id="rId147" Type="http://schemas.openxmlformats.org/officeDocument/2006/relationships/image" Target="../media/image440.png"/><Relationship Id="rId148" Type="http://schemas.openxmlformats.org/officeDocument/2006/relationships/image" Target="../media/image441.png"/><Relationship Id="rId149" Type="http://schemas.openxmlformats.org/officeDocument/2006/relationships/image" Target="../media/image442.png"/><Relationship Id="rId150" Type="http://schemas.openxmlformats.org/officeDocument/2006/relationships/image" Target="../media/image443.png"/><Relationship Id="rId151" Type="http://schemas.openxmlformats.org/officeDocument/2006/relationships/image" Target="../media/image444.jpeg"/><Relationship Id="rId152" Type="http://schemas.openxmlformats.org/officeDocument/2006/relationships/image" Target="../media/image445.png"/><Relationship Id="rId153" Type="http://schemas.openxmlformats.org/officeDocument/2006/relationships/image" Target="../media/image446.png"/><Relationship Id="rId154" Type="http://schemas.openxmlformats.org/officeDocument/2006/relationships/image" Target="../media/image447.png"/><Relationship Id="rId155" Type="http://schemas.openxmlformats.org/officeDocument/2006/relationships/image" Target="../media/image448.png"/><Relationship Id="rId156" Type="http://schemas.openxmlformats.org/officeDocument/2006/relationships/image" Target="../media/image449.png"/><Relationship Id="rId157" Type="http://schemas.openxmlformats.org/officeDocument/2006/relationships/image" Target="../media/image450.png"/><Relationship Id="rId158" Type="http://schemas.openxmlformats.org/officeDocument/2006/relationships/image" Target="../media/image451.png"/><Relationship Id="rId159" Type="http://schemas.openxmlformats.org/officeDocument/2006/relationships/image" Target="../media/image452.jpeg"/><Relationship Id="rId160" Type="http://schemas.openxmlformats.org/officeDocument/2006/relationships/image" Target="../media/image453.jpeg"/><Relationship Id="rId161" Type="http://schemas.openxmlformats.org/officeDocument/2006/relationships/image" Target="../media/image454.jpeg"/><Relationship Id="rId162" Type="http://schemas.openxmlformats.org/officeDocument/2006/relationships/image" Target="../media/image57.png"/><Relationship Id="rId163" Type="http://schemas.openxmlformats.org/officeDocument/2006/relationships/image" Target="../media/image57.png"/><Relationship Id="rId164" Type="http://schemas.openxmlformats.org/officeDocument/2006/relationships/image" Target="../media/image57.png"/><Relationship Id="rId165" Type="http://schemas.openxmlformats.org/officeDocument/2006/relationships/image" Target="../media/image57.png"/><Relationship Id="rId166" Type="http://schemas.openxmlformats.org/officeDocument/2006/relationships/image" Target="../media/image57.png"/><Relationship Id="rId167" Type="http://schemas.openxmlformats.org/officeDocument/2006/relationships/image" Target="../media/image57.png"/><Relationship Id="rId168" Type="http://schemas.openxmlformats.org/officeDocument/2006/relationships/image" Target="../media/image57.png"/><Relationship Id="rId169" Type="http://schemas.openxmlformats.org/officeDocument/2006/relationships/image" Target="../media/image57.png"/><Relationship Id="rId170" Type="http://schemas.openxmlformats.org/officeDocument/2006/relationships/image" Target="../media/image57.png"/><Relationship Id="rId171" Type="http://schemas.openxmlformats.org/officeDocument/2006/relationships/image" Target="../media/image57.png"/><Relationship Id="rId172" Type="http://schemas.openxmlformats.org/officeDocument/2006/relationships/image" Target="../media/image57.png"/><Relationship Id="rId173" Type="http://schemas.openxmlformats.org/officeDocument/2006/relationships/image" Target="../media/image57.png"/><Relationship Id="rId174" Type="http://schemas.openxmlformats.org/officeDocument/2006/relationships/image" Target="../media/image57.png"/><Relationship Id="rId175" Type="http://schemas.openxmlformats.org/officeDocument/2006/relationships/image" Target="../media/image57.png"/><Relationship Id="rId176" Type="http://schemas.openxmlformats.org/officeDocument/2006/relationships/image" Target="../media/image455.jpeg"/><Relationship Id="rId177" Type="http://schemas.openxmlformats.org/officeDocument/2006/relationships/image" Target="../media/image456.jpeg"/><Relationship Id="rId178" Type="http://schemas.openxmlformats.org/officeDocument/2006/relationships/image" Target="../media/image457.jpeg"/><Relationship Id="rId179" Type="http://schemas.openxmlformats.org/officeDocument/2006/relationships/image" Target="../media/image458.jpeg"/><Relationship Id="rId180" Type="http://schemas.openxmlformats.org/officeDocument/2006/relationships/image" Target="../media/image459.jpeg"/><Relationship Id="rId181" Type="http://schemas.openxmlformats.org/officeDocument/2006/relationships/image" Target="../media/image460.jpeg"/><Relationship Id="rId182" Type="http://schemas.openxmlformats.org/officeDocument/2006/relationships/image" Target="../media/image461.jpeg"/><Relationship Id="rId183" Type="http://schemas.openxmlformats.org/officeDocument/2006/relationships/image" Target="../media/image462.jpeg"/><Relationship Id="rId184" Type="http://schemas.openxmlformats.org/officeDocument/2006/relationships/image" Target="../media/image463.jpeg"/><Relationship Id="rId185" Type="http://schemas.openxmlformats.org/officeDocument/2006/relationships/image" Target="../media/image464.jpeg"/><Relationship Id="rId186" Type="http://schemas.openxmlformats.org/officeDocument/2006/relationships/image" Target="../media/image465.jpeg"/><Relationship Id="rId187" Type="http://schemas.openxmlformats.org/officeDocument/2006/relationships/image" Target="../media/image466.jpeg"/><Relationship Id="rId188" Type="http://schemas.openxmlformats.org/officeDocument/2006/relationships/image" Target="../media/image467.jpeg"/><Relationship Id="rId189" Type="http://schemas.openxmlformats.org/officeDocument/2006/relationships/image" Target="../media/image468.jpeg"/><Relationship Id="rId190" Type="http://schemas.openxmlformats.org/officeDocument/2006/relationships/image" Target="../media/image469.jpeg"/><Relationship Id="rId191" Type="http://schemas.openxmlformats.org/officeDocument/2006/relationships/image" Target="../media/image470.jpeg"/><Relationship Id="rId192" Type="http://schemas.openxmlformats.org/officeDocument/2006/relationships/image" Target="../media/image471.jpeg"/><Relationship Id="rId193" Type="http://schemas.openxmlformats.org/officeDocument/2006/relationships/image" Target="../media/image472.jpeg"/><Relationship Id="rId194" Type="http://schemas.openxmlformats.org/officeDocument/2006/relationships/image" Target="../media/image473.jpeg"/><Relationship Id="rId195" Type="http://schemas.openxmlformats.org/officeDocument/2006/relationships/image" Target="../media/image474.jpeg"/><Relationship Id="rId196" Type="http://schemas.openxmlformats.org/officeDocument/2006/relationships/image" Target="../media/image475.jpeg"/><Relationship Id="rId197" Type="http://schemas.openxmlformats.org/officeDocument/2006/relationships/image" Target="../media/image476.jpeg"/><Relationship Id="rId198" Type="http://schemas.openxmlformats.org/officeDocument/2006/relationships/image" Target="../media/image57.png"/><Relationship Id="rId199" Type="http://schemas.openxmlformats.org/officeDocument/2006/relationships/image" Target="../media/image57.png"/><Relationship Id="rId200" Type="http://schemas.openxmlformats.org/officeDocument/2006/relationships/image" Target="../media/image57.png"/><Relationship Id="rId201" Type="http://schemas.openxmlformats.org/officeDocument/2006/relationships/image" Target="../media/image57.png"/><Relationship Id="rId202" Type="http://schemas.openxmlformats.org/officeDocument/2006/relationships/image" Target="../media/image57.png"/><Relationship Id="rId203" Type="http://schemas.openxmlformats.org/officeDocument/2006/relationships/image" Target="../media/image57.png"/><Relationship Id="rId204" Type="http://schemas.openxmlformats.org/officeDocument/2006/relationships/image" Target="../media/image57.png"/><Relationship Id="rId205" Type="http://schemas.openxmlformats.org/officeDocument/2006/relationships/image" Target="../media/image477.jpeg"/><Relationship Id="rId206" Type="http://schemas.openxmlformats.org/officeDocument/2006/relationships/image" Target="../media/image478.jpeg"/><Relationship Id="rId207" Type="http://schemas.openxmlformats.org/officeDocument/2006/relationships/image" Target="../media/image479.jpeg"/><Relationship Id="rId208" Type="http://schemas.openxmlformats.org/officeDocument/2006/relationships/image" Target="../media/image480.jpeg"/><Relationship Id="rId209" Type="http://schemas.openxmlformats.org/officeDocument/2006/relationships/image" Target="../media/image57.png"/><Relationship Id="rId210" Type="http://schemas.openxmlformats.org/officeDocument/2006/relationships/image" Target="../media/image481.jpeg"/><Relationship Id="rId211" Type="http://schemas.openxmlformats.org/officeDocument/2006/relationships/image" Target="../media/image482.jpeg"/><Relationship Id="rId212" Type="http://schemas.openxmlformats.org/officeDocument/2006/relationships/image" Target="../media/image483.jpeg"/><Relationship Id="rId213" Type="http://schemas.openxmlformats.org/officeDocument/2006/relationships/image" Target="../media/image484.jpeg"/><Relationship Id="rId214" Type="http://schemas.openxmlformats.org/officeDocument/2006/relationships/image" Target="../media/image485.jpeg"/><Relationship Id="rId215" Type="http://schemas.openxmlformats.org/officeDocument/2006/relationships/image" Target="../media/image486.jpeg"/><Relationship Id="rId216" Type="http://schemas.openxmlformats.org/officeDocument/2006/relationships/image" Target="../media/image487.jpeg"/><Relationship Id="rId217" Type="http://schemas.openxmlformats.org/officeDocument/2006/relationships/image" Target="../media/image488.jpeg"/><Relationship Id="rId218" Type="http://schemas.openxmlformats.org/officeDocument/2006/relationships/image" Target="../media/image57.png"/><Relationship Id="rId219" Type="http://schemas.openxmlformats.org/officeDocument/2006/relationships/image" Target="../media/image57.png"/><Relationship Id="rId220" Type="http://schemas.openxmlformats.org/officeDocument/2006/relationships/image" Target="../media/image57.png"/><Relationship Id="rId221" Type="http://schemas.openxmlformats.org/officeDocument/2006/relationships/image" Target="../media/image489.jpeg"/><Relationship Id="rId222" Type="http://schemas.openxmlformats.org/officeDocument/2006/relationships/image" Target="../media/image490.jpeg"/><Relationship Id="rId223" Type="http://schemas.openxmlformats.org/officeDocument/2006/relationships/image" Target="../media/image491.jpeg"/><Relationship Id="rId224" Type="http://schemas.openxmlformats.org/officeDocument/2006/relationships/image" Target="../media/image492.jpeg"/><Relationship Id="rId225" Type="http://schemas.openxmlformats.org/officeDocument/2006/relationships/image" Target="../media/image493.jpeg"/><Relationship Id="rId226" Type="http://schemas.openxmlformats.org/officeDocument/2006/relationships/image" Target="../media/image494.jpeg"/><Relationship Id="rId227" Type="http://schemas.openxmlformats.org/officeDocument/2006/relationships/image" Target="../media/image495.jpeg"/><Relationship Id="rId228" Type="http://schemas.openxmlformats.org/officeDocument/2006/relationships/image" Target="../media/image496.jpeg"/><Relationship Id="rId229" Type="http://schemas.openxmlformats.org/officeDocument/2006/relationships/image" Target="../media/image497.jpeg"/><Relationship Id="rId230" Type="http://schemas.openxmlformats.org/officeDocument/2006/relationships/image" Target="../media/image498.jpeg"/><Relationship Id="rId231" Type="http://schemas.openxmlformats.org/officeDocument/2006/relationships/image" Target="../media/image57.png"/><Relationship Id="rId232" Type="http://schemas.openxmlformats.org/officeDocument/2006/relationships/image" Target="../media/image57.png"/><Relationship Id="rId233" Type="http://schemas.openxmlformats.org/officeDocument/2006/relationships/image" Target="../media/image57.png"/><Relationship Id="rId234" Type="http://schemas.openxmlformats.org/officeDocument/2006/relationships/image" Target="../media/image57.png"/><Relationship Id="rId235" Type="http://schemas.openxmlformats.org/officeDocument/2006/relationships/image" Target="../media/image499.jpeg"/><Relationship Id="rId236" Type="http://schemas.openxmlformats.org/officeDocument/2006/relationships/image" Target="../media/image500.jpeg"/><Relationship Id="rId237" Type="http://schemas.openxmlformats.org/officeDocument/2006/relationships/image" Target="../media/image501.jpeg"/><Relationship Id="rId238" Type="http://schemas.openxmlformats.org/officeDocument/2006/relationships/image" Target="../media/image502.jpeg"/><Relationship Id="rId239" Type="http://schemas.openxmlformats.org/officeDocument/2006/relationships/image" Target="../media/image57.png"/><Relationship Id="rId240" Type="http://schemas.openxmlformats.org/officeDocument/2006/relationships/image" Target="../media/image57.png"/><Relationship Id="rId241" Type="http://schemas.openxmlformats.org/officeDocument/2006/relationships/image" Target="../media/image503.jpeg"/><Relationship Id="rId242" Type="http://schemas.openxmlformats.org/officeDocument/2006/relationships/image" Target="../media/image504.jpeg"/><Relationship Id="rId243" Type="http://schemas.openxmlformats.org/officeDocument/2006/relationships/image" Target="../media/image505.jpeg"/><Relationship Id="rId244" Type="http://schemas.openxmlformats.org/officeDocument/2006/relationships/image" Target="../media/image506.jpeg"/><Relationship Id="rId245" Type="http://schemas.openxmlformats.org/officeDocument/2006/relationships/image" Target="../media/image507.jpeg"/><Relationship Id="rId246" Type="http://schemas.openxmlformats.org/officeDocument/2006/relationships/image" Target="../media/image508.jpeg"/><Relationship Id="rId247" Type="http://schemas.openxmlformats.org/officeDocument/2006/relationships/image" Target="../media/image509.jpeg"/><Relationship Id="rId248" Type="http://schemas.openxmlformats.org/officeDocument/2006/relationships/image" Target="../media/image510.jpeg"/><Relationship Id="rId249" Type="http://schemas.openxmlformats.org/officeDocument/2006/relationships/image" Target="../media/image57.png"/><Relationship Id="rId250" Type="http://schemas.openxmlformats.org/officeDocument/2006/relationships/image" Target="../media/image57.png"/><Relationship Id="rId251" Type="http://schemas.openxmlformats.org/officeDocument/2006/relationships/image" Target="../media/image57.png"/><Relationship Id="rId252" Type="http://schemas.openxmlformats.org/officeDocument/2006/relationships/image" Target="../media/image511.jpeg"/><Relationship Id="rId253" Type="http://schemas.openxmlformats.org/officeDocument/2006/relationships/image" Target="../media/image512.jpeg"/><Relationship Id="rId254" Type="http://schemas.openxmlformats.org/officeDocument/2006/relationships/image" Target="../media/image513.jpeg"/><Relationship Id="rId255" Type="http://schemas.openxmlformats.org/officeDocument/2006/relationships/image" Target="../media/image514.jpeg"/><Relationship Id="rId256" Type="http://schemas.openxmlformats.org/officeDocument/2006/relationships/image" Target="../media/image57.png"/><Relationship Id="rId257" Type="http://schemas.openxmlformats.org/officeDocument/2006/relationships/image" Target="../media/image57.png"/><Relationship Id="rId258" Type="http://schemas.openxmlformats.org/officeDocument/2006/relationships/image" Target="../media/image515.jpeg"/><Relationship Id="rId259" Type="http://schemas.openxmlformats.org/officeDocument/2006/relationships/image" Target="../media/image516.jpeg"/><Relationship Id="rId260" Type="http://schemas.openxmlformats.org/officeDocument/2006/relationships/image" Target="../media/image517.jpeg"/><Relationship Id="rId261" Type="http://schemas.openxmlformats.org/officeDocument/2006/relationships/image" Target="../media/image518.jpeg"/><Relationship Id="rId262" Type="http://schemas.openxmlformats.org/officeDocument/2006/relationships/image" Target="../media/image519.jpeg"/><Relationship Id="rId263" Type="http://schemas.openxmlformats.org/officeDocument/2006/relationships/image" Target="../media/image520.jpeg"/><Relationship Id="rId264" Type="http://schemas.openxmlformats.org/officeDocument/2006/relationships/image" Target="../media/image521.jpeg"/><Relationship Id="rId265" Type="http://schemas.openxmlformats.org/officeDocument/2006/relationships/image" Target="../media/image522.jpeg"/><Relationship Id="rId266" Type="http://schemas.openxmlformats.org/officeDocument/2006/relationships/image" Target="../media/image523.jpeg"/><Relationship Id="rId267" Type="http://schemas.openxmlformats.org/officeDocument/2006/relationships/image" Target="../media/image524.jpeg"/><Relationship Id="rId268" Type="http://schemas.openxmlformats.org/officeDocument/2006/relationships/image" Target="../media/image525.jpeg"/><Relationship Id="rId269" Type="http://schemas.openxmlformats.org/officeDocument/2006/relationships/image" Target="../media/image526.jpeg"/><Relationship Id="rId270" Type="http://schemas.openxmlformats.org/officeDocument/2006/relationships/image" Target="../media/image527.jpeg"/><Relationship Id="rId271" Type="http://schemas.openxmlformats.org/officeDocument/2006/relationships/image" Target="../media/image528.jpeg"/><Relationship Id="rId272" Type="http://schemas.openxmlformats.org/officeDocument/2006/relationships/image" Target="../media/image529.jpeg"/><Relationship Id="rId273" Type="http://schemas.openxmlformats.org/officeDocument/2006/relationships/image" Target="../media/image530.jpeg"/><Relationship Id="rId274" Type="http://schemas.openxmlformats.org/officeDocument/2006/relationships/image" Target="../media/image531.jpeg"/><Relationship Id="rId275" Type="http://schemas.openxmlformats.org/officeDocument/2006/relationships/image" Target="../media/image532.jpeg"/><Relationship Id="rId276" Type="http://schemas.openxmlformats.org/officeDocument/2006/relationships/image" Target="../media/image57.png"/><Relationship Id="rId277" Type="http://schemas.openxmlformats.org/officeDocument/2006/relationships/image" Target="../media/image57.png"/><Relationship Id="rId278" Type="http://schemas.openxmlformats.org/officeDocument/2006/relationships/image" Target="../media/image57.png"/><Relationship Id="rId279" Type="http://schemas.openxmlformats.org/officeDocument/2006/relationships/image" Target="../media/image57.png"/><Relationship Id="rId280" Type="http://schemas.openxmlformats.org/officeDocument/2006/relationships/image" Target="../media/image57.png"/><Relationship Id="rId281" Type="http://schemas.openxmlformats.org/officeDocument/2006/relationships/image" Target="../media/image533.jpeg"/><Relationship Id="rId282" Type="http://schemas.openxmlformats.org/officeDocument/2006/relationships/image" Target="../media/image534.jpeg"/><Relationship Id="rId283" Type="http://schemas.openxmlformats.org/officeDocument/2006/relationships/image" Target="../media/image535.jpeg"/><Relationship Id="rId284" Type="http://schemas.openxmlformats.org/officeDocument/2006/relationships/image" Target="../media/image536.jpeg"/><Relationship Id="rId285" Type="http://schemas.openxmlformats.org/officeDocument/2006/relationships/image" Target="../media/image537.jpeg"/><Relationship Id="rId286" Type="http://schemas.openxmlformats.org/officeDocument/2006/relationships/image" Target="../media/image538.jpeg"/><Relationship Id="rId287" Type="http://schemas.openxmlformats.org/officeDocument/2006/relationships/image" Target="../media/image539.jpeg"/><Relationship Id="rId288" Type="http://schemas.openxmlformats.org/officeDocument/2006/relationships/image" Target="../media/image540.jpeg"/><Relationship Id="rId289" Type="http://schemas.openxmlformats.org/officeDocument/2006/relationships/image" Target="../media/image541.jpeg"/><Relationship Id="rId290" Type="http://schemas.openxmlformats.org/officeDocument/2006/relationships/image" Target="../media/image542.jpeg"/><Relationship Id="rId291" Type="http://schemas.openxmlformats.org/officeDocument/2006/relationships/image" Target="../media/image543.jpeg"/><Relationship Id="rId292" Type="http://schemas.openxmlformats.org/officeDocument/2006/relationships/image" Target="../media/image544.jpeg"/><Relationship Id="rId293" Type="http://schemas.openxmlformats.org/officeDocument/2006/relationships/image" Target="../media/image545.jpeg"/><Relationship Id="rId294" Type="http://schemas.openxmlformats.org/officeDocument/2006/relationships/image" Target="../media/image546.jpeg"/><Relationship Id="rId295" Type="http://schemas.openxmlformats.org/officeDocument/2006/relationships/image" Target="../media/image547.jpeg"/><Relationship Id="rId296" Type="http://schemas.openxmlformats.org/officeDocument/2006/relationships/image" Target="../media/image548.jpeg"/><Relationship Id="rId297" Type="http://schemas.openxmlformats.org/officeDocument/2006/relationships/image" Target="../media/image549.jpeg"/><Relationship Id="rId298" Type="http://schemas.openxmlformats.org/officeDocument/2006/relationships/image" Target="../media/image550.jpeg"/><Relationship Id="rId299" Type="http://schemas.openxmlformats.org/officeDocument/2006/relationships/image" Target="../media/image57.png"/><Relationship Id="rId300" Type="http://schemas.openxmlformats.org/officeDocument/2006/relationships/image" Target="../media/image57.png"/><Relationship Id="rId301" Type="http://schemas.openxmlformats.org/officeDocument/2006/relationships/image" Target="../media/image57.png"/><Relationship Id="rId302" Type="http://schemas.openxmlformats.org/officeDocument/2006/relationships/image" Target="../media/image57.png"/><Relationship Id="rId303" Type="http://schemas.openxmlformats.org/officeDocument/2006/relationships/image" Target="../media/image57.png"/><Relationship Id="rId304" Type="http://schemas.openxmlformats.org/officeDocument/2006/relationships/image" Target="../media/image57.png"/><Relationship Id="rId305" Type="http://schemas.openxmlformats.org/officeDocument/2006/relationships/image" Target="../media/image551.jpeg"/><Relationship Id="rId306" Type="http://schemas.openxmlformats.org/officeDocument/2006/relationships/image" Target="../media/image552.jpeg"/><Relationship Id="rId307" Type="http://schemas.openxmlformats.org/officeDocument/2006/relationships/image" Target="../media/image553.jpeg"/><Relationship Id="rId308" Type="http://schemas.openxmlformats.org/officeDocument/2006/relationships/image" Target="../media/image554.jpeg"/><Relationship Id="rId309" Type="http://schemas.openxmlformats.org/officeDocument/2006/relationships/image" Target="../media/image555.jpeg"/><Relationship Id="rId310" Type="http://schemas.openxmlformats.org/officeDocument/2006/relationships/image" Target="../media/image556.jpeg"/><Relationship Id="rId311" Type="http://schemas.openxmlformats.org/officeDocument/2006/relationships/image" Target="../media/image557.jpeg"/><Relationship Id="rId312" Type="http://schemas.openxmlformats.org/officeDocument/2006/relationships/image" Target="../media/image558.jpeg"/><Relationship Id="rId313" Type="http://schemas.openxmlformats.org/officeDocument/2006/relationships/image" Target="../media/image57.png"/><Relationship Id="rId314" Type="http://schemas.openxmlformats.org/officeDocument/2006/relationships/image" Target="../media/image57.png"/><Relationship Id="rId315" Type="http://schemas.openxmlformats.org/officeDocument/2006/relationships/image" Target="../media/image57.png"/><Relationship Id="rId316" Type="http://schemas.openxmlformats.org/officeDocument/2006/relationships/image" Target="../media/image57.png"/><Relationship Id="rId317" Type="http://schemas.openxmlformats.org/officeDocument/2006/relationships/image" Target="../media/image559.png"/><Relationship Id="rId318" Type="http://schemas.openxmlformats.org/officeDocument/2006/relationships/image" Target="../media/image560.png"/><Relationship Id="rId319" Type="http://schemas.openxmlformats.org/officeDocument/2006/relationships/image" Target="../media/image561.png"/><Relationship Id="rId320" Type="http://schemas.openxmlformats.org/officeDocument/2006/relationships/image" Target="../media/image562.png"/><Relationship Id="rId321" Type="http://schemas.openxmlformats.org/officeDocument/2006/relationships/image" Target="../media/image563.png"/><Relationship Id="rId322" Type="http://schemas.openxmlformats.org/officeDocument/2006/relationships/image" Target="../media/image564.png"/><Relationship Id="rId323" Type="http://schemas.openxmlformats.org/officeDocument/2006/relationships/image" Target="../media/image565.png"/><Relationship Id="rId324" Type="http://schemas.openxmlformats.org/officeDocument/2006/relationships/image" Target="../media/image566.png"/><Relationship Id="rId325" Type="http://schemas.openxmlformats.org/officeDocument/2006/relationships/image" Target="../media/image57.png"/><Relationship Id="rId326" Type="http://schemas.openxmlformats.org/officeDocument/2006/relationships/image" Target="../media/image57.png"/><Relationship Id="rId327" Type="http://schemas.openxmlformats.org/officeDocument/2006/relationships/image" Target="../media/image57.png"/><Relationship Id="rId328" Type="http://schemas.openxmlformats.org/officeDocument/2006/relationships/image" Target="../media/image57.png"/><Relationship Id="rId329" Type="http://schemas.openxmlformats.org/officeDocument/2006/relationships/image" Target="../media/image567.jpeg"/><Relationship Id="rId330" Type="http://schemas.openxmlformats.org/officeDocument/2006/relationships/image" Target="../media/image568.jpeg"/><Relationship Id="rId331" Type="http://schemas.openxmlformats.org/officeDocument/2006/relationships/image" Target="../media/image569.jpeg"/><Relationship Id="rId332" Type="http://schemas.openxmlformats.org/officeDocument/2006/relationships/image" Target="../media/image570.jpeg"/><Relationship Id="rId333" Type="http://schemas.openxmlformats.org/officeDocument/2006/relationships/image" Target="../media/image57.png"/><Relationship Id="rId334" Type="http://schemas.openxmlformats.org/officeDocument/2006/relationships/image" Target="../media/image342.png"/><Relationship Id="rId335" Type="http://schemas.openxmlformats.org/officeDocument/2006/relationships/image" Target="../media/image342.png"/><Relationship Id="rId336" Type="http://schemas.openxmlformats.org/officeDocument/2006/relationships/image" Target="../media/image57.png"/>
</Relationships>
</file>

<file path=xl/drawings/_rels/drawing6.xml.rels><?xml version="1.0" encoding="UTF-8"?>
<Relationships xmlns="http://schemas.openxmlformats.org/package/2006/relationships"><Relationship Id="rId1" Type="http://schemas.openxmlformats.org/officeDocument/2006/relationships/image" Target="../media/image571.jpeg"/><Relationship Id="rId2" Type="http://schemas.openxmlformats.org/officeDocument/2006/relationships/image" Target="../media/image572.jpeg"/><Relationship Id="rId3" Type="http://schemas.openxmlformats.org/officeDocument/2006/relationships/image" Target="../media/image573.png"/><Relationship Id="rId4" Type="http://schemas.openxmlformats.org/officeDocument/2006/relationships/image" Target="../media/image574.png"/><Relationship Id="rId5" Type="http://schemas.openxmlformats.org/officeDocument/2006/relationships/image" Target="../media/image575.jpeg"/><Relationship Id="rId6" Type="http://schemas.openxmlformats.org/officeDocument/2006/relationships/image" Target="../media/image576.jpeg"/><Relationship Id="rId7" Type="http://schemas.openxmlformats.org/officeDocument/2006/relationships/image" Target="../media/image577.jpeg"/><Relationship Id="rId8" Type="http://schemas.openxmlformats.org/officeDocument/2006/relationships/image" Target="../media/image578.jpeg"/><Relationship Id="rId9" Type="http://schemas.openxmlformats.org/officeDocument/2006/relationships/image" Target="../media/image579.jpeg"/><Relationship Id="rId10" Type="http://schemas.openxmlformats.org/officeDocument/2006/relationships/image" Target="../media/image580.jpeg"/><Relationship Id="rId11" Type="http://schemas.openxmlformats.org/officeDocument/2006/relationships/image" Target="../media/image581.jpeg"/><Relationship Id="rId12" Type="http://schemas.openxmlformats.org/officeDocument/2006/relationships/image" Target="../media/image582.jpeg"/><Relationship Id="rId13" Type="http://schemas.openxmlformats.org/officeDocument/2006/relationships/image" Target="../media/image583.jpeg"/><Relationship Id="rId14" Type="http://schemas.openxmlformats.org/officeDocument/2006/relationships/image" Target="../media/image584.jpeg"/><Relationship Id="rId15" Type="http://schemas.openxmlformats.org/officeDocument/2006/relationships/image" Target="../media/image585.jpeg"/><Relationship Id="rId16" Type="http://schemas.openxmlformats.org/officeDocument/2006/relationships/image" Target="../media/image586.jpeg"/><Relationship Id="rId17" Type="http://schemas.openxmlformats.org/officeDocument/2006/relationships/image" Target="../media/image587.jpeg"/><Relationship Id="rId18" Type="http://schemas.openxmlformats.org/officeDocument/2006/relationships/image" Target="../media/image588.jpeg"/><Relationship Id="rId19" Type="http://schemas.openxmlformats.org/officeDocument/2006/relationships/image" Target="../media/image589.jpeg"/><Relationship Id="rId20" Type="http://schemas.openxmlformats.org/officeDocument/2006/relationships/image" Target="../media/image590.jpeg"/><Relationship Id="rId21" Type="http://schemas.openxmlformats.org/officeDocument/2006/relationships/image" Target="../media/image591.png"/><Relationship Id="rId22" Type="http://schemas.openxmlformats.org/officeDocument/2006/relationships/image" Target="../media/image592.png"/><Relationship Id="rId23" Type="http://schemas.openxmlformats.org/officeDocument/2006/relationships/image" Target="../media/image593.jpeg"/><Relationship Id="rId24" Type="http://schemas.openxmlformats.org/officeDocument/2006/relationships/image" Target="../media/image594.jpeg"/><Relationship Id="rId25" Type="http://schemas.openxmlformats.org/officeDocument/2006/relationships/image" Target="../media/image595.jpeg"/><Relationship Id="rId26" Type="http://schemas.openxmlformats.org/officeDocument/2006/relationships/image" Target="../media/image596.jpeg"/><Relationship Id="rId27" Type="http://schemas.openxmlformats.org/officeDocument/2006/relationships/image" Target="../media/image342.png"/>
</Relationships>
</file>

<file path=xl/drawings/_rels/drawing7.xml.rels><?xml version="1.0" encoding="UTF-8"?>
<Relationships xmlns="http://schemas.openxmlformats.org/package/2006/relationships"><Relationship Id="rId1" Type="http://schemas.openxmlformats.org/officeDocument/2006/relationships/image" Target="../media/image597.jpeg"/><Relationship Id="rId2" Type="http://schemas.openxmlformats.org/officeDocument/2006/relationships/image" Target="../media/image598.jpeg"/><Relationship Id="rId3" Type="http://schemas.openxmlformats.org/officeDocument/2006/relationships/image" Target="../media/image599.jpeg"/><Relationship Id="rId4" Type="http://schemas.openxmlformats.org/officeDocument/2006/relationships/image" Target="../media/image600.jpeg"/><Relationship Id="rId5" Type="http://schemas.openxmlformats.org/officeDocument/2006/relationships/image" Target="../media/image601.jpeg"/><Relationship Id="rId6" Type="http://schemas.openxmlformats.org/officeDocument/2006/relationships/image" Target="../media/image602.jpeg"/><Relationship Id="rId7" Type="http://schemas.openxmlformats.org/officeDocument/2006/relationships/image" Target="../media/image603.jpeg"/><Relationship Id="rId8" Type="http://schemas.openxmlformats.org/officeDocument/2006/relationships/image" Target="../media/image604.png"/><Relationship Id="rId9" Type="http://schemas.openxmlformats.org/officeDocument/2006/relationships/image" Target="../media/image605.jpeg"/><Relationship Id="rId10" Type="http://schemas.openxmlformats.org/officeDocument/2006/relationships/image" Target="../media/image606.jpeg"/><Relationship Id="rId11" Type="http://schemas.openxmlformats.org/officeDocument/2006/relationships/image" Target="../media/image607.jpeg"/><Relationship Id="rId12" Type="http://schemas.openxmlformats.org/officeDocument/2006/relationships/image" Target="../media/image608.jpeg"/><Relationship Id="rId13" Type="http://schemas.openxmlformats.org/officeDocument/2006/relationships/image" Target="../media/image609.jpeg"/><Relationship Id="rId14" Type="http://schemas.openxmlformats.org/officeDocument/2006/relationships/image" Target="../media/image610.jpeg"/><Relationship Id="rId15" Type="http://schemas.openxmlformats.org/officeDocument/2006/relationships/image" Target="../media/image611.jpeg"/><Relationship Id="rId16" Type="http://schemas.openxmlformats.org/officeDocument/2006/relationships/image" Target="../media/image612.jpeg"/><Relationship Id="rId17" Type="http://schemas.openxmlformats.org/officeDocument/2006/relationships/image" Target="../media/image613.jpeg"/><Relationship Id="rId18" Type="http://schemas.openxmlformats.org/officeDocument/2006/relationships/image" Target="../media/image614.jpeg"/><Relationship Id="rId19" Type="http://schemas.openxmlformats.org/officeDocument/2006/relationships/image" Target="../media/image615.jpeg"/><Relationship Id="rId20" Type="http://schemas.openxmlformats.org/officeDocument/2006/relationships/image" Target="../media/image616.png"/><Relationship Id="rId21" Type="http://schemas.openxmlformats.org/officeDocument/2006/relationships/image" Target="../media/image617.png"/><Relationship Id="rId22" Type="http://schemas.openxmlformats.org/officeDocument/2006/relationships/image" Target="../media/image618.png"/><Relationship Id="rId23" Type="http://schemas.openxmlformats.org/officeDocument/2006/relationships/image" Target="../media/image619.png"/><Relationship Id="rId24" Type="http://schemas.openxmlformats.org/officeDocument/2006/relationships/image" Target="../media/image620.png"/><Relationship Id="rId25" Type="http://schemas.openxmlformats.org/officeDocument/2006/relationships/image" Target="../media/image621.jpeg"/><Relationship Id="rId26" Type="http://schemas.openxmlformats.org/officeDocument/2006/relationships/image" Target="../media/image622.jpeg"/><Relationship Id="rId27" Type="http://schemas.openxmlformats.org/officeDocument/2006/relationships/image" Target="../media/image623.jpeg"/><Relationship Id="rId28" Type="http://schemas.openxmlformats.org/officeDocument/2006/relationships/image" Target="../media/image624.jpeg"/><Relationship Id="rId29" Type="http://schemas.openxmlformats.org/officeDocument/2006/relationships/image" Target="../media/image625.jpeg"/><Relationship Id="rId30" Type="http://schemas.openxmlformats.org/officeDocument/2006/relationships/image" Target="../media/image626.jpeg"/><Relationship Id="rId31" Type="http://schemas.openxmlformats.org/officeDocument/2006/relationships/image" Target="../media/image627.jpeg"/><Relationship Id="rId32" Type="http://schemas.openxmlformats.org/officeDocument/2006/relationships/image" Target="../media/image628.jpeg"/><Relationship Id="rId33" Type="http://schemas.openxmlformats.org/officeDocument/2006/relationships/image" Target="../media/image629.jpeg"/><Relationship Id="rId34" Type="http://schemas.openxmlformats.org/officeDocument/2006/relationships/image" Target="../media/image630.jpeg"/><Relationship Id="rId35" Type="http://schemas.openxmlformats.org/officeDocument/2006/relationships/image" Target="../media/image631.jpeg"/><Relationship Id="rId36" Type="http://schemas.openxmlformats.org/officeDocument/2006/relationships/image" Target="../media/image632.jpeg"/><Relationship Id="rId37" Type="http://schemas.openxmlformats.org/officeDocument/2006/relationships/image" Target="../media/image633.jpeg"/><Relationship Id="rId38" Type="http://schemas.openxmlformats.org/officeDocument/2006/relationships/image" Target="../media/image634.jpeg"/><Relationship Id="rId39" Type="http://schemas.openxmlformats.org/officeDocument/2006/relationships/image" Target="../media/image635.jpeg"/><Relationship Id="rId40" Type="http://schemas.openxmlformats.org/officeDocument/2006/relationships/image" Target="../media/image636.jpeg"/><Relationship Id="rId41" Type="http://schemas.openxmlformats.org/officeDocument/2006/relationships/image" Target="../media/image637.jpeg"/><Relationship Id="rId42" Type="http://schemas.openxmlformats.org/officeDocument/2006/relationships/image" Target="../media/image638.jpeg"/><Relationship Id="rId43" Type="http://schemas.openxmlformats.org/officeDocument/2006/relationships/image" Target="../media/image639.jpeg"/><Relationship Id="rId44" Type="http://schemas.openxmlformats.org/officeDocument/2006/relationships/image" Target="../media/image640.jpeg"/><Relationship Id="rId45" Type="http://schemas.openxmlformats.org/officeDocument/2006/relationships/image" Target="../media/image641.jpeg"/><Relationship Id="rId46" Type="http://schemas.openxmlformats.org/officeDocument/2006/relationships/image" Target="../media/image642.jpeg"/><Relationship Id="rId47" Type="http://schemas.openxmlformats.org/officeDocument/2006/relationships/image" Target="../media/image643.png"/><Relationship Id="rId48" Type="http://schemas.openxmlformats.org/officeDocument/2006/relationships/image" Target="../media/image643.png"/><Relationship Id="rId49" Type="http://schemas.openxmlformats.org/officeDocument/2006/relationships/image" Target="../media/image644.jpeg"/><Relationship Id="rId50" Type="http://schemas.openxmlformats.org/officeDocument/2006/relationships/image" Target="../media/image645.jpeg"/><Relationship Id="rId51" Type="http://schemas.openxmlformats.org/officeDocument/2006/relationships/image" Target="../media/image646.jpeg"/><Relationship Id="rId52" Type="http://schemas.openxmlformats.org/officeDocument/2006/relationships/image" Target="../media/image647.jpeg"/><Relationship Id="rId53" Type="http://schemas.openxmlformats.org/officeDocument/2006/relationships/image" Target="../media/image648.jpeg"/><Relationship Id="rId54" Type="http://schemas.openxmlformats.org/officeDocument/2006/relationships/image" Target="../media/image649.jpeg"/><Relationship Id="rId55" Type="http://schemas.openxmlformats.org/officeDocument/2006/relationships/image" Target="../media/image650.jpeg"/><Relationship Id="rId56" Type="http://schemas.openxmlformats.org/officeDocument/2006/relationships/image" Target="../media/image651.jpeg"/><Relationship Id="rId57" Type="http://schemas.openxmlformats.org/officeDocument/2006/relationships/image" Target="../media/image652.jpeg"/><Relationship Id="rId58" Type="http://schemas.openxmlformats.org/officeDocument/2006/relationships/image" Target="../media/image653.jpeg"/><Relationship Id="rId59" Type="http://schemas.openxmlformats.org/officeDocument/2006/relationships/image" Target="../media/image654.jpeg"/><Relationship Id="rId60" Type="http://schemas.openxmlformats.org/officeDocument/2006/relationships/image" Target="../media/image655.jpeg"/><Relationship Id="rId61" Type="http://schemas.openxmlformats.org/officeDocument/2006/relationships/image" Target="../media/image656.jpeg"/><Relationship Id="rId62" Type="http://schemas.openxmlformats.org/officeDocument/2006/relationships/image" Target="../media/image657.jpeg"/><Relationship Id="rId63" Type="http://schemas.openxmlformats.org/officeDocument/2006/relationships/image" Target="../media/image658.jpeg"/><Relationship Id="rId64" Type="http://schemas.openxmlformats.org/officeDocument/2006/relationships/image" Target="../media/image659.jpeg"/><Relationship Id="rId65" Type="http://schemas.openxmlformats.org/officeDocument/2006/relationships/image" Target="../media/image660.jpeg"/><Relationship Id="rId66" Type="http://schemas.openxmlformats.org/officeDocument/2006/relationships/image" Target="../media/image661.jpeg"/><Relationship Id="rId67" Type="http://schemas.openxmlformats.org/officeDocument/2006/relationships/image" Target="../media/image662.jpeg"/><Relationship Id="rId68" Type="http://schemas.openxmlformats.org/officeDocument/2006/relationships/image" Target="../media/image663.jpeg"/><Relationship Id="rId69" Type="http://schemas.openxmlformats.org/officeDocument/2006/relationships/image" Target="../media/image664.jpeg"/><Relationship Id="rId70" Type="http://schemas.openxmlformats.org/officeDocument/2006/relationships/image" Target="../media/image665.jpeg"/><Relationship Id="rId71" Type="http://schemas.openxmlformats.org/officeDocument/2006/relationships/image" Target="../media/image643.png"/><Relationship Id="rId72" Type="http://schemas.openxmlformats.org/officeDocument/2006/relationships/image" Target="../media/image666.jpeg"/><Relationship Id="rId73" Type="http://schemas.openxmlformats.org/officeDocument/2006/relationships/image" Target="../media/image667.jpeg"/><Relationship Id="rId74" Type="http://schemas.openxmlformats.org/officeDocument/2006/relationships/image" Target="../media/image668.jpeg"/><Relationship Id="rId75" Type="http://schemas.openxmlformats.org/officeDocument/2006/relationships/image" Target="../media/image669.png"/><Relationship Id="rId76" Type="http://schemas.openxmlformats.org/officeDocument/2006/relationships/image" Target="../media/image670.jpeg"/><Relationship Id="rId77" Type="http://schemas.openxmlformats.org/officeDocument/2006/relationships/image" Target="../media/image671.jpeg"/><Relationship Id="rId78" Type="http://schemas.openxmlformats.org/officeDocument/2006/relationships/image" Target="../media/image672.jpeg"/><Relationship Id="rId79" Type="http://schemas.openxmlformats.org/officeDocument/2006/relationships/image" Target="../media/image673.jpeg"/><Relationship Id="rId80" Type="http://schemas.openxmlformats.org/officeDocument/2006/relationships/image" Target="../media/image674.jpeg"/><Relationship Id="rId81" Type="http://schemas.openxmlformats.org/officeDocument/2006/relationships/image" Target="../media/image675.jpeg"/><Relationship Id="rId82" Type="http://schemas.openxmlformats.org/officeDocument/2006/relationships/image" Target="../media/image676.jpeg"/><Relationship Id="rId83" Type="http://schemas.openxmlformats.org/officeDocument/2006/relationships/image" Target="../media/image677.jpeg"/><Relationship Id="rId84" Type="http://schemas.openxmlformats.org/officeDocument/2006/relationships/image" Target="../media/image678.jpeg"/><Relationship Id="rId85" Type="http://schemas.openxmlformats.org/officeDocument/2006/relationships/image" Target="../media/image679.jpeg"/><Relationship Id="rId86" Type="http://schemas.openxmlformats.org/officeDocument/2006/relationships/image" Target="../media/image643.png"/><Relationship Id="rId87" Type="http://schemas.openxmlformats.org/officeDocument/2006/relationships/image" Target="../media/image680.jpeg"/><Relationship Id="rId88" Type="http://schemas.openxmlformats.org/officeDocument/2006/relationships/image" Target="../media/image681.jpeg"/><Relationship Id="rId89" Type="http://schemas.openxmlformats.org/officeDocument/2006/relationships/image" Target="../media/image682.jpeg"/><Relationship Id="rId90" Type="http://schemas.openxmlformats.org/officeDocument/2006/relationships/image" Target="../media/image683.jpeg"/><Relationship Id="rId91" Type="http://schemas.openxmlformats.org/officeDocument/2006/relationships/image" Target="../media/image684.jpeg"/><Relationship Id="rId92" Type="http://schemas.openxmlformats.org/officeDocument/2006/relationships/image" Target="../media/image685.jpeg"/><Relationship Id="rId93" Type="http://schemas.openxmlformats.org/officeDocument/2006/relationships/image" Target="../media/image686.jpeg"/><Relationship Id="rId94" Type="http://schemas.openxmlformats.org/officeDocument/2006/relationships/image" Target="../media/image687.jpeg"/><Relationship Id="rId95" Type="http://schemas.openxmlformats.org/officeDocument/2006/relationships/image" Target="../media/image688.jpeg"/><Relationship Id="rId96" Type="http://schemas.openxmlformats.org/officeDocument/2006/relationships/image" Target="../media/image689.jpeg"/><Relationship Id="rId97" Type="http://schemas.openxmlformats.org/officeDocument/2006/relationships/image" Target="../media/image690.jpeg"/><Relationship Id="rId98" Type="http://schemas.openxmlformats.org/officeDocument/2006/relationships/image" Target="../media/image691.jpeg"/>
</Relationships>
</file>

<file path=xl/drawings/_rels/drawing8.xml.rels><?xml version="1.0" encoding="UTF-8"?>
<Relationships xmlns="http://schemas.openxmlformats.org/package/2006/relationships"><Relationship Id="rId1" Type="http://schemas.openxmlformats.org/officeDocument/2006/relationships/image" Target="../media/image692.jpeg"/><Relationship Id="rId2" Type="http://schemas.openxmlformats.org/officeDocument/2006/relationships/image" Target="../media/image693.jpeg"/><Relationship Id="rId3" Type="http://schemas.openxmlformats.org/officeDocument/2006/relationships/image" Target="../media/image694.jpeg"/><Relationship Id="rId4" Type="http://schemas.openxmlformats.org/officeDocument/2006/relationships/image" Target="../media/image695.jpeg"/><Relationship Id="rId5" Type="http://schemas.openxmlformats.org/officeDocument/2006/relationships/image" Target="../media/image696.jpeg"/><Relationship Id="rId6" Type="http://schemas.openxmlformats.org/officeDocument/2006/relationships/image" Target="../media/image697.jpeg"/><Relationship Id="rId7" Type="http://schemas.openxmlformats.org/officeDocument/2006/relationships/image" Target="../media/image698.jpeg"/><Relationship Id="rId8" Type="http://schemas.openxmlformats.org/officeDocument/2006/relationships/image" Target="../media/image699.jpeg"/><Relationship Id="rId9" Type="http://schemas.openxmlformats.org/officeDocument/2006/relationships/image" Target="../media/image700.jpeg"/><Relationship Id="rId10" Type="http://schemas.openxmlformats.org/officeDocument/2006/relationships/image" Target="../media/image701.png"/><Relationship Id="rId11" Type="http://schemas.openxmlformats.org/officeDocument/2006/relationships/image" Target="../media/image702.png"/><Relationship Id="rId12" Type="http://schemas.openxmlformats.org/officeDocument/2006/relationships/image" Target="../media/image703.jpeg"/><Relationship Id="rId13" Type="http://schemas.openxmlformats.org/officeDocument/2006/relationships/image" Target="../media/image704.jpeg"/><Relationship Id="rId14" Type="http://schemas.openxmlformats.org/officeDocument/2006/relationships/image" Target="../media/image57.png"/><Relationship Id="rId15" Type="http://schemas.openxmlformats.org/officeDocument/2006/relationships/image" Target="../media/image57.png"/><Relationship Id="rId16" Type="http://schemas.openxmlformats.org/officeDocument/2006/relationships/image" Target="../media/image57.png"/><Relationship Id="rId17" Type="http://schemas.openxmlformats.org/officeDocument/2006/relationships/image" Target="../media/image57.png"/><Relationship Id="rId18" Type="http://schemas.openxmlformats.org/officeDocument/2006/relationships/image" Target="../media/image57.png"/><Relationship Id="rId19" Type="http://schemas.openxmlformats.org/officeDocument/2006/relationships/image" Target="../media/image57.png"/><Relationship Id="rId20" Type="http://schemas.openxmlformats.org/officeDocument/2006/relationships/image" Target="../media/image57.png"/><Relationship Id="rId21" Type="http://schemas.openxmlformats.org/officeDocument/2006/relationships/image" Target="../media/image57.png"/><Relationship Id="rId22" Type="http://schemas.openxmlformats.org/officeDocument/2006/relationships/image" Target="../media/image57.png"/><Relationship Id="rId23" Type="http://schemas.openxmlformats.org/officeDocument/2006/relationships/image" Target="../media/image57.png"/><Relationship Id="rId24" Type="http://schemas.openxmlformats.org/officeDocument/2006/relationships/image" Target="../media/image57.png"/><Relationship Id="rId25" Type="http://schemas.openxmlformats.org/officeDocument/2006/relationships/image" Target="../media/image57.png"/><Relationship Id="rId26" Type="http://schemas.openxmlformats.org/officeDocument/2006/relationships/image" Target="../media/image705.jpeg"/><Relationship Id="rId27" Type="http://schemas.openxmlformats.org/officeDocument/2006/relationships/image" Target="../media/image706.jpeg"/><Relationship Id="rId28" Type="http://schemas.openxmlformats.org/officeDocument/2006/relationships/image" Target="../media/image707.jpeg"/><Relationship Id="rId29" Type="http://schemas.openxmlformats.org/officeDocument/2006/relationships/image" Target="../media/image708.jpeg"/><Relationship Id="rId30" Type="http://schemas.openxmlformats.org/officeDocument/2006/relationships/image" Target="../media/image57.png"/><Relationship Id="rId31" Type="http://schemas.openxmlformats.org/officeDocument/2006/relationships/image" Target="../media/image57.png"/><Relationship Id="rId32" Type="http://schemas.openxmlformats.org/officeDocument/2006/relationships/image" Target="../media/image57.png"/><Relationship Id="rId33" Type="http://schemas.openxmlformats.org/officeDocument/2006/relationships/image" Target="../media/image709.jpeg"/><Relationship Id="rId34" Type="http://schemas.openxmlformats.org/officeDocument/2006/relationships/image" Target="../media/image710.jpeg"/><Relationship Id="rId35" Type="http://schemas.openxmlformats.org/officeDocument/2006/relationships/image" Target="../media/image711.jpeg"/><Relationship Id="rId36" Type="http://schemas.openxmlformats.org/officeDocument/2006/relationships/image" Target="../media/image712.jpeg"/><Relationship Id="rId37" Type="http://schemas.openxmlformats.org/officeDocument/2006/relationships/image" Target="../media/image713.jpeg"/><Relationship Id="rId38" Type="http://schemas.openxmlformats.org/officeDocument/2006/relationships/image" Target="../media/image714.jpeg"/><Relationship Id="rId39" Type="http://schemas.openxmlformats.org/officeDocument/2006/relationships/image" Target="../media/image715.jpeg"/><Relationship Id="rId40" Type="http://schemas.openxmlformats.org/officeDocument/2006/relationships/image" Target="../media/image716.jpeg"/><Relationship Id="rId41" Type="http://schemas.openxmlformats.org/officeDocument/2006/relationships/image" Target="../media/image717.jpeg"/><Relationship Id="rId42" Type="http://schemas.openxmlformats.org/officeDocument/2006/relationships/image" Target="../media/image718.jpeg"/><Relationship Id="rId43" Type="http://schemas.openxmlformats.org/officeDocument/2006/relationships/image" Target="../media/image719.jpeg"/><Relationship Id="rId44" Type="http://schemas.openxmlformats.org/officeDocument/2006/relationships/image" Target="../media/image720.jpeg"/><Relationship Id="rId45" Type="http://schemas.openxmlformats.org/officeDocument/2006/relationships/image" Target="../media/image721.jpeg"/><Relationship Id="rId46" Type="http://schemas.openxmlformats.org/officeDocument/2006/relationships/image" Target="../media/image722.jpeg"/><Relationship Id="rId47" Type="http://schemas.openxmlformats.org/officeDocument/2006/relationships/image" Target="../media/image723.jpeg"/><Relationship Id="rId48" Type="http://schemas.openxmlformats.org/officeDocument/2006/relationships/image" Target="../media/image724.jpeg"/><Relationship Id="rId49" Type="http://schemas.openxmlformats.org/officeDocument/2006/relationships/image" Target="../media/image725.jpeg"/><Relationship Id="rId50" Type="http://schemas.openxmlformats.org/officeDocument/2006/relationships/image" Target="../media/image726.jpeg"/><Relationship Id="rId51" Type="http://schemas.openxmlformats.org/officeDocument/2006/relationships/image" Target="../media/image727.jpeg"/><Relationship Id="rId52" Type="http://schemas.openxmlformats.org/officeDocument/2006/relationships/image" Target="../media/image728.jpeg"/><Relationship Id="rId53" Type="http://schemas.openxmlformats.org/officeDocument/2006/relationships/image" Target="../media/image729.jpeg"/><Relationship Id="rId54" Type="http://schemas.openxmlformats.org/officeDocument/2006/relationships/image" Target="../media/image730.jpeg"/><Relationship Id="rId55" Type="http://schemas.openxmlformats.org/officeDocument/2006/relationships/image" Target="../media/image731.jpeg"/><Relationship Id="rId56" Type="http://schemas.openxmlformats.org/officeDocument/2006/relationships/image" Target="../media/image57.png"/><Relationship Id="rId57" Type="http://schemas.openxmlformats.org/officeDocument/2006/relationships/image" Target="../media/image57.png"/><Relationship Id="rId58" Type="http://schemas.openxmlformats.org/officeDocument/2006/relationships/image" Target="../media/image57.png"/><Relationship Id="rId59" Type="http://schemas.openxmlformats.org/officeDocument/2006/relationships/image" Target="../media/image57.png"/><Relationship Id="rId60" Type="http://schemas.openxmlformats.org/officeDocument/2006/relationships/image" Target="../media/image57.png"/><Relationship Id="rId61" Type="http://schemas.openxmlformats.org/officeDocument/2006/relationships/image" Target="../media/image57.png"/><Relationship Id="rId62" Type="http://schemas.openxmlformats.org/officeDocument/2006/relationships/image" Target="../media/image57.png"/><Relationship Id="rId63" Type="http://schemas.openxmlformats.org/officeDocument/2006/relationships/image" Target="../media/image57.png"/><Relationship Id="rId64" Type="http://schemas.openxmlformats.org/officeDocument/2006/relationships/image" Target="../media/image57.png"/><Relationship Id="rId65" Type="http://schemas.openxmlformats.org/officeDocument/2006/relationships/image" Target="../media/image732.jpeg"/><Relationship Id="rId66" Type="http://schemas.openxmlformats.org/officeDocument/2006/relationships/image" Target="../media/image733.jpeg"/><Relationship Id="rId67" Type="http://schemas.openxmlformats.org/officeDocument/2006/relationships/image" Target="../media/image734.png"/><Relationship Id="rId68" Type="http://schemas.openxmlformats.org/officeDocument/2006/relationships/image" Target="../media/image735.jpeg"/><Relationship Id="rId69" Type="http://schemas.openxmlformats.org/officeDocument/2006/relationships/image" Target="../media/image736.jpeg"/><Relationship Id="rId70" Type="http://schemas.openxmlformats.org/officeDocument/2006/relationships/image" Target="../media/image737.jpeg"/><Relationship Id="rId71" Type="http://schemas.openxmlformats.org/officeDocument/2006/relationships/image" Target="../media/image738.jpeg"/><Relationship Id="rId72" Type="http://schemas.openxmlformats.org/officeDocument/2006/relationships/image" Target="../media/image739.jpeg"/><Relationship Id="rId73" Type="http://schemas.openxmlformats.org/officeDocument/2006/relationships/image" Target="../media/image740.jpeg"/><Relationship Id="rId74" Type="http://schemas.openxmlformats.org/officeDocument/2006/relationships/image" Target="../media/image741.jpeg"/><Relationship Id="rId75" Type="http://schemas.openxmlformats.org/officeDocument/2006/relationships/image" Target="../media/image742.jpeg"/><Relationship Id="rId76" Type="http://schemas.openxmlformats.org/officeDocument/2006/relationships/image" Target="../media/image743.jpeg"/><Relationship Id="rId77" Type="http://schemas.openxmlformats.org/officeDocument/2006/relationships/image" Target="../media/image57.png"/><Relationship Id="rId78" Type="http://schemas.openxmlformats.org/officeDocument/2006/relationships/image" Target="../media/image57.png"/><Relationship Id="rId79" Type="http://schemas.openxmlformats.org/officeDocument/2006/relationships/image" Target="../media/image744.png"/><Relationship Id="rId80" Type="http://schemas.openxmlformats.org/officeDocument/2006/relationships/image" Target="../media/image745.png"/><Relationship Id="rId81" Type="http://schemas.openxmlformats.org/officeDocument/2006/relationships/image" Target="../media/image746.png"/><Relationship Id="rId82" Type="http://schemas.openxmlformats.org/officeDocument/2006/relationships/image" Target="../media/image747.png"/><Relationship Id="rId83" Type="http://schemas.openxmlformats.org/officeDocument/2006/relationships/image" Target="../media/image57.png"/><Relationship Id="rId84" Type="http://schemas.openxmlformats.org/officeDocument/2006/relationships/image" Target="../media/image57.png"/><Relationship Id="rId85" Type="http://schemas.openxmlformats.org/officeDocument/2006/relationships/image" Target="../media/image748.jpeg"/><Relationship Id="rId86" Type="http://schemas.openxmlformats.org/officeDocument/2006/relationships/image" Target="../media/image749.jpeg"/><Relationship Id="rId87" Type="http://schemas.openxmlformats.org/officeDocument/2006/relationships/image" Target="../media/image750.jpeg"/><Relationship Id="rId88" Type="http://schemas.openxmlformats.org/officeDocument/2006/relationships/image" Target="../media/image751.jpeg"/><Relationship Id="rId89" Type="http://schemas.openxmlformats.org/officeDocument/2006/relationships/image" Target="../media/image752.jpeg"/><Relationship Id="rId90" Type="http://schemas.openxmlformats.org/officeDocument/2006/relationships/image" Target="../media/image753.jpeg"/>
</Relationships>
</file>

<file path=xl/drawings/_rels/drawing9.xml.rels><?xml version="1.0" encoding="UTF-8"?>
<Relationships xmlns="http://schemas.openxmlformats.org/package/2006/relationships"><Relationship Id="rId1" Type="http://schemas.openxmlformats.org/officeDocument/2006/relationships/image" Target="../media/image754.jpeg"/><Relationship Id="rId2" Type="http://schemas.openxmlformats.org/officeDocument/2006/relationships/image" Target="../media/image755.jpeg"/><Relationship Id="rId3" Type="http://schemas.openxmlformats.org/officeDocument/2006/relationships/image" Target="../media/image756.jpeg"/><Relationship Id="rId4" Type="http://schemas.openxmlformats.org/officeDocument/2006/relationships/image" Target="../media/image757.jpeg"/><Relationship Id="rId5" Type="http://schemas.openxmlformats.org/officeDocument/2006/relationships/image" Target="../media/image758.jpeg"/><Relationship Id="rId6" Type="http://schemas.openxmlformats.org/officeDocument/2006/relationships/image" Target="../media/image759.jpeg"/><Relationship Id="rId7" Type="http://schemas.openxmlformats.org/officeDocument/2006/relationships/image" Target="../media/image760.jpeg"/><Relationship Id="rId8" Type="http://schemas.openxmlformats.org/officeDocument/2006/relationships/image" Target="../media/image761.jpeg"/><Relationship Id="rId9" Type="http://schemas.openxmlformats.org/officeDocument/2006/relationships/image" Target="../media/image762.jpeg"/><Relationship Id="rId10" Type="http://schemas.openxmlformats.org/officeDocument/2006/relationships/image" Target="../media/image763.jpeg"/><Relationship Id="rId11" Type="http://schemas.openxmlformats.org/officeDocument/2006/relationships/image" Target="../media/image764.jpeg"/><Relationship Id="rId12" Type="http://schemas.openxmlformats.org/officeDocument/2006/relationships/image" Target="../media/image765.jpeg"/><Relationship Id="rId13" Type="http://schemas.openxmlformats.org/officeDocument/2006/relationships/image" Target="../media/image766.jpeg"/><Relationship Id="rId14" Type="http://schemas.openxmlformats.org/officeDocument/2006/relationships/image" Target="../media/image767.png"/><Relationship Id="rId15" Type="http://schemas.openxmlformats.org/officeDocument/2006/relationships/image" Target="../media/image768.jpeg"/><Relationship Id="rId16" Type="http://schemas.openxmlformats.org/officeDocument/2006/relationships/image" Target="../media/image769.png"/><Relationship Id="rId17" Type="http://schemas.openxmlformats.org/officeDocument/2006/relationships/image" Target="../media/image770.png"/><Relationship Id="rId18" Type="http://schemas.openxmlformats.org/officeDocument/2006/relationships/image" Target="../media/image771.png"/><Relationship Id="rId19" Type="http://schemas.openxmlformats.org/officeDocument/2006/relationships/image" Target="../media/image772.jpeg"/><Relationship Id="rId20" Type="http://schemas.openxmlformats.org/officeDocument/2006/relationships/image" Target="../media/image773.jpeg"/><Relationship Id="rId21" Type="http://schemas.openxmlformats.org/officeDocument/2006/relationships/image" Target="../media/image774.jpeg"/><Relationship Id="rId22" Type="http://schemas.openxmlformats.org/officeDocument/2006/relationships/image" Target="../media/image775.jpeg"/><Relationship Id="rId23" Type="http://schemas.openxmlformats.org/officeDocument/2006/relationships/image" Target="../media/image776.jpeg"/><Relationship Id="rId24" Type="http://schemas.openxmlformats.org/officeDocument/2006/relationships/image" Target="../media/image777.jpeg"/><Relationship Id="rId25" Type="http://schemas.openxmlformats.org/officeDocument/2006/relationships/image" Target="../media/image778.jpeg"/><Relationship Id="rId26" Type="http://schemas.openxmlformats.org/officeDocument/2006/relationships/image" Target="../media/image779.jpeg"/><Relationship Id="rId27" Type="http://schemas.openxmlformats.org/officeDocument/2006/relationships/image" Target="../media/image780.jpeg"/><Relationship Id="rId28" Type="http://schemas.openxmlformats.org/officeDocument/2006/relationships/image" Target="../media/image781.jpeg"/><Relationship Id="rId29" Type="http://schemas.openxmlformats.org/officeDocument/2006/relationships/image" Target="../media/image782.png"/><Relationship Id="rId30" Type="http://schemas.openxmlformats.org/officeDocument/2006/relationships/image" Target="../media/image783.png"/><Relationship Id="rId31" Type="http://schemas.openxmlformats.org/officeDocument/2006/relationships/image" Target="../media/image784.jpeg"/><Relationship Id="rId32" Type="http://schemas.openxmlformats.org/officeDocument/2006/relationships/image" Target="../media/image785.jpeg"/><Relationship Id="rId33" Type="http://schemas.openxmlformats.org/officeDocument/2006/relationships/image" Target="../media/image786.jpeg"/><Relationship Id="rId34" Type="http://schemas.openxmlformats.org/officeDocument/2006/relationships/image" Target="../media/image787.jpeg"/><Relationship Id="rId35" Type="http://schemas.openxmlformats.org/officeDocument/2006/relationships/image" Target="../media/image788.jpeg"/><Relationship Id="rId36" Type="http://schemas.openxmlformats.org/officeDocument/2006/relationships/image" Target="../media/image789.jpeg"/><Relationship Id="rId37" Type="http://schemas.openxmlformats.org/officeDocument/2006/relationships/image" Target="../media/image790.jpeg"/><Relationship Id="rId38" Type="http://schemas.openxmlformats.org/officeDocument/2006/relationships/image" Target="../media/image791.jpeg"/><Relationship Id="rId39" Type="http://schemas.openxmlformats.org/officeDocument/2006/relationships/image" Target="../media/image792.jpeg"/><Relationship Id="rId40" Type="http://schemas.openxmlformats.org/officeDocument/2006/relationships/image" Target="../media/image793.jpeg"/><Relationship Id="rId41" Type="http://schemas.openxmlformats.org/officeDocument/2006/relationships/image" Target="../media/image794.jpeg"/><Relationship Id="rId42" Type="http://schemas.openxmlformats.org/officeDocument/2006/relationships/image" Target="../media/image795.jpeg"/><Relationship Id="rId43" Type="http://schemas.openxmlformats.org/officeDocument/2006/relationships/image" Target="../media/image796.jpeg"/><Relationship Id="rId44" Type="http://schemas.openxmlformats.org/officeDocument/2006/relationships/image" Target="../media/image797.jpeg"/><Relationship Id="rId45" Type="http://schemas.openxmlformats.org/officeDocument/2006/relationships/image" Target="../media/image798.jpeg"/><Relationship Id="rId46" Type="http://schemas.openxmlformats.org/officeDocument/2006/relationships/image" Target="../media/image799.png"/><Relationship Id="rId47" Type="http://schemas.openxmlformats.org/officeDocument/2006/relationships/image" Target="../media/image800.jpeg"/><Relationship Id="rId48" Type="http://schemas.openxmlformats.org/officeDocument/2006/relationships/image" Target="../media/image801.jpeg"/><Relationship Id="rId49" Type="http://schemas.openxmlformats.org/officeDocument/2006/relationships/image" Target="../media/image802.jpeg"/><Relationship Id="rId50" Type="http://schemas.openxmlformats.org/officeDocument/2006/relationships/image" Target="../media/image803.jpeg"/><Relationship Id="rId51" Type="http://schemas.openxmlformats.org/officeDocument/2006/relationships/image" Target="../media/image804.jpeg"/><Relationship Id="rId52" Type="http://schemas.openxmlformats.org/officeDocument/2006/relationships/image" Target="../media/image805.jpeg"/><Relationship Id="rId53" Type="http://schemas.openxmlformats.org/officeDocument/2006/relationships/image" Target="../media/image806.jpeg"/><Relationship Id="rId54" Type="http://schemas.openxmlformats.org/officeDocument/2006/relationships/image" Target="../media/image807.jpeg"/><Relationship Id="rId55" Type="http://schemas.openxmlformats.org/officeDocument/2006/relationships/image" Target="../media/image807.jpeg"/><Relationship Id="rId56" Type="http://schemas.openxmlformats.org/officeDocument/2006/relationships/image" Target="../media/image808.jpeg"/><Relationship Id="rId57" Type="http://schemas.openxmlformats.org/officeDocument/2006/relationships/image" Target="../media/image809.jpeg"/><Relationship Id="rId58" Type="http://schemas.openxmlformats.org/officeDocument/2006/relationships/image" Target="../media/image810.jpeg"/><Relationship Id="rId59" Type="http://schemas.openxmlformats.org/officeDocument/2006/relationships/image" Target="../media/image811.jpeg"/><Relationship Id="rId60" Type="http://schemas.openxmlformats.org/officeDocument/2006/relationships/image" Target="../media/image812.jpeg"/><Relationship Id="rId61" Type="http://schemas.openxmlformats.org/officeDocument/2006/relationships/image" Target="../media/image813.jpeg"/><Relationship Id="rId62" Type="http://schemas.openxmlformats.org/officeDocument/2006/relationships/image" Target="../media/image814.jpeg"/><Relationship Id="rId63" Type="http://schemas.openxmlformats.org/officeDocument/2006/relationships/image" Target="../media/image815.jpeg"/><Relationship Id="rId64" Type="http://schemas.openxmlformats.org/officeDocument/2006/relationships/image" Target="../media/image816.jpeg"/><Relationship Id="rId65" Type="http://schemas.openxmlformats.org/officeDocument/2006/relationships/image" Target="../media/image817.jpeg"/><Relationship Id="rId66" Type="http://schemas.openxmlformats.org/officeDocument/2006/relationships/image" Target="../media/image818.jpeg"/><Relationship Id="rId67" Type="http://schemas.openxmlformats.org/officeDocument/2006/relationships/image" Target="../media/image819.jpeg"/><Relationship Id="rId68" Type="http://schemas.openxmlformats.org/officeDocument/2006/relationships/image" Target="../media/image820.jpeg"/><Relationship Id="rId69" Type="http://schemas.openxmlformats.org/officeDocument/2006/relationships/image" Target="../media/image821.png"/><Relationship Id="rId70" Type="http://schemas.openxmlformats.org/officeDocument/2006/relationships/image" Target="../media/image822.jpeg"/><Relationship Id="rId71" Type="http://schemas.openxmlformats.org/officeDocument/2006/relationships/image" Target="../media/image823.jpeg"/><Relationship Id="rId72" Type="http://schemas.openxmlformats.org/officeDocument/2006/relationships/image" Target="../media/image824.jpeg"/><Relationship Id="rId73" Type="http://schemas.openxmlformats.org/officeDocument/2006/relationships/image" Target="../media/image825.jpeg"/><Relationship Id="rId74" Type="http://schemas.openxmlformats.org/officeDocument/2006/relationships/image" Target="../media/image826.jpeg"/><Relationship Id="rId75" Type="http://schemas.openxmlformats.org/officeDocument/2006/relationships/image" Target="../media/image827.jpeg"/><Relationship Id="rId76" Type="http://schemas.openxmlformats.org/officeDocument/2006/relationships/image" Target="../media/image828.jpeg"/><Relationship Id="rId77" Type="http://schemas.openxmlformats.org/officeDocument/2006/relationships/image" Target="../media/image829.jpeg"/><Relationship Id="rId78" Type="http://schemas.openxmlformats.org/officeDocument/2006/relationships/image" Target="../media/image830.jpeg"/><Relationship Id="rId79" Type="http://schemas.openxmlformats.org/officeDocument/2006/relationships/image" Target="../media/image831.jpeg"/><Relationship Id="rId80" Type="http://schemas.openxmlformats.org/officeDocument/2006/relationships/image" Target="../media/image832.jpeg"/><Relationship Id="rId81" Type="http://schemas.openxmlformats.org/officeDocument/2006/relationships/image" Target="../media/image833.png"/><Relationship Id="rId82" Type="http://schemas.openxmlformats.org/officeDocument/2006/relationships/image" Target="../media/image834.png"/><Relationship Id="rId83" Type="http://schemas.openxmlformats.org/officeDocument/2006/relationships/image" Target="../media/image835.jpeg"/><Relationship Id="rId84" Type="http://schemas.openxmlformats.org/officeDocument/2006/relationships/image" Target="../media/image836.jpeg"/><Relationship Id="rId85" Type="http://schemas.openxmlformats.org/officeDocument/2006/relationships/image" Target="../media/image837.jpeg"/><Relationship Id="rId86" Type="http://schemas.openxmlformats.org/officeDocument/2006/relationships/image" Target="../media/image838.jpeg"/><Relationship Id="rId87" Type="http://schemas.openxmlformats.org/officeDocument/2006/relationships/image" Target="../media/image839.jpeg"/><Relationship Id="rId88" Type="http://schemas.openxmlformats.org/officeDocument/2006/relationships/image" Target="../media/image840.jpeg"/>
</Relationships>
</file>

<file path=xl/drawings/_rels/drawing10.xml.rels><?xml version="1.0" encoding="UTF-8"?>
<Relationships xmlns="http://schemas.openxmlformats.org/package/2006/relationships"><Relationship Id="rId1" Type="http://schemas.openxmlformats.org/officeDocument/2006/relationships/image" Target="../media/image841.jpeg"/><Relationship Id="rId2" Type="http://schemas.openxmlformats.org/officeDocument/2006/relationships/image" Target="../media/image842.jpeg"/><Relationship Id="rId3" Type="http://schemas.openxmlformats.org/officeDocument/2006/relationships/image" Target="../media/image843.png"/><Relationship Id="rId4" Type="http://schemas.openxmlformats.org/officeDocument/2006/relationships/image" Target="../media/image844.jpeg"/><Relationship Id="rId5" Type="http://schemas.openxmlformats.org/officeDocument/2006/relationships/image" Target="../media/image845.jpeg"/><Relationship Id="rId6" Type="http://schemas.openxmlformats.org/officeDocument/2006/relationships/image" Target="../media/image846.jpeg"/><Relationship Id="rId7" Type="http://schemas.openxmlformats.org/officeDocument/2006/relationships/image" Target="../media/image847.jpeg"/><Relationship Id="rId8" Type="http://schemas.openxmlformats.org/officeDocument/2006/relationships/image" Target="../media/image848.jpeg"/><Relationship Id="rId9" Type="http://schemas.openxmlformats.org/officeDocument/2006/relationships/image" Target="../media/image849.jpeg"/><Relationship Id="rId10" Type="http://schemas.openxmlformats.org/officeDocument/2006/relationships/image" Target="../media/image850.jpeg"/><Relationship Id="rId11" Type="http://schemas.openxmlformats.org/officeDocument/2006/relationships/image" Target="../media/image851.jpeg"/><Relationship Id="rId12" Type="http://schemas.openxmlformats.org/officeDocument/2006/relationships/image" Target="../media/image852.jpeg"/><Relationship Id="rId13" Type="http://schemas.openxmlformats.org/officeDocument/2006/relationships/image" Target="../media/image853.jpeg"/><Relationship Id="rId14" Type="http://schemas.openxmlformats.org/officeDocument/2006/relationships/image" Target="../media/image854.jpeg"/><Relationship Id="rId15" Type="http://schemas.openxmlformats.org/officeDocument/2006/relationships/image" Target="../media/image855.jpeg"/><Relationship Id="rId16" Type="http://schemas.openxmlformats.org/officeDocument/2006/relationships/image" Target="../media/image856.jpeg"/><Relationship Id="rId17" Type="http://schemas.openxmlformats.org/officeDocument/2006/relationships/image" Target="../media/image857.jpeg"/><Relationship Id="rId18" Type="http://schemas.openxmlformats.org/officeDocument/2006/relationships/image" Target="../media/image858.jpeg"/><Relationship Id="rId19" Type="http://schemas.openxmlformats.org/officeDocument/2006/relationships/image" Target="../media/image859.jpeg"/><Relationship Id="rId20" Type="http://schemas.openxmlformats.org/officeDocument/2006/relationships/image" Target="../media/image860.jpeg"/><Relationship Id="rId21" Type="http://schemas.openxmlformats.org/officeDocument/2006/relationships/image" Target="../media/image861.jpeg"/><Relationship Id="rId22" Type="http://schemas.openxmlformats.org/officeDocument/2006/relationships/image" Target="../media/image862.jpeg"/><Relationship Id="rId23" Type="http://schemas.openxmlformats.org/officeDocument/2006/relationships/image" Target="../media/image863.jpeg"/><Relationship Id="rId24" Type="http://schemas.openxmlformats.org/officeDocument/2006/relationships/image" Target="../media/image864.jpeg"/><Relationship Id="rId25" Type="http://schemas.openxmlformats.org/officeDocument/2006/relationships/image" Target="../media/image865.jpeg"/><Relationship Id="rId26" Type="http://schemas.openxmlformats.org/officeDocument/2006/relationships/image" Target="../media/image866.jpeg"/><Relationship Id="rId27" Type="http://schemas.openxmlformats.org/officeDocument/2006/relationships/image" Target="../media/image867.jpeg"/><Relationship Id="rId28" Type="http://schemas.openxmlformats.org/officeDocument/2006/relationships/image" Target="../media/image868.jpeg"/><Relationship Id="rId29" Type="http://schemas.openxmlformats.org/officeDocument/2006/relationships/image" Target="../media/image869.jpeg"/><Relationship Id="rId30" Type="http://schemas.openxmlformats.org/officeDocument/2006/relationships/image" Target="../media/image870.jpeg"/><Relationship Id="rId31" Type="http://schemas.openxmlformats.org/officeDocument/2006/relationships/image" Target="../media/image871.jpeg"/><Relationship Id="rId32" Type="http://schemas.openxmlformats.org/officeDocument/2006/relationships/image" Target="../media/image872.jpeg"/><Relationship Id="rId33" Type="http://schemas.openxmlformats.org/officeDocument/2006/relationships/image" Target="../media/image873.jpeg"/><Relationship Id="rId34" Type="http://schemas.openxmlformats.org/officeDocument/2006/relationships/image" Target="../media/image874.jpeg"/><Relationship Id="rId35" Type="http://schemas.openxmlformats.org/officeDocument/2006/relationships/image" Target="../media/image875.jpeg"/><Relationship Id="rId36" Type="http://schemas.openxmlformats.org/officeDocument/2006/relationships/image" Target="../media/image876.jpeg"/><Relationship Id="rId37" Type="http://schemas.openxmlformats.org/officeDocument/2006/relationships/image" Target="../media/image877.jpeg"/><Relationship Id="rId38" Type="http://schemas.openxmlformats.org/officeDocument/2006/relationships/image" Target="../media/image878.jpeg"/><Relationship Id="rId39" Type="http://schemas.openxmlformats.org/officeDocument/2006/relationships/image" Target="../media/image879.jpeg"/><Relationship Id="rId40" Type="http://schemas.openxmlformats.org/officeDocument/2006/relationships/image" Target="../media/image880.jpeg"/><Relationship Id="rId41" Type="http://schemas.openxmlformats.org/officeDocument/2006/relationships/image" Target="../media/image881.jpeg"/><Relationship Id="rId42" Type="http://schemas.openxmlformats.org/officeDocument/2006/relationships/image" Target="../media/image882.jpeg"/><Relationship Id="rId43" Type="http://schemas.openxmlformats.org/officeDocument/2006/relationships/image" Target="../media/image883.jpeg"/><Relationship Id="rId44" Type="http://schemas.openxmlformats.org/officeDocument/2006/relationships/image" Target="../media/image884.jpeg"/><Relationship Id="rId45" Type="http://schemas.openxmlformats.org/officeDocument/2006/relationships/image" Target="../media/image885.jpeg"/><Relationship Id="rId46" Type="http://schemas.openxmlformats.org/officeDocument/2006/relationships/image" Target="../media/image886.jpeg"/><Relationship Id="rId47" Type="http://schemas.openxmlformats.org/officeDocument/2006/relationships/image" Target="../media/image887.png"/><Relationship Id="rId48" Type="http://schemas.openxmlformats.org/officeDocument/2006/relationships/image" Target="../media/image888.jpeg"/><Relationship Id="rId49" Type="http://schemas.openxmlformats.org/officeDocument/2006/relationships/image" Target="../media/image889.jpeg"/><Relationship Id="rId50" Type="http://schemas.openxmlformats.org/officeDocument/2006/relationships/image" Target="../media/image890.jpeg"/><Relationship Id="rId51" Type="http://schemas.openxmlformats.org/officeDocument/2006/relationships/image" Target="../media/image891.jpeg"/><Relationship Id="rId52" Type="http://schemas.openxmlformats.org/officeDocument/2006/relationships/image" Target="../media/image892.jpeg"/><Relationship Id="rId53" Type="http://schemas.openxmlformats.org/officeDocument/2006/relationships/image" Target="../media/image893.jpeg"/><Relationship Id="rId54" Type="http://schemas.openxmlformats.org/officeDocument/2006/relationships/image" Target="../media/image894.jpeg"/><Relationship Id="rId55" Type="http://schemas.openxmlformats.org/officeDocument/2006/relationships/image" Target="../media/image895.jpeg"/>
</Relationships>
</file>

<file path=xl/drawings/_rels/drawing11.xml.rels><?xml version="1.0" encoding="UTF-8"?>
<Relationships xmlns="http://schemas.openxmlformats.org/package/2006/relationships"><Relationship Id="rId1" Type="http://schemas.openxmlformats.org/officeDocument/2006/relationships/image" Target="../media/image896.jpeg"/><Relationship Id="rId2" Type="http://schemas.openxmlformats.org/officeDocument/2006/relationships/image" Target="../media/image897.jpeg"/><Relationship Id="rId3" Type="http://schemas.openxmlformats.org/officeDocument/2006/relationships/image" Target="../media/image898.jpeg"/><Relationship Id="rId4" Type="http://schemas.openxmlformats.org/officeDocument/2006/relationships/image" Target="../media/image899.jpeg"/><Relationship Id="rId5" Type="http://schemas.openxmlformats.org/officeDocument/2006/relationships/image" Target="../media/image900.jpeg"/><Relationship Id="rId6" Type="http://schemas.openxmlformats.org/officeDocument/2006/relationships/image" Target="../media/image901.jpeg"/><Relationship Id="rId7" Type="http://schemas.openxmlformats.org/officeDocument/2006/relationships/image" Target="../media/image902.jpeg"/><Relationship Id="rId8" Type="http://schemas.openxmlformats.org/officeDocument/2006/relationships/image" Target="../media/image903.jpeg"/><Relationship Id="rId9" Type="http://schemas.openxmlformats.org/officeDocument/2006/relationships/image" Target="../media/image904.jpeg"/><Relationship Id="rId10" Type="http://schemas.openxmlformats.org/officeDocument/2006/relationships/image" Target="../media/image905.jpeg"/><Relationship Id="rId11" Type="http://schemas.openxmlformats.org/officeDocument/2006/relationships/image" Target="../media/image906.jpeg"/><Relationship Id="rId12" Type="http://schemas.openxmlformats.org/officeDocument/2006/relationships/image" Target="../media/image907.jpeg"/><Relationship Id="rId13" Type="http://schemas.openxmlformats.org/officeDocument/2006/relationships/image" Target="../media/image908.jpeg"/><Relationship Id="rId14" Type="http://schemas.openxmlformats.org/officeDocument/2006/relationships/image" Target="../media/image909.jpeg"/><Relationship Id="rId15" Type="http://schemas.openxmlformats.org/officeDocument/2006/relationships/image" Target="../media/image910.jpeg"/><Relationship Id="rId16" Type="http://schemas.openxmlformats.org/officeDocument/2006/relationships/image" Target="../media/image911.jpeg"/><Relationship Id="rId17" Type="http://schemas.openxmlformats.org/officeDocument/2006/relationships/image" Target="../media/image912.jpeg"/><Relationship Id="rId18" Type="http://schemas.openxmlformats.org/officeDocument/2006/relationships/image" Target="../media/image913.jpeg"/>
</Relationships>
</file>

<file path=xl/drawings/_rels/drawing12.xml.rels><?xml version="1.0" encoding="UTF-8"?>
<Relationships xmlns="http://schemas.openxmlformats.org/package/2006/relationships"><Relationship Id="rId1" Type="http://schemas.openxmlformats.org/officeDocument/2006/relationships/image" Target="../media/image914.jpeg"/><Relationship Id="rId2" Type="http://schemas.openxmlformats.org/officeDocument/2006/relationships/image" Target="../media/image915.jpeg"/><Relationship Id="rId3" Type="http://schemas.openxmlformats.org/officeDocument/2006/relationships/image" Target="../media/image916.jpeg"/><Relationship Id="rId4" Type="http://schemas.openxmlformats.org/officeDocument/2006/relationships/image" Target="../media/image917.jpeg"/><Relationship Id="rId5" Type="http://schemas.openxmlformats.org/officeDocument/2006/relationships/image" Target="../media/image918.jpeg"/><Relationship Id="rId6" Type="http://schemas.openxmlformats.org/officeDocument/2006/relationships/image" Target="../media/image919.png"/><Relationship Id="rId7" Type="http://schemas.openxmlformats.org/officeDocument/2006/relationships/image" Target="../media/image920.png"/><Relationship Id="rId8" Type="http://schemas.openxmlformats.org/officeDocument/2006/relationships/image" Target="../media/image921.png"/><Relationship Id="rId9" Type="http://schemas.openxmlformats.org/officeDocument/2006/relationships/image" Target="../media/image922.jpeg"/><Relationship Id="rId10" Type="http://schemas.openxmlformats.org/officeDocument/2006/relationships/image" Target="../media/image923.jpeg"/><Relationship Id="rId11" Type="http://schemas.openxmlformats.org/officeDocument/2006/relationships/image" Target="../media/image924.jpeg"/><Relationship Id="rId12" Type="http://schemas.openxmlformats.org/officeDocument/2006/relationships/image" Target="../media/image925.jpeg"/><Relationship Id="rId13" Type="http://schemas.openxmlformats.org/officeDocument/2006/relationships/image" Target="../media/image926.jpeg"/><Relationship Id="rId14" Type="http://schemas.openxmlformats.org/officeDocument/2006/relationships/image" Target="../media/image927.jpeg"/><Relationship Id="rId15" Type="http://schemas.openxmlformats.org/officeDocument/2006/relationships/image" Target="../media/image928.jpeg"/><Relationship Id="rId16" Type="http://schemas.openxmlformats.org/officeDocument/2006/relationships/image" Target="../media/image929.jpeg"/><Relationship Id="rId17" Type="http://schemas.openxmlformats.org/officeDocument/2006/relationships/image" Target="../media/image930.jpeg"/><Relationship Id="rId18" Type="http://schemas.openxmlformats.org/officeDocument/2006/relationships/image" Target="../media/image931.jpeg"/><Relationship Id="rId19" Type="http://schemas.openxmlformats.org/officeDocument/2006/relationships/image" Target="../media/image932.jpeg"/><Relationship Id="rId20" Type="http://schemas.openxmlformats.org/officeDocument/2006/relationships/image" Target="../media/image933.jpeg"/><Relationship Id="rId21" Type="http://schemas.openxmlformats.org/officeDocument/2006/relationships/image" Target="../media/image934.jpeg"/><Relationship Id="rId22" Type="http://schemas.openxmlformats.org/officeDocument/2006/relationships/image" Target="../media/image935.jpeg"/><Relationship Id="rId23" Type="http://schemas.openxmlformats.org/officeDocument/2006/relationships/image" Target="../media/image936.jpeg"/><Relationship Id="rId24" Type="http://schemas.openxmlformats.org/officeDocument/2006/relationships/image" Target="../media/image937.jpeg"/><Relationship Id="rId25" Type="http://schemas.openxmlformats.org/officeDocument/2006/relationships/image" Target="../media/image938.jpeg"/><Relationship Id="rId26" Type="http://schemas.openxmlformats.org/officeDocument/2006/relationships/image" Target="../media/image939.jpeg"/><Relationship Id="rId27" Type="http://schemas.openxmlformats.org/officeDocument/2006/relationships/image" Target="../media/image940.jpeg"/><Relationship Id="rId28" Type="http://schemas.openxmlformats.org/officeDocument/2006/relationships/image" Target="../media/image941.jpeg"/><Relationship Id="rId29" Type="http://schemas.openxmlformats.org/officeDocument/2006/relationships/image" Target="../media/image942.jpeg"/><Relationship Id="rId30" Type="http://schemas.openxmlformats.org/officeDocument/2006/relationships/image" Target="../media/image943.jpeg"/><Relationship Id="rId31" Type="http://schemas.openxmlformats.org/officeDocument/2006/relationships/image" Target="../media/image944.jpeg"/><Relationship Id="rId32" Type="http://schemas.openxmlformats.org/officeDocument/2006/relationships/image" Target="../media/image945.jpeg"/><Relationship Id="rId33" Type="http://schemas.openxmlformats.org/officeDocument/2006/relationships/image" Target="../media/image946.jpeg"/><Relationship Id="rId34" Type="http://schemas.openxmlformats.org/officeDocument/2006/relationships/image" Target="../media/image947.jpeg"/><Relationship Id="rId35" Type="http://schemas.openxmlformats.org/officeDocument/2006/relationships/image" Target="../media/image948.jpeg"/><Relationship Id="rId36" Type="http://schemas.openxmlformats.org/officeDocument/2006/relationships/image" Target="../media/image949.jpeg"/><Relationship Id="rId37" Type="http://schemas.openxmlformats.org/officeDocument/2006/relationships/image" Target="../media/image950.jpeg"/><Relationship Id="rId38" Type="http://schemas.openxmlformats.org/officeDocument/2006/relationships/image" Target="../media/image951.jpeg"/><Relationship Id="rId39" Type="http://schemas.openxmlformats.org/officeDocument/2006/relationships/image" Target="../media/image952.jpeg"/><Relationship Id="rId40" Type="http://schemas.openxmlformats.org/officeDocument/2006/relationships/image" Target="../media/image953.jpeg"/><Relationship Id="rId41" Type="http://schemas.openxmlformats.org/officeDocument/2006/relationships/image" Target="../media/image954.jpeg"/><Relationship Id="rId42" Type="http://schemas.openxmlformats.org/officeDocument/2006/relationships/image" Target="../media/image955.jpeg"/><Relationship Id="rId43" Type="http://schemas.openxmlformats.org/officeDocument/2006/relationships/image" Target="../media/image956.jpeg"/><Relationship Id="rId44" Type="http://schemas.openxmlformats.org/officeDocument/2006/relationships/image" Target="../media/image957.png"/><Relationship Id="rId45" Type="http://schemas.openxmlformats.org/officeDocument/2006/relationships/image" Target="../media/image958.jpeg"/><Relationship Id="rId46" Type="http://schemas.openxmlformats.org/officeDocument/2006/relationships/image" Target="../media/image959.jpeg"/><Relationship Id="rId47" Type="http://schemas.openxmlformats.org/officeDocument/2006/relationships/image" Target="../media/image960.jpeg"/><Relationship Id="rId48" Type="http://schemas.openxmlformats.org/officeDocument/2006/relationships/image" Target="../media/image961.jpeg"/><Relationship Id="rId49" Type="http://schemas.openxmlformats.org/officeDocument/2006/relationships/image" Target="../media/image962.jpeg"/><Relationship Id="rId50" Type="http://schemas.openxmlformats.org/officeDocument/2006/relationships/image" Target="../media/image963.jpeg"/><Relationship Id="rId51" Type="http://schemas.openxmlformats.org/officeDocument/2006/relationships/image" Target="../media/image964.jpeg"/><Relationship Id="rId52" Type="http://schemas.openxmlformats.org/officeDocument/2006/relationships/image" Target="../media/image965.jpeg"/><Relationship Id="rId53" Type="http://schemas.openxmlformats.org/officeDocument/2006/relationships/image" Target="../media/image966.jpeg"/><Relationship Id="rId54" Type="http://schemas.openxmlformats.org/officeDocument/2006/relationships/image" Target="../media/image967.jpeg"/><Relationship Id="rId55" Type="http://schemas.openxmlformats.org/officeDocument/2006/relationships/image" Target="../media/image968.jpeg"/><Relationship Id="rId56" Type="http://schemas.openxmlformats.org/officeDocument/2006/relationships/image" Target="../media/image969.jpeg"/><Relationship Id="rId57" Type="http://schemas.openxmlformats.org/officeDocument/2006/relationships/image" Target="../media/image970.jpeg"/><Relationship Id="rId58" Type="http://schemas.openxmlformats.org/officeDocument/2006/relationships/image" Target="../media/image971.jpeg"/><Relationship Id="rId59" Type="http://schemas.openxmlformats.org/officeDocument/2006/relationships/image" Target="../media/image972.jpeg"/><Relationship Id="rId60" Type="http://schemas.openxmlformats.org/officeDocument/2006/relationships/image" Target="../media/image973.jpeg"/><Relationship Id="rId61" Type="http://schemas.openxmlformats.org/officeDocument/2006/relationships/image" Target="../media/image974.jpeg"/><Relationship Id="rId62" Type="http://schemas.openxmlformats.org/officeDocument/2006/relationships/image" Target="../media/image975.jpeg"/><Relationship Id="rId63" Type="http://schemas.openxmlformats.org/officeDocument/2006/relationships/image" Target="../media/image976.jpeg"/><Relationship Id="rId64" Type="http://schemas.openxmlformats.org/officeDocument/2006/relationships/image" Target="../media/image977.jpeg"/><Relationship Id="rId65" Type="http://schemas.openxmlformats.org/officeDocument/2006/relationships/image" Target="../media/image978.jpeg"/><Relationship Id="rId66" Type="http://schemas.openxmlformats.org/officeDocument/2006/relationships/image" Target="../media/image979.jpeg"/><Relationship Id="rId67" Type="http://schemas.openxmlformats.org/officeDocument/2006/relationships/image" Target="../media/image980.jpeg"/><Relationship Id="rId68" Type="http://schemas.openxmlformats.org/officeDocument/2006/relationships/image" Target="../media/image981.jpeg"/><Relationship Id="rId69" Type="http://schemas.openxmlformats.org/officeDocument/2006/relationships/image" Target="../media/image982.jpeg"/><Relationship Id="rId70" Type="http://schemas.openxmlformats.org/officeDocument/2006/relationships/image" Target="../media/image983.jpeg"/><Relationship Id="rId71" Type="http://schemas.openxmlformats.org/officeDocument/2006/relationships/image" Target="../media/image984.jpeg"/><Relationship Id="rId72" Type="http://schemas.openxmlformats.org/officeDocument/2006/relationships/image" Target="../media/image985.jpeg"/><Relationship Id="rId73" Type="http://schemas.openxmlformats.org/officeDocument/2006/relationships/image" Target="../media/image986.jpeg"/><Relationship Id="rId74" Type="http://schemas.openxmlformats.org/officeDocument/2006/relationships/image" Target="../media/image987.jpeg"/><Relationship Id="rId75" Type="http://schemas.openxmlformats.org/officeDocument/2006/relationships/image" Target="../media/image988.jpeg"/><Relationship Id="rId76" Type="http://schemas.openxmlformats.org/officeDocument/2006/relationships/image" Target="../media/image989.jpeg"/><Relationship Id="rId77" Type="http://schemas.openxmlformats.org/officeDocument/2006/relationships/image" Target="../media/image990.jpeg"/><Relationship Id="rId78" Type="http://schemas.openxmlformats.org/officeDocument/2006/relationships/image" Target="../media/image991.jpeg"/><Relationship Id="rId79" Type="http://schemas.openxmlformats.org/officeDocument/2006/relationships/image" Target="../media/image992.jpeg"/><Relationship Id="rId80" Type="http://schemas.openxmlformats.org/officeDocument/2006/relationships/image" Target="../media/image993.jpeg"/><Relationship Id="rId81" Type="http://schemas.openxmlformats.org/officeDocument/2006/relationships/image" Target="../media/image994.jpeg"/><Relationship Id="rId82" Type="http://schemas.openxmlformats.org/officeDocument/2006/relationships/image" Target="../media/image995.jpeg"/>
</Relationships>
</file>

<file path=xl/drawings/_rels/drawing13.xml.rels><?xml version="1.0" encoding="UTF-8"?>
<Relationships xmlns="http://schemas.openxmlformats.org/package/2006/relationships"><Relationship Id="rId1" Type="http://schemas.openxmlformats.org/officeDocument/2006/relationships/image" Target="../media/image996.jpeg"/><Relationship Id="rId2" Type="http://schemas.openxmlformats.org/officeDocument/2006/relationships/image" Target="../media/image997.jpeg"/><Relationship Id="rId3" Type="http://schemas.openxmlformats.org/officeDocument/2006/relationships/image" Target="../media/image998.jpeg"/><Relationship Id="rId4" Type="http://schemas.openxmlformats.org/officeDocument/2006/relationships/image" Target="../media/image999.jpeg"/><Relationship Id="rId5" Type="http://schemas.openxmlformats.org/officeDocument/2006/relationships/image" Target="../media/image1000.jpeg"/><Relationship Id="rId6" Type="http://schemas.openxmlformats.org/officeDocument/2006/relationships/image" Target="../media/image1001.jpeg"/><Relationship Id="rId7" Type="http://schemas.openxmlformats.org/officeDocument/2006/relationships/image" Target="../media/image1002.jpeg"/><Relationship Id="rId8" Type="http://schemas.openxmlformats.org/officeDocument/2006/relationships/image" Target="../media/image1003.jpeg"/><Relationship Id="rId9" Type="http://schemas.openxmlformats.org/officeDocument/2006/relationships/image" Target="../media/image1004.jpeg"/><Relationship Id="rId10" Type="http://schemas.openxmlformats.org/officeDocument/2006/relationships/image" Target="../media/image1005.jpeg"/><Relationship Id="rId11" Type="http://schemas.openxmlformats.org/officeDocument/2006/relationships/image" Target="../media/image1006.jpeg"/><Relationship Id="rId12" Type="http://schemas.openxmlformats.org/officeDocument/2006/relationships/image" Target="../media/image1007.jpeg"/><Relationship Id="rId13" Type="http://schemas.openxmlformats.org/officeDocument/2006/relationships/image" Target="../media/image1008.jpeg"/><Relationship Id="rId14" Type="http://schemas.openxmlformats.org/officeDocument/2006/relationships/image" Target="../media/image1009.jpeg"/><Relationship Id="rId15" Type="http://schemas.openxmlformats.org/officeDocument/2006/relationships/image" Target="../media/image1010.jpeg"/><Relationship Id="rId16" Type="http://schemas.openxmlformats.org/officeDocument/2006/relationships/image" Target="../media/image1011.jpeg"/><Relationship Id="rId17" Type="http://schemas.openxmlformats.org/officeDocument/2006/relationships/image" Target="../media/image1012.jpeg"/><Relationship Id="rId18" Type="http://schemas.openxmlformats.org/officeDocument/2006/relationships/image" Target="../media/image1013.jpeg"/><Relationship Id="rId19" Type="http://schemas.openxmlformats.org/officeDocument/2006/relationships/image" Target="../media/image1014.jpeg"/><Relationship Id="rId20" Type="http://schemas.openxmlformats.org/officeDocument/2006/relationships/image" Target="../media/image1015.jpeg"/><Relationship Id="rId21" Type="http://schemas.openxmlformats.org/officeDocument/2006/relationships/image" Target="../media/image1016.jpeg"/><Relationship Id="rId22" Type="http://schemas.openxmlformats.org/officeDocument/2006/relationships/image" Target="../media/image1017.jpeg"/><Relationship Id="rId23" Type="http://schemas.openxmlformats.org/officeDocument/2006/relationships/image" Target="../media/image1018.jpeg"/><Relationship Id="rId24" Type="http://schemas.openxmlformats.org/officeDocument/2006/relationships/image" Target="../media/image1019.jpeg"/><Relationship Id="rId25" Type="http://schemas.openxmlformats.org/officeDocument/2006/relationships/image" Target="../media/image1020.jpeg"/><Relationship Id="rId26" Type="http://schemas.openxmlformats.org/officeDocument/2006/relationships/image" Target="../media/image1021.jpeg"/><Relationship Id="rId27" Type="http://schemas.openxmlformats.org/officeDocument/2006/relationships/image" Target="../media/image1022.jpeg"/><Relationship Id="rId28" Type="http://schemas.openxmlformats.org/officeDocument/2006/relationships/image" Target="../media/image1023.jpeg"/><Relationship Id="rId29" Type="http://schemas.openxmlformats.org/officeDocument/2006/relationships/image" Target="../media/image1024.jpeg"/><Relationship Id="rId30" Type="http://schemas.openxmlformats.org/officeDocument/2006/relationships/image" Target="../media/image1025.jpeg"/><Relationship Id="rId31" Type="http://schemas.openxmlformats.org/officeDocument/2006/relationships/image" Target="../media/image1026.jpeg"/><Relationship Id="rId32" Type="http://schemas.openxmlformats.org/officeDocument/2006/relationships/image" Target="../media/image1027.jpeg"/><Relationship Id="rId33" Type="http://schemas.openxmlformats.org/officeDocument/2006/relationships/image" Target="../media/image1028.jpeg"/><Relationship Id="rId34" Type="http://schemas.openxmlformats.org/officeDocument/2006/relationships/image" Target="../media/image1029.jpeg"/><Relationship Id="rId35" Type="http://schemas.openxmlformats.org/officeDocument/2006/relationships/image" Target="../media/image1030.jpeg"/><Relationship Id="rId36" Type="http://schemas.openxmlformats.org/officeDocument/2006/relationships/image" Target="../media/image1031.jpeg"/><Relationship Id="rId37" Type="http://schemas.openxmlformats.org/officeDocument/2006/relationships/image" Target="../media/image1032.jpeg"/><Relationship Id="rId38" Type="http://schemas.openxmlformats.org/officeDocument/2006/relationships/image" Target="../media/image1033.jpeg"/><Relationship Id="rId39" Type="http://schemas.openxmlformats.org/officeDocument/2006/relationships/image" Target="../media/image1034.jpeg"/><Relationship Id="rId40" Type="http://schemas.openxmlformats.org/officeDocument/2006/relationships/image" Target="../media/image1035.jpeg"/><Relationship Id="rId41" Type="http://schemas.openxmlformats.org/officeDocument/2006/relationships/image" Target="../media/image1036.jpeg"/><Relationship Id="rId42" Type="http://schemas.openxmlformats.org/officeDocument/2006/relationships/image" Target="../media/image1037.jpeg"/>
</Relationships>
</file>

<file path=xl/drawings/_rels/drawing14.xml.rels><?xml version="1.0" encoding="UTF-8"?>
<Relationships xmlns="http://schemas.openxmlformats.org/package/2006/relationships"><Relationship Id="rId1" Type="http://schemas.openxmlformats.org/officeDocument/2006/relationships/image" Target="../media/image1038.jpeg"/><Relationship Id="rId2" Type="http://schemas.openxmlformats.org/officeDocument/2006/relationships/image" Target="../media/image1039.jpeg"/><Relationship Id="rId3" Type="http://schemas.openxmlformats.org/officeDocument/2006/relationships/image" Target="../media/image1040.jpeg"/><Relationship Id="rId4" Type="http://schemas.openxmlformats.org/officeDocument/2006/relationships/image" Target="../media/image1041.jpeg"/><Relationship Id="rId5" Type="http://schemas.openxmlformats.org/officeDocument/2006/relationships/image" Target="../media/image342.png"/><Relationship Id="rId6" Type="http://schemas.openxmlformats.org/officeDocument/2006/relationships/image" Target="../media/image1042.jpeg"/><Relationship Id="rId7" Type="http://schemas.openxmlformats.org/officeDocument/2006/relationships/image" Target="../media/image1043.jpeg"/><Relationship Id="rId8" Type="http://schemas.openxmlformats.org/officeDocument/2006/relationships/image" Target="../media/image1044.jpeg"/><Relationship Id="rId9" Type="http://schemas.openxmlformats.org/officeDocument/2006/relationships/image" Target="../media/image1045.jpeg"/><Relationship Id="rId10" Type="http://schemas.openxmlformats.org/officeDocument/2006/relationships/image" Target="../media/image342.png"/><Relationship Id="rId11" Type="http://schemas.openxmlformats.org/officeDocument/2006/relationships/image" Target="../media/image1046.jpeg"/><Relationship Id="rId12" Type="http://schemas.openxmlformats.org/officeDocument/2006/relationships/image" Target="../media/image1047.jpeg"/><Relationship Id="rId13" Type="http://schemas.openxmlformats.org/officeDocument/2006/relationships/image" Target="../media/image1048.jpeg"/><Relationship Id="rId14" Type="http://schemas.openxmlformats.org/officeDocument/2006/relationships/image" Target="../media/image1049.jpeg"/><Relationship Id="rId15" Type="http://schemas.openxmlformats.org/officeDocument/2006/relationships/image" Target="../media/image1050.jpeg"/><Relationship Id="rId16" Type="http://schemas.openxmlformats.org/officeDocument/2006/relationships/image" Target="../media/image1051.jpeg"/><Relationship Id="rId17" Type="http://schemas.openxmlformats.org/officeDocument/2006/relationships/image" Target="../media/image342.png"/><Relationship Id="rId18" Type="http://schemas.openxmlformats.org/officeDocument/2006/relationships/image" Target="../media/image1052.jpeg"/><Relationship Id="rId19" Type="http://schemas.openxmlformats.org/officeDocument/2006/relationships/image" Target="../media/image1053.jpeg"/><Relationship Id="rId20" Type="http://schemas.openxmlformats.org/officeDocument/2006/relationships/image" Target="../media/image1054.jpeg"/><Relationship Id="rId21" Type="http://schemas.openxmlformats.org/officeDocument/2006/relationships/image" Target="../media/image1055.jpeg"/>
</Relationships>
</file>

<file path=xl/drawings/_rels/drawing15.xml.rels><?xml version="1.0" encoding="UTF-8"?>
<Relationships xmlns="http://schemas.openxmlformats.org/package/2006/relationships"><Relationship Id="rId1" Type="http://schemas.openxmlformats.org/officeDocument/2006/relationships/image" Target="../media/image1056.jpeg"/><Relationship Id="rId2" Type="http://schemas.openxmlformats.org/officeDocument/2006/relationships/image" Target="../media/image1057.jpeg"/><Relationship Id="rId3" Type="http://schemas.openxmlformats.org/officeDocument/2006/relationships/image" Target="../media/image1058.jpeg"/><Relationship Id="rId4" Type="http://schemas.openxmlformats.org/officeDocument/2006/relationships/image" Target="../media/image1059.jpeg"/><Relationship Id="rId5" Type="http://schemas.openxmlformats.org/officeDocument/2006/relationships/image" Target="../media/image1060.jpeg"/><Relationship Id="rId6" Type="http://schemas.openxmlformats.org/officeDocument/2006/relationships/image" Target="../media/image1061.jpeg"/><Relationship Id="rId7" Type="http://schemas.openxmlformats.org/officeDocument/2006/relationships/image" Target="../media/image1062.png"/><Relationship Id="rId8" Type="http://schemas.openxmlformats.org/officeDocument/2006/relationships/image" Target="../media/image1063.png"/><Relationship Id="rId9" Type="http://schemas.openxmlformats.org/officeDocument/2006/relationships/image" Target="../media/image1064.png"/><Relationship Id="rId10" Type="http://schemas.openxmlformats.org/officeDocument/2006/relationships/image" Target="../media/image1063.png"/><Relationship Id="rId11" Type="http://schemas.openxmlformats.org/officeDocument/2006/relationships/image" Target="../media/image1065.jpeg"/><Relationship Id="rId12" Type="http://schemas.openxmlformats.org/officeDocument/2006/relationships/image" Target="../media/image1066.jpeg"/><Relationship Id="rId13" Type="http://schemas.openxmlformats.org/officeDocument/2006/relationships/image" Target="../media/image1067.jpeg"/><Relationship Id="rId14" Type="http://schemas.openxmlformats.org/officeDocument/2006/relationships/image" Target="../media/image1067.jpeg"/><Relationship Id="rId15" Type="http://schemas.openxmlformats.org/officeDocument/2006/relationships/image" Target="../media/image1068.png"/><Relationship Id="rId16" Type="http://schemas.openxmlformats.org/officeDocument/2006/relationships/image" Target="../media/image1069.png"/><Relationship Id="rId17" Type="http://schemas.openxmlformats.org/officeDocument/2006/relationships/image" Target="../media/image1070.png"/><Relationship Id="rId18" Type="http://schemas.openxmlformats.org/officeDocument/2006/relationships/image" Target="../media/image1068.png"/><Relationship Id="rId19" Type="http://schemas.openxmlformats.org/officeDocument/2006/relationships/image" Target="../media/image1071.jpeg"/><Relationship Id="rId20" Type="http://schemas.openxmlformats.org/officeDocument/2006/relationships/image" Target="../media/image1072.jpeg"/><Relationship Id="rId21" Type="http://schemas.openxmlformats.org/officeDocument/2006/relationships/image" Target="../media/image1073.jpeg"/><Relationship Id="rId22" Type="http://schemas.openxmlformats.org/officeDocument/2006/relationships/image" Target="../media/image1071.jpeg"/><Relationship Id="rId23" Type="http://schemas.openxmlformats.org/officeDocument/2006/relationships/image" Target="../media/image1074.jpeg"/><Relationship Id="rId24" Type="http://schemas.openxmlformats.org/officeDocument/2006/relationships/image" Target="../media/image1075.jpeg"/><Relationship Id="rId25" Type="http://schemas.openxmlformats.org/officeDocument/2006/relationships/image" Target="../media/image1076.jpeg"/><Relationship Id="rId26" Type="http://schemas.openxmlformats.org/officeDocument/2006/relationships/image" Target="../media/image1074.jpeg"/><Relationship Id="rId27" Type="http://schemas.openxmlformats.org/officeDocument/2006/relationships/image" Target="../media/image1077.jpeg"/><Relationship Id="rId28" Type="http://schemas.openxmlformats.org/officeDocument/2006/relationships/image" Target="../media/image1078.jpeg"/><Relationship Id="rId29" Type="http://schemas.openxmlformats.org/officeDocument/2006/relationships/image" Target="../media/image342.png"/><Relationship Id="rId30" Type="http://schemas.openxmlformats.org/officeDocument/2006/relationships/image" Target="../media/image342.png"/><Relationship Id="rId31" Type="http://schemas.openxmlformats.org/officeDocument/2006/relationships/image" Target="../media/image1079.jpeg"/><Relationship Id="rId32" Type="http://schemas.openxmlformats.org/officeDocument/2006/relationships/image" Target="../media/image1079.jpeg"/><Relationship Id="rId33" Type="http://schemas.openxmlformats.org/officeDocument/2006/relationships/image" Target="../media/image1080.jpeg"/><Relationship Id="rId34" Type="http://schemas.openxmlformats.org/officeDocument/2006/relationships/image" Target="../media/image1081.jpeg"/><Relationship Id="rId35" Type="http://schemas.openxmlformats.org/officeDocument/2006/relationships/image" Target="../media/image342.png"/><Relationship Id="rId36" Type="http://schemas.openxmlformats.org/officeDocument/2006/relationships/image" Target="../media/image342.png"/><Relationship Id="rId37" Type="http://schemas.openxmlformats.org/officeDocument/2006/relationships/image" Target="../media/image1082.jpeg"/><Relationship Id="rId38" Type="http://schemas.openxmlformats.org/officeDocument/2006/relationships/image" Target="../media/image1082.jpeg"/><Relationship Id="rId39" Type="http://schemas.openxmlformats.org/officeDocument/2006/relationships/image" Target="../media/image1083.jpeg"/><Relationship Id="rId40" Type="http://schemas.openxmlformats.org/officeDocument/2006/relationships/image" Target="../media/image1084.jpeg"/><Relationship Id="rId41" Type="http://schemas.openxmlformats.org/officeDocument/2006/relationships/image" Target="../media/image1085.jpeg"/><Relationship Id="rId42" Type="http://schemas.openxmlformats.org/officeDocument/2006/relationships/image" Target="../media/image1083.jpeg"/><Relationship Id="rId43" Type="http://schemas.openxmlformats.org/officeDocument/2006/relationships/image" Target="../media/image1086.jpeg"/><Relationship Id="rId44" Type="http://schemas.openxmlformats.org/officeDocument/2006/relationships/image" Target="../media/image1087.jpeg"/><Relationship Id="rId45" Type="http://schemas.openxmlformats.org/officeDocument/2006/relationships/image" Target="../media/image1088.jpeg"/><Relationship Id="rId46" Type="http://schemas.openxmlformats.org/officeDocument/2006/relationships/image" Target="../media/image1086.jpeg"/><Relationship Id="rId47" Type="http://schemas.openxmlformats.org/officeDocument/2006/relationships/image" Target="../media/image342.png"/><Relationship Id="rId48" Type="http://schemas.openxmlformats.org/officeDocument/2006/relationships/image" Target="../media/image342.png"/><Relationship Id="rId49" Type="http://schemas.openxmlformats.org/officeDocument/2006/relationships/image" Target="../media/image342.png"/><Relationship Id="rId50" Type="http://schemas.openxmlformats.org/officeDocument/2006/relationships/image" Target="../media/image342.png"/>
</Relationships>
</file>

<file path=xl/drawings/_rels/drawing16.xml.rels><?xml version="1.0" encoding="UTF-8"?>
<Relationships xmlns="http://schemas.openxmlformats.org/package/2006/relationships"><Relationship Id="rId1" Type="http://schemas.openxmlformats.org/officeDocument/2006/relationships/image" Target="../media/image1089.jpeg"/><Relationship Id="rId2" Type="http://schemas.openxmlformats.org/officeDocument/2006/relationships/image" Target="../media/image1090.jpeg"/><Relationship Id="rId3" Type="http://schemas.openxmlformats.org/officeDocument/2006/relationships/image" Target="../media/image1091.jpeg"/><Relationship Id="rId4" Type="http://schemas.openxmlformats.org/officeDocument/2006/relationships/image" Target="../media/image1092.jpeg"/><Relationship Id="rId5" Type="http://schemas.openxmlformats.org/officeDocument/2006/relationships/image" Target="../media/image1093.jpeg"/><Relationship Id="rId6" Type="http://schemas.openxmlformats.org/officeDocument/2006/relationships/image" Target="../media/image1094.jpeg"/><Relationship Id="rId7" Type="http://schemas.openxmlformats.org/officeDocument/2006/relationships/image" Target="../media/image1095.jpeg"/><Relationship Id="rId8" Type="http://schemas.openxmlformats.org/officeDocument/2006/relationships/image" Target="../media/image1096.jpeg"/><Relationship Id="rId9" Type="http://schemas.openxmlformats.org/officeDocument/2006/relationships/image" Target="../media/image1097.jpeg"/><Relationship Id="rId10" Type="http://schemas.openxmlformats.org/officeDocument/2006/relationships/image" Target="../media/image1098.jpeg"/><Relationship Id="rId11" Type="http://schemas.openxmlformats.org/officeDocument/2006/relationships/image" Target="../media/image1099.jpeg"/><Relationship Id="rId12" Type="http://schemas.openxmlformats.org/officeDocument/2006/relationships/image" Target="../media/image1100.jpeg"/><Relationship Id="rId13" Type="http://schemas.openxmlformats.org/officeDocument/2006/relationships/image" Target="../media/image1101.jpeg"/><Relationship Id="rId14" Type="http://schemas.openxmlformats.org/officeDocument/2006/relationships/image" Target="../media/image1091.jpeg"/><Relationship Id="rId15" Type="http://schemas.openxmlformats.org/officeDocument/2006/relationships/image" Target="../media/image1091.jpeg"/><Relationship Id="rId16" Type="http://schemas.openxmlformats.org/officeDocument/2006/relationships/image" Target="../media/image1094.jpeg"/><Relationship Id="rId17" Type="http://schemas.openxmlformats.org/officeDocument/2006/relationships/image" Target="../media/image1092.jpeg"/><Relationship Id="rId18" Type="http://schemas.openxmlformats.org/officeDocument/2006/relationships/image" Target="../media/image1093.jpeg"/><Relationship Id="rId19" Type="http://schemas.openxmlformats.org/officeDocument/2006/relationships/image" Target="../media/image1102.jpeg"/><Relationship Id="rId20" Type="http://schemas.openxmlformats.org/officeDocument/2006/relationships/image" Target="../media/image1103.jpeg"/><Relationship Id="rId21" Type="http://schemas.openxmlformats.org/officeDocument/2006/relationships/image" Target="../media/image1104.jpeg"/><Relationship Id="rId22" Type="http://schemas.openxmlformats.org/officeDocument/2006/relationships/image" Target="../media/image1105.jpeg"/><Relationship Id="rId23" Type="http://schemas.openxmlformats.org/officeDocument/2006/relationships/image" Target="../media/image1106.jpeg"/><Relationship Id="rId24" Type="http://schemas.openxmlformats.org/officeDocument/2006/relationships/image" Target="../media/image1107.jpeg"/><Relationship Id="rId25" Type="http://schemas.openxmlformats.org/officeDocument/2006/relationships/image" Target="../media/image1108.jpeg"/><Relationship Id="rId26" Type="http://schemas.openxmlformats.org/officeDocument/2006/relationships/image" Target="../media/image1109.jpeg"/><Relationship Id="rId27" Type="http://schemas.openxmlformats.org/officeDocument/2006/relationships/image" Target="../media/image1110.jpeg"/><Relationship Id="rId28" Type="http://schemas.openxmlformats.org/officeDocument/2006/relationships/image" Target="../media/image1103.jpeg"/><Relationship Id="rId29" Type="http://schemas.openxmlformats.org/officeDocument/2006/relationships/image" Target="../media/image1103.jpeg"/><Relationship Id="rId30" Type="http://schemas.openxmlformats.org/officeDocument/2006/relationships/image" Target="../media/image1102.jpeg"/><Relationship Id="rId31" Type="http://schemas.openxmlformats.org/officeDocument/2006/relationships/image" Target="../media/image1104.jpeg"/><Relationship Id="rId32" Type="http://schemas.openxmlformats.org/officeDocument/2006/relationships/image" Target="../media/image1111.jpeg"/><Relationship Id="rId33" Type="http://schemas.openxmlformats.org/officeDocument/2006/relationships/image" Target="../media/image1112.jpeg"/><Relationship Id="rId34" Type="http://schemas.openxmlformats.org/officeDocument/2006/relationships/image" Target="../media/image1113.jpeg"/><Relationship Id="rId35" Type="http://schemas.openxmlformats.org/officeDocument/2006/relationships/image" Target="../media/image1114.jpeg"/><Relationship Id="rId36" Type="http://schemas.openxmlformats.org/officeDocument/2006/relationships/image" Target="../media/image1111.jpeg"/><Relationship Id="rId37" Type="http://schemas.openxmlformats.org/officeDocument/2006/relationships/image" Target="../media/image1115.jpeg"/><Relationship Id="rId38" Type="http://schemas.openxmlformats.org/officeDocument/2006/relationships/image" Target="../media/image1116.jpeg"/><Relationship Id="rId39" Type="http://schemas.openxmlformats.org/officeDocument/2006/relationships/image" Target="../media/image1117.jpeg"/><Relationship Id="rId40" Type="http://schemas.openxmlformats.org/officeDocument/2006/relationships/image" Target="../media/image1118.jpeg"/><Relationship Id="rId41" Type="http://schemas.openxmlformats.org/officeDocument/2006/relationships/image" Target="../media/image1119.jpeg"/><Relationship Id="rId42" Type="http://schemas.openxmlformats.org/officeDocument/2006/relationships/image" Target="../media/image1120.jpeg"/><Relationship Id="rId43" Type="http://schemas.openxmlformats.org/officeDocument/2006/relationships/image" Target="../media/image1121.jpeg"/><Relationship Id="rId44" Type="http://schemas.openxmlformats.org/officeDocument/2006/relationships/image" Target="../media/image1122.jpeg"/><Relationship Id="rId45" Type="http://schemas.openxmlformats.org/officeDocument/2006/relationships/image" Target="../media/image1123.jpeg"/><Relationship Id="rId46" Type="http://schemas.openxmlformats.org/officeDocument/2006/relationships/image" Target="../media/image1124.jpeg"/><Relationship Id="rId47" Type="http://schemas.openxmlformats.org/officeDocument/2006/relationships/image" Target="../media/image1125.jpeg"/><Relationship Id="rId48" Type="http://schemas.openxmlformats.org/officeDocument/2006/relationships/image" Target="../media/image1126.jpeg"/><Relationship Id="rId49" Type="http://schemas.openxmlformats.org/officeDocument/2006/relationships/image" Target="../media/image1127.jpeg"/><Relationship Id="rId50" Type="http://schemas.openxmlformats.org/officeDocument/2006/relationships/image" Target="../media/image1128.jpeg"/><Relationship Id="rId51" Type="http://schemas.openxmlformats.org/officeDocument/2006/relationships/image" Target="../media/image1128.jpeg"/><Relationship Id="rId52" Type="http://schemas.openxmlformats.org/officeDocument/2006/relationships/image" Target="../media/image1118.jpeg"/><Relationship Id="rId53" Type="http://schemas.openxmlformats.org/officeDocument/2006/relationships/image" Target="../media/image1116.jpeg"/><Relationship Id="rId54" Type="http://schemas.openxmlformats.org/officeDocument/2006/relationships/image" Target="../media/image1117.jpeg"/><Relationship Id="rId55" Type="http://schemas.openxmlformats.org/officeDocument/2006/relationships/image" Target="../media/image1129.jpeg"/><Relationship Id="rId56" Type="http://schemas.openxmlformats.org/officeDocument/2006/relationships/image" Target="../media/image1129.jpeg"/><Relationship Id="rId57" Type="http://schemas.openxmlformats.org/officeDocument/2006/relationships/image" Target="../media/image1130.jpeg"/><Relationship Id="rId58" Type="http://schemas.openxmlformats.org/officeDocument/2006/relationships/image" Target="../media/image1131.jpeg"/><Relationship Id="rId59" Type="http://schemas.openxmlformats.org/officeDocument/2006/relationships/image" Target="../media/image1132.jpeg"/><Relationship Id="rId60" Type="http://schemas.openxmlformats.org/officeDocument/2006/relationships/image" Target="../media/image1133.jpeg"/><Relationship Id="rId61" Type="http://schemas.openxmlformats.org/officeDocument/2006/relationships/image" Target="../media/image1132.jpeg"/><Relationship Id="rId62" Type="http://schemas.openxmlformats.org/officeDocument/2006/relationships/image" Target="../media/image1134.jpeg"/><Relationship Id="rId63" Type="http://schemas.openxmlformats.org/officeDocument/2006/relationships/image" Target="../media/image1135.jpeg"/><Relationship Id="rId64" Type="http://schemas.openxmlformats.org/officeDocument/2006/relationships/image" Target="../media/image1135.jpeg"/><Relationship Id="rId65" Type="http://schemas.openxmlformats.org/officeDocument/2006/relationships/image" Target="../media/image1136.jpeg"/><Relationship Id="rId66" Type="http://schemas.openxmlformats.org/officeDocument/2006/relationships/image" Target="../media/image1137.jpeg"/><Relationship Id="rId67" Type="http://schemas.openxmlformats.org/officeDocument/2006/relationships/image" Target="../media/image1138.jpeg"/><Relationship Id="rId68" Type="http://schemas.openxmlformats.org/officeDocument/2006/relationships/image" Target="../media/image1139.jpeg"/><Relationship Id="rId69" Type="http://schemas.openxmlformats.org/officeDocument/2006/relationships/image" Target="../media/image1138.jpeg"/><Relationship Id="rId70" Type="http://schemas.openxmlformats.org/officeDocument/2006/relationships/image" Target="../media/image1140.jpeg"/><Relationship Id="rId71" Type="http://schemas.openxmlformats.org/officeDocument/2006/relationships/image" Target="../media/image1141.jpeg"/><Relationship Id="rId72" Type="http://schemas.openxmlformats.org/officeDocument/2006/relationships/image" Target="../media/image1142.jpeg"/><Relationship Id="rId73" Type="http://schemas.openxmlformats.org/officeDocument/2006/relationships/image" Target="../media/image1143.jpeg"/><Relationship Id="rId74" Type="http://schemas.openxmlformats.org/officeDocument/2006/relationships/image" Target="../media/image1144.jpeg"/><Relationship Id="rId75" Type="http://schemas.openxmlformats.org/officeDocument/2006/relationships/image" Target="../media/image1141.jpeg"/><Relationship Id="rId76" Type="http://schemas.openxmlformats.org/officeDocument/2006/relationships/image" Target="../media/image1142.jpeg"/><Relationship Id="rId77" Type="http://schemas.openxmlformats.org/officeDocument/2006/relationships/image" Target="../media/image1143.jpeg"/><Relationship Id="rId78" Type="http://schemas.openxmlformats.org/officeDocument/2006/relationships/image" Target="../media/image1144.jpeg"/><Relationship Id="rId79" Type="http://schemas.openxmlformats.org/officeDocument/2006/relationships/image" Target="../media/image1145.jpeg"/><Relationship Id="rId80" Type="http://schemas.openxmlformats.org/officeDocument/2006/relationships/image" Target="../media/image1146.jpeg"/><Relationship Id="rId81" Type="http://schemas.openxmlformats.org/officeDocument/2006/relationships/image" Target="../media/image1147.jpeg"/><Relationship Id="rId82" Type="http://schemas.openxmlformats.org/officeDocument/2006/relationships/image" Target="../media/image1145.jpeg"/><Relationship Id="rId83" Type="http://schemas.openxmlformats.org/officeDocument/2006/relationships/image" Target="../media/image1148.jpeg"/><Relationship Id="rId84" Type="http://schemas.openxmlformats.org/officeDocument/2006/relationships/image" Target="../media/image1149.jpeg"/><Relationship Id="rId85" Type="http://schemas.openxmlformats.org/officeDocument/2006/relationships/image" Target="../media/image1150.jpeg"/><Relationship Id="rId86" Type="http://schemas.openxmlformats.org/officeDocument/2006/relationships/image" Target="../media/image1148.jpeg"/><Relationship Id="rId87" Type="http://schemas.openxmlformats.org/officeDocument/2006/relationships/image" Target="../media/image1151.jpeg"/><Relationship Id="rId88" Type="http://schemas.openxmlformats.org/officeDocument/2006/relationships/image" Target="../media/image1152.jpeg"/><Relationship Id="rId89" Type="http://schemas.openxmlformats.org/officeDocument/2006/relationships/image" Target="../media/image1153.jpeg"/><Relationship Id="rId90" Type="http://schemas.openxmlformats.org/officeDocument/2006/relationships/image" Target="../media/image1151.jpeg"/><Relationship Id="rId91" Type="http://schemas.openxmlformats.org/officeDocument/2006/relationships/image" Target="../media/image1154.jpeg"/><Relationship Id="rId92" Type="http://schemas.openxmlformats.org/officeDocument/2006/relationships/image" Target="../media/image1155.jpeg"/><Relationship Id="rId93" Type="http://schemas.openxmlformats.org/officeDocument/2006/relationships/image" Target="../media/image1156.jpeg"/><Relationship Id="rId94" Type="http://schemas.openxmlformats.org/officeDocument/2006/relationships/image" Target="../media/image1154.jpeg"/><Relationship Id="rId95" Type="http://schemas.openxmlformats.org/officeDocument/2006/relationships/image" Target="../media/image1157.jpeg"/><Relationship Id="rId96" Type="http://schemas.openxmlformats.org/officeDocument/2006/relationships/image" Target="../media/image1158.jpeg"/><Relationship Id="rId97" Type="http://schemas.openxmlformats.org/officeDocument/2006/relationships/image" Target="../media/image1159.jpeg"/><Relationship Id="rId98" Type="http://schemas.openxmlformats.org/officeDocument/2006/relationships/image" Target="../media/image1157.jpeg"/><Relationship Id="rId99" Type="http://schemas.openxmlformats.org/officeDocument/2006/relationships/image" Target="../media/image1160.jpeg"/><Relationship Id="rId100" Type="http://schemas.openxmlformats.org/officeDocument/2006/relationships/image" Target="../media/image1161.jpeg"/><Relationship Id="rId101" Type="http://schemas.openxmlformats.org/officeDocument/2006/relationships/image" Target="../media/image1162.jpeg"/><Relationship Id="rId102" Type="http://schemas.openxmlformats.org/officeDocument/2006/relationships/image" Target="../media/image1160.jpeg"/><Relationship Id="rId103" Type="http://schemas.openxmlformats.org/officeDocument/2006/relationships/image" Target="../media/image1163.jpeg"/><Relationship Id="rId104" Type="http://schemas.openxmlformats.org/officeDocument/2006/relationships/image" Target="../media/image1164.jpeg"/><Relationship Id="rId105" Type="http://schemas.openxmlformats.org/officeDocument/2006/relationships/image" Target="../media/image1165.jpeg"/><Relationship Id="rId106" Type="http://schemas.openxmlformats.org/officeDocument/2006/relationships/image" Target="../media/image1166.jpeg"/><Relationship Id="rId107" Type="http://schemas.openxmlformats.org/officeDocument/2006/relationships/image" Target="../media/image1167.jpeg"/><Relationship Id="rId108" Type="http://schemas.openxmlformats.org/officeDocument/2006/relationships/image" Target="../media/image342.png"/><Relationship Id="rId109" Type="http://schemas.openxmlformats.org/officeDocument/2006/relationships/image" Target="../media/image342.png"/><Relationship Id="rId110" Type="http://schemas.openxmlformats.org/officeDocument/2006/relationships/image" Target="../media/image342.png"/><Relationship Id="rId111" Type="http://schemas.openxmlformats.org/officeDocument/2006/relationships/image" Target="../media/image342.png"/><Relationship Id="rId112" Type="http://schemas.openxmlformats.org/officeDocument/2006/relationships/image" Target="../media/image342.png"/><Relationship Id="rId113" Type="http://schemas.openxmlformats.org/officeDocument/2006/relationships/image" Target="../media/image1146.jpeg"/><Relationship Id="rId114" Type="http://schemas.openxmlformats.org/officeDocument/2006/relationships/image" Target="../media/image1149.jpeg"/><Relationship Id="rId115" Type="http://schemas.openxmlformats.org/officeDocument/2006/relationships/image" Target="../media/image1152.jpeg"/><Relationship Id="rId116" Type="http://schemas.openxmlformats.org/officeDocument/2006/relationships/image" Target="../media/image1168.jpeg"/><Relationship Id="rId117" Type="http://schemas.openxmlformats.org/officeDocument/2006/relationships/image" Target="../media/image1169.jpeg"/><Relationship Id="rId118" Type="http://schemas.openxmlformats.org/officeDocument/2006/relationships/image" Target="../media/image1169.jpeg"/><Relationship Id="rId119" Type="http://schemas.openxmlformats.org/officeDocument/2006/relationships/image" Target="../media/image1170.jpeg"/><Relationship Id="rId120" Type="http://schemas.openxmlformats.org/officeDocument/2006/relationships/image" Target="../media/image1171.jpeg"/><Relationship Id="rId121" Type="http://schemas.openxmlformats.org/officeDocument/2006/relationships/image" Target="../media/image1172.jpeg"/><Relationship Id="rId122" Type="http://schemas.openxmlformats.org/officeDocument/2006/relationships/image" Target="../media/image1173.jpeg"/><Relationship Id="rId123" Type="http://schemas.openxmlformats.org/officeDocument/2006/relationships/image" Target="../media/image1174.jpeg"/><Relationship Id="rId124" Type="http://schemas.openxmlformats.org/officeDocument/2006/relationships/image" Target="../media/image1175.jpeg"/><Relationship Id="rId125" Type="http://schemas.openxmlformats.org/officeDocument/2006/relationships/image" Target="../media/image1176.jpeg"/><Relationship Id="rId126" Type="http://schemas.openxmlformats.org/officeDocument/2006/relationships/image" Target="../media/image1177.jpeg"/><Relationship Id="rId127" Type="http://schemas.openxmlformats.org/officeDocument/2006/relationships/image" Target="../media/image1178.jpeg"/><Relationship Id="rId128" Type="http://schemas.openxmlformats.org/officeDocument/2006/relationships/image" Target="../media/image1179.jpeg"/><Relationship Id="rId129" Type="http://schemas.openxmlformats.org/officeDocument/2006/relationships/image" Target="../media/image1180.jpeg"/><Relationship Id="rId130" Type="http://schemas.openxmlformats.org/officeDocument/2006/relationships/image" Target="../media/image1181.jpeg"/><Relationship Id="rId131" Type="http://schemas.openxmlformats.org/officeDocument/2006/relationships/image" Target="../media/image1182.jpeg"/><Relationship Id="rId132" Type="http://schemas.openxmlformats.org/officeDocument/2006/relationships/image" Target="../media/image1183.jpeg"/><Relationship Id="rId133" Type="http://schemas.openxmlformats.org/officeDocument/2006/relationships/image" Target="../media/image1184.jpeg"/><Relationship Id="rId134" Type="http://schemas.openxmlformats.org/officeDocument/2006/relationships/image" Target="../media/image1185.jpeg"/><Relationship Id="rId135" Type="http://schemas.openxmlformats.org/officeDocument/2006/relationships/image" Target="../media/image1183.jpeg"/><Relationship Id="rId136" Type="http://schemas.openxmlformats.org/officeDocument/2006/relationships/image" Target="../media/image1186.jpeg"/><Relationship Id="rId137" Type="http://schemas.openxmlformats.org/officeDocument/2006/relationships/image" Target="../media/image1187.jpeg"/><Relationship Id="rId138" Type="http://schemas.openxmlformats.org/officeDocument/2006/relationships/image" Target="../media/image1188.jpeg"/><Relationship Id="rId139" Type="http://schemas.openxmlformats.org/officeDocument/2006/relationships/image" Target="../media/image1186.jpeg"/><Relationship Id="rId140" Type="http://schemas.openxmlformats.org/officeDocument/2006/relationships/image" Target="../media/image342.png"/><Relationship Id="rId141" Type="http://schemas.openxmlformats.org/officeDocument/2006/relationships/image" Target="../media/image342.png"/><Relationship Id="rId142" Type="http://schemas.openxmlformats.org/officeDocument/2006/relationships/image" Target="../media/image342.png"/><Relationship Id="rId143" Type="http://schemas.openxmlformats.org/officeDocument/2006/relationships/image" Target="../media/image342.png"/><Relationship Id="rId144" Type="http://schemas.openxmlformats.org/officeDocument/2006/relationships/image" Target="../media/image342.png"/><Relationship Id="rId145" Type="http://schemas.openxmlformats.org/officeDocument/2006/relationships/image" Target="../media/image342.png"/><Relationship Id="rId146" Type="http://schemas.openxmlformats.org/officeDocument/2006/relationships/image" Target="../media/image342.png"/><Relationship Id="rId147" Type="http://schemas.openxmlformats.org/officeDocument/2006/relationships/image" Target="../media/image342.png"/><Relationship Id="rId148" Type="http://schemas.openxmlformats.org/officeDocument/2006/relationships/image" Target="../media/image1189.jpeg"/><Relationship Id="rId149" Type="http://schemas.openxmlformats.org/officeDocument/2006/relationships/image" Target="../media/image1190.jpeg"/><Relationship Id="rId150" Type="http://schemas.openxmlformats.org/officeDocument/2006/relationships/image" Target="../media/image1191.jpeg"/><Relationship Id="rId151" Type="http://schemas.openxmlformats.org/officeDocument/2006/relationships/image" Target="../media/image1192.jpeg"/><Relationship Id="rId152" Type="http://schemas.openxmlformats.org/officeDocument/2006/relationships/image" Target="../media/image1193.jpeg"/><Relationship Id="rId153" Type="http://schemas.openxmlformats.org/officeDocument/2006/relationships/image" Target="../media/image1190.jpeg"/><Relationship Id="rId154" Type="http://schemas.openxmlformats.org/officeDocument/2006/relationships/image" Target="../media/image1194.jpeg"/><Relationship Id="rId155" Type="http://schemas.openxmlformats.org/officeDocument/2006/relationships/image" Target="../media/image1195.jpeg"/><Relationship Id="rId156" Type="http://schemas.openxmlformats.org/officeDocument/2006/relationships/image" Target="../media/image1196.jpeg"/><Relationship Id="rId157" Type="http://schemas.openxmlformats.org/officeDocument/2006/relationships/image" Target="../media/image1197.jpeg"/><Relationship Id="rId158" Type="http://schemas.openxmlformats.org/officeDocument/2006/relationships/image" Target="../media/image1194.jpeg"/><Relationship Id="rId159" Type="http://schemas.openxmlformats.org/officeDocument/2006/relationships/image" Target="../media/image1198.jpeg"/><Relationship Id="rId160" Type="http://schemas.openxmlformats.org/officeDocument/2006/relationships/image" Target="../media/image1199.jpeg"/><Relationship Id="rId161" Type="http://schemas.openxmlformats.org/officeDocument/2006/relationships/image" Target="../media/image1200.jpeg"/><Relationship Id="rId162" Type="http://schemas.openxmlformats.org/officeDocument/2006/relationships/image" Target="../media/image1201.jpeg"/><Relationship Id="rId163" Type="http://schemas.openxmlformats.org/officeDocument/2006/relationships/image" Target="../media/image1202.jpeg"/><Relationship Id="rId164" Type="http://schemas.openxmlformats.org/officeDocument/2006/relationships/image" Target="../media/image1203.jpeg"/><Relationship Id="rId165" Type="http://schemas.openxmlformats.org/officeDocument/2006/relationships/image" Target="../media/image1201.jpeg"/><Relationship Id="rId166" Type="http://schemas.openxmlformats.org/officeDocument/2006/relationships/image" Target="../media/image1204.jpeg"/><Relationship Id="rId167" Type="http://schemas.openxmlformats.org/officeDocument/2006/relationships/image" Target="../media/image1205.jpeg"/><Relationship Id="rId168" Type="http://schemas.openxmlformats.org/officeDocument/2006/relationships/image" Target="../media/image1206.jpeg"/><Relationship Id="rId169" Type="http://schemas.openxmlformats.org/officeDocument/2006/relationships/image" Target="../media/image1204.jpeg"/><Relationship Id="rId170" Type="http://schemas.openxmlformats.org/officeDocument/2006/relationships/image" Target="../media/image1207.jpeg"/><Relationship Id="rId171" Type="http://schemas.openxmlformats.org/officeDocument/2006/relationships/image" Target="../media/image1208.jpeg"/><Relationship Id="rId172" Type="http://schemas.openxmlformats.org/officeDocument/2006/relationships/image" Target="../media/image342.png"/><Relationship Id="rId173" Type="http://schemas.openxmlformats.org/officeDocument/2006/relationships/image" Target="../media/image342.png"/><Relationship Id="rId174" Type="http://schemas.openxmlformats.org/officeDocument/2006/relationships/image" Target="../media/image342.png"/><Relationship Id="rId175" Type="http://schemas.openxmlformats.org/officeDocument/2006/relationships/image" Target="../media/image342.png"/><Relationship Id="rId176" Type="http://schemas.openxmlformats.org/officeDocument/2006/relationships/image" Target="../media/image342.png"/><Relationship Id="rId177" Type="http://schemas.openxmlformats.org/officeDocument/2006/relationships/image" Target="../media/image342.png"/><Relationship Id="rId178" Type="http://schemas.openxmlformats.org/officeDocument/2006/relationships/image" Target="../media/image342.png"/><Relationship Id="rId179" Type="http://schemas.openxmlformats.org/officeDocument/2006/relationships/image" Target="../media/image342.png"/><Relationship Id="rId180" Type="http://schemas.openxmlformats.org/officeDocument/2006/relationships/image" Target="../media/image342.png"/><Relationship Id="rId181" Type="http://schemas.openxmlformats.org/officeDocument/2006/relationships/image" Target="../media/image342.png"/><Relationship Id="rId182" Type="http://schemas.openxmlformats.org/officeDocument/2006/relationships/image" Target="../media/image342.png"/><Relationship Id="rId183" Type="http://schemas.openxmlformats.org/officeDocument/2006/relationships/image" Target="../media/image342.png"/><Relationship Id="rId184" Type="http://schemas.openxmlformats.org/officeDocument/2006/relationships/image" Target="../media/image1209.png"/><Relationship Id="rId185" Type="http://schemas.openxmlformats.org/officeDocument/2006/relationships/image" Target="../media/image1210.png"/><Relationship Id="rId186" Type="http://schemas.openxmlformats.org/officeDocument/2006/relationships/image" Target="../media/image1211.jpeg"/><Relationship Id="rId187" Type="http://schemas.openxmlformats.org/officeDocument/2006/relationships/image" Target="../media/image1212.jpeg"/><Relationship Id="rId188" Type="http://schemas.openxmlformats.org/officeDocument/2006/relationships/image" Target="../media/image1213.jpeg"/><Relationship Id="rId189" Type="http://schemas.openxmlformats.org/officeDocument/2006/relationships/image" Target="../media/image1214.jpeg"/><Relationship Id="rId190" Type="http://schemas.openxmlformats.org/officeDocument/2006/relationships/image" Target="../media/image1215.jpeg"/><Relationship Id="rId191" Type="http://schemas.openxmlformats.org/officeDocument/2006/relationships/image" Target="../media/image1216.jpeg"/><Relationship Id="rId192" Type="http://schemas.openxmlformats.org/officeDocument/2006/relationships/image" Target="../media/image1063.png"/><Relationship Id="rId193" Type="http://schemas.openxmlformats.org/officeDocument/2006/relationships/image" Target="../media/image1063.png"/><Relationship Id="rId194" Type="http://schemas.openxmlformats.org/officeDocument/2006/relationships/image" Target="../media/image1217.jpeg"/><Relationship Id="rId195" Type="http://schemas.openxmlformats.org/officeDocument/2006/relationships/image" Target="../media/image1218.jpeg"/><Relationship Id="rId196" Type="http://schemas.openxmlformats.org/officeDocument/2006/relationships/image" Target="../media/image1198.jpeg"/><Relationship Id="rId197" Type="http://schemas.openxmlformats.org/officeDocument/2006/relationships/image" Target="../media/image1219.jpeg"/><Relationship Id="rId198" Type="http://schemas.openxmlformats.org/officeDocument/2006/relationships/image" Target="../media/image1220.jpeg"/><Relationship Id="rId199" Type="http://schemas.openxmlformats.org/officeDocument/2006/relationships/image" Target="../media/image1221.jpeg"/><Relationship Id="rId200" Type="http://schemas.openxmlformats.org/officeDocument/2006/relationships/image" Target="../media/image1222.jpeg"/><Relationship Id="rId201" Type="http://schemas.openxmlformats.org/officeDocument/2006/relationships/image" Target="../media/image1223.jpeg"/><Relationship Id="rId202" Type="http://schemas.openxmlformats.org/officeDocument/2006/relationships/image" Target="../media/image1224.jpeg"/><Relationship Id="rId203" Type="http://schemas.openxmlformats.org/officeDocument/2006/relationships/image" Target="../media/image1222.jpeg"/><Relationship Id="rId204" Type="http://schemas.openxmlformats.org/officeDocument/2006/relationships/image" Target="../media/image1225.jpeg"/><Relationship Id="rId205" Type="http://schemas.openxmlformats.org/officeDocument/2006/relationships/image" Target="../media/image1226.jpeg"/><Relationship Id="rId206" Type="http://schemas.openxmlformats.org/officeDocument/2006/relationships/image" Target="../media/image1200.jpeg"/><Relationship Id="rId207" Type="http://schemas.openxmlformats.org/officeDocument/2006/relationships/image" Target="../media/image1227.jpeg"/><Relationship Id="rId208" Type="http://schemas.openxmlformats.org/officeDocument/2006/relationships/image" Target="../media/image1228.jpeg"/><Relationship Id="rId209" Type="http://schemas.openxmlformats.org/officeDocument/2006/relationships/image" Target="../media/image1229.jpeg"/><Relationship Id="rId210" Type="http://schemas.openxmlformats.org/officeDocument/2006/relationships/image" Target="../media/image1230.jpeg"/><Relationship Id="rId211" Type="http://schemas.openxmlformats.org/officeDocument/2006/relationships/image" Target="../media/image1231.jpeg"/><Relationship Id="rId212" Type="http://schemas.openxmlformats.org/officeDocument/2006/relationships/image" Target="../media/image1232.jpeg"/><Relationship Id="rId213" Type="http://schemas.openxmlformats.org/officeDocument/2006/relationships/image" Target="../media/image1233.jpeg"/><Relationship Id="rId214" Type="http://schemas.openxmlformats.org/officeDocument/2006/relationships/image" Target="../media/image1234.jpeg"/><Relationship Id="rId215" Type="http://schemas.openxmlformats.org/officeDocument/2006/relationships/image" Target="../media/image1235.jpeg"/><Relationship Id="rId216" Type="http://schemas.openxmlformats.org/officeDocument/2006/relationships/image" Target="../media/image342.png"/><Relationship Id="rId217" Type="http://schemas.openxmlformats.org/officeDocument/2006/relationships/image" Target="../media/image342.png"/><Relationship Id="rId218" Type="http://schemas.openxmlformats.org/officeDocument/2006/relationships/image" Target="../media/image342.png"/><Relationship Id="rId219" Type="http://schemas.openxmlformats.org/officeDocument/2006/relationships/image" Target="../media/image342.png"/><Relationship Id="rId220" Type="http://schemas.openxmlformats.org/officeDocument/2006/relationships/image" Target="../media/image342.png"/><Relationship Id="rId221" Type="http://schemas.openxmlformats.org/officeDocument/2006/relationships/image" Target="../media/image342.png"/><Relationship Id="rId222" Type="http://schemas.openxmlformats.org/officeDocument/2006/relationships/image" Target="../media/image342.png"/><Relationship Id="rId223" Type="http://schemas.openxmlformats.org/officeDocument/2006/relationships/image" Target="../media/image342.png"/><Relationship Id="rId224" Type="http://schemas.openxmlformats.org/officeDocument/2006/relationships/image" Target="../media/image342.png"/><Relationship Id="rId225" Type="http://schemas.openxmlformats.org/officeDocument/2006/relationships/image" Target="../media/image342.png"/><Relationship Id="rId226" Type="http://schemas.openxmlformats.org/officeDocument/2006/relationships/image" Target="../media/image342.png"/><Relationship Id="rId227" Type="http://schemas.openxmlformats.org/officeDocument/2006/relationships/image" Target="../media/image342.png"/>
</Relationships>
</file>

<file path=xl/drawings/_rels/drawing17.xml.rels><?xml version="1.0" encoding="UTF-8"?>
<Relationships xmlns="http://schemas.openxmlformats.org/package/2006/relationships"><Relationship Id="rId1" Type="http://schemas.openxmlformats.org/officeDocument/2006/relationships/image" Target="../media/image1236.jpeg"/><Relationship Id="rId2" Type="http://schemas.openxmlformats.org/officeDocument/2006/relationships/image" Target="../media/image1237.jpeg"/><Relationship Id="rId3" Type="http://schemas.openxmlformats.org/officeDocument/2006/relationships/image" Target="../media/image1238.jpeg"/>
</Relationships>
</file>

<file path=xl/drawings/_rels/drawing18.xml.rels><?xml version="1.0" encoding="UTF-8"?>
<Relationships xmlns="http://schemas.openxmlformats.org/package/2006/relationships"><Relationship Id="rId1" Type="http://schemas.openxmlformats.org/officeDocument/2006/relationships/image" Target="../media/image1239.jpeg"/><Relationship Id="rId2" Type="http://schemas.openxmlformats.org/officeDocument/2006/relationships/image" Target="../media/image1239.jpeg"/><Relationship Id="rId3" Type="http://schemas.openxmlformats.org/officeDocument/2006/relationships/image" Target="../media/image1239.jpeg"/><Relationship Id="rId4" Type="http://schemas.openxmlformats.org/officeDocument/2006/relationships/image" Target="../media/image1240.jpeg"/><Relationship Id="rId5" Type="http://schemas.openxmlformats.org/officeDocument/2006/relationships/image" Target="../media/image1240.jpeg"/><Relationship Id="rId6" Type="http://schemas.openxmlformats.org/officeDocument/2006/relationships/image" Target="../media/image1241.jpeg"/><Relationship Id="rId7" Type="http://schemas.openxmlformats.org/officeDocument/2006/relationships/image" Target="../media/image1242.jpeg"/><Relationship Id="rId8" Type="http://schemas.openxmlformats.org/officeDocument/2006/relationships/image" Target="../media/image1243.jpeg"/><Relationship Id="rId9" Type="http://schemas.openxmlformats.org/officeDocument/2006/relationships/image" Target="../media/image1244.jpeg"/><Relationship Id="rId10" Type="http://schemas.openxmlformats.org/officeDocument/2006/relationships/image" Target="../media/image1245.jpeg"/><Relationship Id="rId11" Type="http://schemas.openxmlformats.org/officeDocument/2006/relationships/image" Target="../media/image1246.jpeg"/><Relationship Id="rId12" Type="http://schemas.openxmlformats.org/officeDocument/2006/relationships/image" Target="../media/image1247.jpeg"/><Relationship Id="rId13" Type="http://schemas.openxmlformats.org/officeDocument/2006/relationships/image" Target="../media/image1248.jpeg"/><Relationship Id="rId14" Type="http://schemas.openxmlformats.org/officeDocument/2006/relationships/image" Target="../media/image1249.jpeg"/><Relationship Id="rId15" Type="http://schemas.openxmlformats.org/officeDocument/2006/relationships/image" Target="../media/image1250.jpeg"/><Relationship Id="rId16" Type="http://schemas.openxmlformats.org/officeDocument/2006/relationships/image" Target="../media/image1251.jpeg"/><Relationship Id="rId17" Type="http://schemas.openxmlformats.org/officeDocument/2006/relationships/image" Target="../media/image1252.jpeg"/><Relationship Id="rId18" Type="http://schemas.openxmlformats.org/officeDocument/2006/relationships/image" Target="../media/image1253.jpeg"/>
</Relationships>
</file>

<file path=xl/drawings/_rels/drawing19.xml.rels><?xml version="1.0" encoding="UTF-8"?>
<Relationships xmlns="http://schemas.openxmlformats.org/package/2006/relationships"><Relationship Id="rId1" Type="http://schemas.openxmlformats.org/officeDocument/2006/relationships/image" Target="../media/image1254.png"/><Relationship Id="rId2" Type="http://schemas.openxmlformats.org/officeDocument/2006/relationships/image" Target="../media/image1255.png"/><Relationship Id="rId3" Type="http://schemas.openxmlformats.org/officeDocument/2006/relationships/image" Target="../media/image1256.png"/><Relationship Id="rId4" Type="http://schemas.openxmlformats.org/officeDocument/2006/relationships/image" Target="../media/image1257.jpeg"/><Relationship Id="rId5" Type="http://schemas.openxmlformats.org/officeDocument/2006/relationships/image" Target="../media/image1258.png"/><Relationship Id="rId6" Type="http://schemas.openxmlformats.org/officeDocument/2006/relationships/image" Target="../media/image1259.jpeg"/><Relationship Id="rId7" Type="http://schemas.openxmlformats.org/officeDocument/2006/relationships/image" Target="../media/image1260.png"/><Relationship Id="rId8" Type="http://schemas.openxmlformats.org/officeDocument/2006/relationships/image" Target="../media/image1261.png"/><Relationship Id="rId9" Type="http://schemas.openxmlformats.org/officeDocument/2006/relationships/image" Target="../media/image1262.jpeg"/><Relationship Id="rId10" Type="http://schemas.openxmlformats.org/officeDocument/2006/relationships/image" Target="../media/image1263.jpeg"/><Relationship Id="rId11" Type="http://schemas.openxmlformats.org/officeDocument/2006/relationships/image" Target="../media/image1264.jpeg"/><Relationship Id="rId12" Type="http://schemas.openxmlformats.org/officeDocument/2006/relationships/image" Target="../media/image1265.jpeg"/><Relationship Id="rId13" Type="http://schemas.openxmlformats.org/officeDocument/2006/relationships/image" Target="../media/image1266.jpeg"/><Relationship Id="rId14" Type="http://schemas.openxmlformats.org/officeDocument/2006/relationships/image" Target="../media/image1267.jpeg"/><Relationship Id="rId15" Type="http://schemas.openxmlformats.org/officeDocument/2006/relationships/image" Target="../media/image1268.jpeg"/><Relationship Id="rId16" Type="http://schemas.openxmlformats.org/officeDocument/2006/relationships/image" Target="../media/image1269.jpeg"/><Relationship Id="rId17" Type="http://schemas.openxmlformats.org/officeDocument/2006/relationships/image" Target="../media/image1270.jpeg"/><Relationship Id="rId18" Type="http://schemas.openxmlformats.org/officeDocument/2006/relationships/image" Target="../media/image1271.png"/><Relationship Id="rId19" Type="http://schemas.openxmlformats.org/officeDocument/2006/relationships/image" Target="../media/image1272.jpeg"/><Relationship Id="rId20" Type="http://schemas.openxmlformats.org/officeDocument/2006/relationships/image" Target="../media/image1273.png"/><Relationship Id="rId21" Type="http://schemas.openxmlformats.org/officeDocument/2006/relationships/image" Target="../media/image1274.png"/><Relationship Id="rId22" Type="http://schemas.openxmlformats.org/officeDocument/2006/relationships/image" Target="../media/image1275.png"/><Relationship Id="rId23" Type="http://schemas.openxmlformats.org/officeDocument/2006/relationships/image" Target="../media/image1276.png"/><Relationship Id="rId24" Type="http://schemas.openxmlformats.org/officeDocument/2006/relationships/image" Target="../media/image1277.png"/><Relationship Id="rId25" Type="http://schemas.openxmlformats.org/officeDocument/2006/relationships/image" Target="../media/image1278.png"/><Relationship Id="rId26" Type="http://schemas.openxmlformats.org/officeDocument/2006/relationships/image" Target="../media/image1279.png"/><Relationship Id="rId27" Type="http://schemas.openxmlformats.org/officeDocument/2006/relationships/image" Target="../media/image1280.png"/><Relationship Id="rId28" Type="http://schemas.openxmlformats.org/officeDocument/2006/relationships/image" Target="../media/image128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38160</xdr:colOff>
      <xdr:row>190</xdr:row>
      <xdr:rowOff>114120</xdr:rowOff>
    </xdr:from>
    <xdr:to>
      <xdr:col>2</xdr:col>
      <xdr:colOff>1208880</xdr:colOff>
      <xdr:row>190</xdr:row>
      <xdr:rowOff>1283040</xdr:rowOff>
    </xdr:to>
    <xdr:pic>
      <xdr:nvPicPr>
        <xdr:cNvPr id="1" name="图片 155" descr="C:/Users/Ray/AppData/Local/Temp/picturecompress_20211118150910/output_1.jpgoutput_1"/>
        <xdr:cNvPicPr/>
      </xdr:nvPicPr>
      <xdr:blipFill>
        <a:blip r:embed="rId1"/>
        <a:stretch/>
      </xdr:blipFill>
      <xdr:spPr>
        <a:xfrm>
          <a:off x="5605920" y="187251840"/>
          <a:ext cx="1170720" cy="1168920"/>
        </a:xfrm>
        <a:prstGeom prst="rect">
          <a:avLst/>
        </a:prstGeom>
        <a:noFill/>
        <a:ln w="9525">
          <a:noFill/>
        </a:ln>
      </xdr:spPr>
    </xdr:pic>
    <xdr:clientData/>
  </xdr:twoCellAnchor>
  <xdr:twoCellAnchor editAs="oneCell">
    <xdr:from>
      <xdr:col>2</xdr:col>
      <xdr:colOff>38160</xdr:colOff>
      <xdr:row>192</xdr:row>
      <xdr:rowOff>114120</xdr:rowOff>
    </xdr:from>
    <xdr:to>
      <xdr:col>2</xdr:col>
      <xdr:colOff>1208880</xdr:colOff>
      <xdr:row>192</xdr:row>
      <xdr:rowOff>1283040</xdr:rowOff>
    </xdr:to>
    <xdr:pic>
      <xdr:nvPicPr>
        <xdr:cNvPr id="2" name="图片 155" descr="C:/Users/Ray/AppData/Local/Temp/picturecompress_20211118150910/output_2.jpgoutput_2"/>
        <xdr:cNvPicPr/>
      </xdr:nvPicPr>
      <xdr:blipFill>
        <a:blip r:embed="rId2"/>
        <a:stretch/>
      </xdr:blipFill>
      <xdr:spPr>
        <a:xfrm>
          <a:off x="5605920" y="190048320"/>
          <a:ext cx="1170720" cy="1168920"/>
        </a:xfrm>
        <a:prstGeom prst="rect">
          <a:avLst/>
        </a:prstGeom>
        <a:noFill/>
        <a:ln w="9525">
          <a:noFill/>
        </a:ln>
      </xdr:spPr>
    </xdr:pic>
    <xdr:clientData/>
  </xdr:twoCellAnchor>
  <xdr:twoCellAnchor editAs="oneCell">
    <xdr:from>
      <xdr:col>2</xdr:col>
      <xdr:colOff>38160</xdr:colOff>
      <xdr:row>191</xdr:row>
      <xdr:rowOff>114120</xdr:rowOff>
    </xdr:from>
    <xdr:to>
      <xdr:col>2</xdr:col>
      <xdr:colOff>1208880</xdr:colOff>
      <xdr:row>191</xdr:row>
      <xdr:rowOff>1283040</xdr:rowOff>
    </xdr:to>
    <xdr:pic>
      <xdr:nvPicPr>
        <xdr:cNvPr id="3" name="图片 155" descr="C:/Users/Ray/AppData/Local/Temp/picturecompress_20211118150910/output_3.jpgoutput_3"/>
        <xdr:cNvPicPr/>
      </xdr:nvPicPr>
      <xdr:blipFill>
        <a:blip r:embed="rId3"/>
        <a:stretch/>
      </xdr:blipFill>
      <xdr:spPr>
        <a:xfrm>
          <a:off x="5605920" y="188650080"/>
          <a:ext cx="1170720" cy="1168920"/>
        </a:xfrm>
        <a:prstGeom prst="rect">
          <a:avLst/>
        </a:prstGeom>
        <a:noFill/>
        <a:ln w="9525">
          <a:noFill/>
        </a:ln>
      </xdr:spPr>
    </xdr:pic>
    <xdr:clientData/>
  </xdr:twoCellAnchor>
  <xdr:twoCellAnchor editAs="oneCell">
    <xdr:from>
      <xdr:col>2</xdr:col>
      <xdr:colOff>38160</xdr:colOff>
      <xdr:row>193</xdr:row>
      <xdr:rowOff>114120</xdr:rowOff>
    </xdr:from>
    <xdr:to>
      <xdr:col>2</xdr:col>
      <xdr:colOff>1208880</xdr:colOff>
      <xdr:row>193</xdr:row>
      <xdr:rowOff>1283040</xdr:rowOff>
    </xdr:to>
    <xdr:pic>
      <xdr:nvPicPr>
        <xdr:cNvPr id="4" name="图片 155" descr="C:/Users/Ray/AppData/Local/Temp/picturecompress_20211118150910/output_4.jpgoutput_4"/>
        <xdr:cNvPicPr/>
      </xdr:nvPicPr>
      <xdr:blipFill>
        <a:blip r:embed="rId4"/>
        <a:stretch/>
      </xdr:blipFill>
      <xdr:spPr>
        <a:xfrm>
          <a:off x="5605920" y="191446560"/>
          <a:ext cx="1170720" cy="1168920"/>
        </a:xfrm>
        <a:prstGeom prst="rect">
          <a:avLst/>
        </a:prstGeom>
        <a:noFill/>
        <a:ln w="9525">
          <a:noFill/>
        </a:ln>
      </xdr:spPr>
    </xdr:pic>
    <xdr:clientData/>
  </xdr:twoCellAnchor>
  <xdr:twoCellAnchor editAs="oneCell">
    <xdr:from>
      <xdr:col>2</xdr:col>
      <xdr:colOff>38160</xdr:colOff>
      <xdr:row>195</xdr:row>
      <xdr:rowOff>114120</xdr:rowOff>
    </xdr:from>
    <xdr:to>
      <xdr:col>2</xdr:col>
      <xdr:colOff>1208880</xdr:colOff>
      <xdr:row>195</xdr:row>
      <xdr:rowOff>1283040</xdr:rowOff>
    </xdr:to>
    <xdr:pic>
      <xdr:nvPicPr>
        <xdr:cNvPr id="5" name="图片 155" descr="C:/Users/Ray/AppData/Local/Temp/picturecompress_20211118150910/output_5.jpgoutput_5"/>
        <xdr:cNvPicPr/>
      </xdr:nvPicPr>
      <xdr:blipFill>
        <a:blip r:embed="rId5"/>
        <a:stretch/>
      </xdr:blipFill>
      <xdr:spPr>
        <a:xfrm>
          <a:off x="5605920" y="194243040"/>
          <a:ext cx="1170720" cy="1168920"/>
        </a:xfrm>
        <a:prstGeom prst="rect">
          <a:avLst/>
        </a:prstGeom>
        <a:noFill/>
        <a:ln w="9525">
          <a:noFill/>
        </a:ln>
      </xdr:spPr>
    </xdr:pic>
    <xdr:clientData/>
  </xdr:twoCellAnchor>
  <xdr:twoCellAnchor editAs="oneCell">
    <xdr:from>
      <xdr:col>2</xdr:col>
      <xdr:colOff>38160</xdr:colOff>
      <xdr:row>194</xdr:row>
      <xdr:rowOff>114120</xdr:rowOff>
    </xdr:from>
    <xdr:to>
      <xdr:col>2</xdr:col>
      <xdr:colOff>1208880</xdr:colOff>
      <xdr:row>194</xdr:row>
      <xdr:rowOff>1283040</xdr:rowOff>
    </xdr:to>
    <xdr:pic>
      <xdr:nvPicPr>
        <xdr:cNvPr id="6" name="图片 155" descr="C:/Users/Ray/AppData/Local/Temp/picturecompress_20211118150910/output_6.jpgoutput_6"/>
        <xdr:cNvPicPr/>
      </xdr:nvPicPr>
      <xdr:blipFill>
        <a:blip r:embed="rId6"/>
        <a:stretch/>
      </xdr:blipFill>
      <xdr:spPr>
        <a:xfrm>
          <a:off x="5605920" y="192844800"/>
          <a:ext cx="1170720" cy="1168920"/>
        </a:xfrm>
        <a:prstGeom prst="rect">
          <a:avLst/>
        </a:prstGeom>
        <a:noFill/>
        <a:ln w="9525">
          <a:noFill/>
        </a:ln>
      </xdr:spPr>
    </xdr:pic>
    <xdr:clientData/>
  </xdr:twoCellAnchor>
  <xdr:twoCellAnchor editAs="oneCell">
    <xdr:from>
      <xdr:col>2</xdr:col>
      <xdr:colOff>38160</xdr:colOff>
      <xdr:row>196</xdr:row>
      <xdr:rowOff>114120</xdr:rowOff>
    </xdr:from>
    <xdr:to>
      <xdr:col>2</xdr:col>
      <xdr:colOff>1208880</xdr:colOff>
      <xdr:row>196</xdr:row>
      <xdr:rowOff>1283040</xdr:rowOff>
    </xdr:to>
    <xdr:pic>
      <xdr:nvPicPr>
        <xdr:cNvPr id="7" name="图片 155" descr="C:/Users/Ray/AppData/Local/Temp/picturecompress_20211118150910/output_7.jpgoutput_7"/>
        <xdr:cNvPicPr/>
      </xdr:nvPicPr>
      <xdr:blipFill>
        <a:blip r:embed="rId7"/>
        <a:stretch/>
      </xdr:blipFill>
      <xdr:spPr>
        <a:xfrm>
          <a:off x="5605920" y="195641280"/>
          <a:ext cx="1170720" cy="1168920"/>
        </a:xfrm>
        <a:prstGeom prst="rect">
          <a:avLst/>
        </a:prstGeom>
        <a:noFill/>
        <a:ln w="9525">
          <a:noFill/>
        </a:ln>
      </xdr:spPr>
    </xdr:pic>
    <xdr:clientData/>
  </xdr:twoCellAnchor>
  <xdr:twoCellAnchor editAs="oneCell">
    <xdr:from>
      <xdr:col>2</xdr:col>
      <xdr:colOff>38160</xdr:colOff>
      <xdr:row>198</xdr:row>
      <xdr:rowOff>114120</xdr:rowOff>
    </xdr:from>
    <xdr:to>
      <xdr:col>2</xdr:col>
      <xdr:colOff>1208880</xdr:colOff>
      <xdr:row>198</xdr:row>
      <xdr:rowOff>1283040</xdr:rowOff>
    </xdr:to>
    <xdr:pic>
      <xdr:nvPicPr>
        <xdr:cNvPr id="8" name="图片 155" descr="C:/Users/Ray/AppData/Local/Temp/picturecompress_20211118150910/output_8.jpgoutput_8"/>
        <xdr:cNvPicPr/>
      </xdr:nvPicPr>
      <xdr:blipFill>
        <a:blip r:embed="rId8"/>
        <a:stretch/>
      </xdr:blipFill>
      <xdr:spPr>
        <a:xfrm>
          <a:off x="5605920" y="198438120"/>
          <a:ext cx="1170720" cy="1168920"/>
        </a:xfrm>
        <a:prstGeom prst="rect">
          <a:avLst/>
        </a:prstGeom>
        <a:noFill/>
        <a:ln w="9525">
          <a:noFill/>
        </a:ln>
      </xdr:spPr>
    </xdr:pic>
    <xdr:clientData/>
  </xdr:twoCellAnchor>
  <xdr:twoCellAnchor editAs="oneCell">
    <xdr:from>
      <xdr:col>2</xdr:col>
      <xdr:colOff>38160</xdr:colOff>
      <xdr:row>197</xdr:row>
      <xdr:rowOff>114120</xdr:rowOff>
    </xdr:from>
    <xdr:to>
      <xdr:col>2</xdr:col>
      <xdr:colOff>1208880</xdr:colOff>
      <xdr:row>197</xdr:row>
      <xdr:rowOff>1283040</xdr:rowOff>
    </xdr:to>
    <xdr:pic>
      <xdr:nvPicPr>
        <xdr:cNvPr id="9" name="图片 155" descr="C:/Users/Ray/AppData/Local/Temp/picturecompress_20211118150910/output_9.jpgoutput_9"/>
        <xdr:cNvPicPr/>
      </xdr:nvPicPr>
      <xdr:blipFill>
        <a:blip r:embed="rId9"/>
        <a:stretch/>
      </xdr:blipFill>
      <xdr:spPr>
        <a:xfrm>
          <a:off x="5605920" y="197039520"/>
          <a:ext cx="1170720" cy="1168920"/>
        </a:xfrm>
        <a:prstGeom prst="rect">
          <a:avLst/>
        </a:prstGeom>
        <a:noFill/>
        <a:ln w="9525">
          <a:noFill/>
        </a:ln>
      </xdr:spPr>
    </xdr:pic>
    <xdr:clientData/>
  </xdr:twoCellAnchor>
  <xdr:twoCellAnchor editAs="oneCell">
    <xdr:from>
      <xdr:col>2</xdr:col>
      <xdr:colOff>38160</xdr:colOff>
      <xdr:row>184</xdr:row>
      <xdr:rowOff>104400</xdr:rowOff>
    </xdr:from>
    <xdr:to>
      <xdr:col>2</xdr:col>
      <xdr:colOff>1208880</xdr:colOff>
      <xdr:row>185</xdr:row>
      <xdr:rowOff>593280</xdr:rowOff>
    </xdr:to>
    <xdr:pic>
      <xdr:nvPicPr>
        <xdr:cNvPr id="10" name="图片 2" descr="C:/Users/Ray/AppData/Local/Temp/picturecompress_20211118150910/output_29.jpgoutput_29"/>
        <xdr:cNvPicPr/>
      </xdr:nvPicPr>
      <xdr:blipFill>
        <a:blip r:embed="rId10"/>
        <a:stretch/>
      </xdr:blipFill>
      <xdr:spPr>
        <a:xfrm>
          <a:off x="5605920" y="183051000"/>
          <a:ext cx="1170720" cy="1187280"/>
        </a:xfrm>
        <a:prstGeom prst="rect">
          <a:avLst/>
        </a:prstGeom>
        <a:noFill/>
        <a:ln w="9525">
          <a:noFill/>
        </a:ln>
      </xdr:spPr>
    </xdr:pic>
    <xdr:clientData/>
  </xdr:twoCellAnchor>
  <xdr:twoCellAnchor editAs="oneCell">
    <xdr:from>
      <xdr:col>2</xdr:col>
      <xdr:colOff>38160</xdr:colOff>
      <xdr:row>186</xdr:row>
      <xdr:rowOff>104400</xdr:rowOff>
    </xdr:from>
    <xdr:to>
      <xdr:col>2</xdr:col>
      <xdr:colOff>1208880</xdr:colOff>
      <xdr:row>187</xdr:row>
      <xdr:rowOff>593280</xdr:rowOff>
    </xdr:to>
    <xdr:pic>
      <xdr:nvPicPr>
        <xdr:cNvPr id="11" name="图片 4" descr="C:/Users/Ray/AppData/Local/Temp/picturecompress_20211118150910/output_30.jpgoutput_30"/>
        <xdr:cNvPicPr/>
      </xdr:nvPicPr>
      <xdr:blipFill>
        <a:blip r:embed="rId11"/>
        <a:stretch/>
      </xdr:blipFill>
      <xdr:spPr>
        <a:xfrm>
          <a:off x="5605920" y="184448160"/>
          <a:ext cx="1170720" cy="1187280"/>
        </a:xfrm>
        <a:prstGeom prst="rect">
          <a:avLst/>
        </a:prstGeom>
        <a:noFill/>
        <a:ln w="9525">
          <a:noFill/>
        </a:ln>
      </xdr:spPr>
    </xdr:pic>
    <xdr:clientData/>
  </xdr:twoCellAnchor>
  <xdr:twoCellAnchor editAs="oneCell">
    <xdr:from>
      <xdr:col>2</xdr:col>
      <xdr:colOff>38160</xdr:colOff>
      <xdr:row>188</xdr:row>
      <xdr:rowOff>104760</xdr:rowOff>
    </xdr:from>
    <xdr:to>
      <xdr:col>2</xdr:col>
      <xdr:colOff>1208880</xdr:colOff>
      <xdr:row>189</xdr:row>
      <xdr:rowOff>592560</xdr:rowOff>
    </xdr:to>
    <xdr:pic>
      <xdr:nvPicPr>
        <xdr:cNvPr id="12" name="图片 5" descr="C:/Users/Ray/AppData/Local/Temp/picturecompress_20211118150910/output_31.jpgoutput_31"/>
        <xdr:cNvPicPr/>
      </xdr:nvPicPr>
      <xdr:blipFill>
        <a:blip r:embed="rId12"/>
        <a:stretch/>
      </xdr:blipFill>
      <xdr:spPr>
        <a:xfrm>
          <a:off x="5605920" y="185845320"/>
          <a:ext cx="1170720" cy="1186560"/>
        </a:xfrm>
        <a:prstGeom prst="rect">
          <a:avLst/>
        </a:prstGeom>
        <a:noFill/>
        <a:ln w="9525">
          <a:noFill/>
        </a:ln>
      </xdr:spPr>
    </xdr:pic>
    <xdr:clientData/>
  </xdr:twoCellAnchor>
  <xdr:twoCellAnchor editAs="oneCell">
    <xdr:from>
      <xdr:col>2</xdr:col>
      <xdr:colOff>38160</xdr:colOff>
      <xdr:row>73</xdr:row>
      <xdr:rowOff>106920</xdr:rowOff>
    </xdr:from>
    <xdr:to>
      <xdr:col>2</xdr:col>
      <xdr:colOff>1208880</xdr:colOff>
      <xdr:row>74</xdr:row>
      <xdr:rowOff>590760</xdr:rowOff>
    </xdr:to>
    <xdr:pic>
      <xdr:nvPicPr>
        <xdr:cNvPr id="13" name="图片 20" descr="C:/Users/Ray/AppData/Local/Temp/picturecompress_20211118150910/output_65.jpgoutput_65"/>
        <xdr:cNvPicPr/>
      </xdr:nvPicPr>
      <xdr:blipFill>
        <a:blip r:embed="rId13"/>
        <a:stretch/>
      </xdr:blipFill>
      <xdr:spPr>
        <a:xfrm>
          <a:off x="5605920" y="67518360"/>
          <a:ext cx="1170720" cy="1182600"/>
        </a:xfrm>
        <a:prstGeom prst="rect">
          <a:avLst/>
        </a:prstGeom>
        <a:noFill/>
        <a:ln w="9525">
          <a:noFill/>
        </a:ln>
      </xdr:spPr>
    </xdr:pic>
    <xdr:clientData/>
  </xdr:twoCellAnchor>
  <xdr:twoCellAnchor editAs="oneCell">
    <xdr:from>
      <xdr:col>2</xdr:col>
      <xdr:colOff>38160</xdr:colOff>
      <xdr:row>70</xdr:row>
      <xdr:rowOff>108360</xdr:rowOff>
    </xdr:from>
    <xdr:to>
      <xdr:col>2</xdr:col>
      <xdr:colOff>1208880</xdr:colOff>
      <xdr:row>71</xdr:row>
      <xdr:rowOff>589680</xdr:rowOff>
    </xdr:to>
    <xdr:pic>
      <xdr:nvPicPr>
        <xdr:cNvPr id="14" name="图片 21" descr="C:/Users/Ray/AppData/Local/Temp/picturecompress_20211118150910/output_66.jpgoutput_66"/>
        <xdr:cNvPicPr/>
      </xdr:nvPicPr>
      <xdr:blipFill>
        <a:blip r:embed="rId14"/>
        <a:stretch/>
      </xdr:blipFill>
      <xdr:spPr>
        <a:xfrm>
          <a:off x="5605920" y="64662480"/>
          <a:ext cx="1170720" cy="1179720"/>
        </a:xfrm>
        <a:prstGeom prst="rect">
          <a:avLst/>
        </a:prstGeom>
        <a:noFill/>
        <a:ln w="9525">
          <a:noFill/>
        </a:ln>
      </xdr:spPr>
    </xdr:pic>
    <xdr:clientData/>
  </xdr:twoCellAnchor>
  <xdr:twoCellAnchor editAs="oneCell">
    <xdr:from>
      <xdr:col>1</xdr:col>
      <xdr:colOff>38160</xdr:colOff>
      <xdr:row>70</xdr:row>
      <xdr:rowOff>108000</xdr:rowOff>
    </xdr:from>
    <xdr:to>
      <xdr:col>1</xdr:col>
      <xdr:colOff>1208880</xdr:colOff>
      <xdr:row>71</xdr:row>
      <xdr:rowOff>589680</xdr:rowOff>
    </xdr:to>
    <xdr:pic>
      <xdr:nvPicPr>
        <xdr:cNvPr id="15" name="图片 29" descr="C:/Users/Ray/AppData/Local/Temp/picturecompress_20211118150910/output_111.jpgoutput_111"/>
        <xdr:cNvPicPr/>
      </xdr:nvPicPr>
      <xdr:blipFill>
        <a:blip r:embed="rId15"/>
        <a:stretch/>
      </xdr:blipFill>
      <xdr:spPr>
        <a:xfrm>
          <a:off x="4039920" y="64662120"/>
          <a:ext cx="1170720" cy="1180080"/>
        </a:xfrm>
        <a:prstGeom prst="rect">
          <a:avLst/>
        </a:prstGeom>
        <a:noFill/>
        <a:ln w="9525">
          <a:noFill/>
        </a:ln>
      </xdr:spPr>
    </xdr:pic>
    <xdr:clientData/>
  </xdr:twoCellAnchor>
  <xdr:twoCellAnchor editAs="oneCell">
    <xdr:from>
      <xdr:col>1</xdr:col>
      <xdr:colOff>38160</xdr:colOff>
      <xdr:row>73</xdr:row>
      <xdr:rowOff>111960</xdr:rowOff>
    </xdr:from>
    <xdr:to>
      <xdr:col>1</xdr:col>
      <xdr:colOff>1208880</xdr:colOff>
      <xdr:row>74</xdr:row>
      <xdr:rowOff>585360</xdr:rowOff>
    </xdr:to>
    <xdr:pic>
      <xdr:nvPicPr>
        <xdr:cNvPr id="16" name="图片 31" descr="C:/Users/Ray/AppData/Local/Temp/picturecompress_20211118150910/output_113.jpgoutput_113"/>
        <xdr:cNvPicPr/>
      </xdr:nvPicPr>
      <xdr:blipFill>
        <a:blip r:embed="rId16"/>
        <a:stretch/>
      </xdr:blipFill>
      <xdr:spPr>
        <a:xfrm>
          <a:off x="4039920" y="67523400"/>
          <a:ext cx="1170720" cy="1172160"/>
        </a:xfrm>
        <a:prstGeom prst="rect">
          <a:avLst/>
        </a:prstGeom>
        <a:noFill/>
        <a:ln w="9525">
          <a:noFill/>
        </a:ln>
      </xdr:spPr>
    </xdr:pic>
    <xdr:clientData/>
  </xdr:twoCellAnchor>
  <xdr:twoCellAnchor editAs="oneCell">
    <xdr:from>
      <xdr:col>1</xdr:col>
      <xdr:colOff>38160</xdr:colOff>
      <xdr:row>184</xdr:row>
      <xdr:rowOff>114480</xdr:rowOff>
    </xdr:from>
    <xdr:to>
      <xdr:col>1</xdr:col>
      <xdr:colOff>1208880</xdr:colOff>
      <xdr:row>185</xdr:row>
      <xdr:rowOff>583200</xdr:rowOff>
    </xdr:to>
    <xdr:pic>
      <xdr:nvPicPr>
        <xdr:cNvPr id="17" name="图片 102" descr="C:/Users/Ray/AppData/Local/Temp/picturecompress_20211118150910/output_184.jpgoutput_184"/>
        <xdr:cNvPicPr/>
      </xdr:nvPicPr>
      <xdr:blipFill>
        <a:blip r:embed="rId17"/>
        <a:stretch/>
      </xdr:blipFill>
      <xdr:spPr>
        <a:xfrm>
          <a:off x="4039920" y="183061080"/>
          <a:ext cx="1170720" cy="1167120"/>
        </a:xfrm>
        <a:prstGeom prst="rect">
          <a:avLst/>
        </a:prstGeom>
        <a:noFill/>
        <a:ln w="9525">
          <a:noFill/>
        </a:ln>
      </xdr:spPr>
    </xdr:pic>
    <xdr:clientData/>
  </xdr:twoCellAnchor>
  <xdr:twoCellAnchor editAs="oneCell">
    <xdr:from>
      <xdr:col>1</xdr:col>
      <xdr:colOff>38160</xdr:colOff>
      <xdr:row>186</xdr:row>
      <xdr:rowOff>113040</xdr:rowOff>
    </xdr:from>
    <xdr:to>
      <xdr:col>1</xdr:col>
      <xdr:colOff>1208880</xdr:colOff>
      <xdr:row>187</xdr:row>
      <xdr:rowOff>585000</xdr:rowOff>
    </xdr:to>
    <xdr:pic>
      <xdr:nvPicPr>
        <xdr:cNvPr id="18" name="图片 103" descr="C:/Users/Ray/AppData/Local/Temp/picturecompress_20211118150910/output_185.jpgoutput_185"/>
        <xdr:cNvPicPr/>
      </xdr:nvPicPr>
      <xdr:blipFill>
        <a:blip r:embed="rId18"/>
        <a:stretch/>
      </xdr:blipFill>
      <xdr:spPr>
        <a:xfrm>
          <a:off x="4039920" y="184456800"/>
          <a:ext cx="1170720" cy="1170360"/>
        </a:xfrm>
        <a:prstGeom prst="rect">
          <a:avLst/>
        </a:prstGeom>
        <a:noFill/>
        <a:ln w="9525">
          <a:noFill/>
        </a:ln>
      </xdr:spPr>
    </xdr:pic>
    <xdr:clientData/>
  </xdr:twoCellAnchor>
  <xdr:twoCellAnchor editAs="oneCell">
    <xdr:from>
      <xdr:col>1</xdr:col>
      <xdr:colOff>38160</xdr:colOff>
      <xdr:row>188</xdr:row>
      <xdr:rowOff>113040</xdr:rowOff>
    </xdr:from>
    <xdr:to>
      <xdr:col>1</xdr:col>
      <xdr:colOff>1208880</xdr:colOff>
      <xdr:row>189</xdr:row>
      <xdr:rowOff>584640</xdr:rowOff>
    </xdr:to>
    <xdr:pic>
      <xdr:nvPicPr>
        <xdr:cNvPr id="19" name="图片 104" descr="C:/Users/Ray/AppData/Local/Temp/picturecompress_20211118150910/output_186.jpgoutput_186"/>
        <xdr:cNvPicPr/>
      </xdr:nvPicPr>
      <xdr:blipFill>
        <a:blip r:embed="rId19"/>
        <a:stretch/>
      </xdr:blipFill>
      <xdr:spPr>
        <a:xfrm>
          <a:off x="4039920" y="185853600"/>
          <a:ext cx="1170720" cy="1170360"/>
        </a:xfrm>
        <a:prstGeom prst="rect">
          <a:avLst/>
        </a:prstGeom>
        <a:noFill/>
        <a:ln w="9525">
          <a:noFill/>
        </a:ln>
      </xdr:spPr>
    </xdr:pic>
    <xdr:clientData/>
  </xdr:twoCellAnchor>
  <xdr:twoCellAnchor editAs="oneCell">
    <xdr:from>
      <xdr:col>1</xdr:col>
      <xdr:colOff>38160</xdr:colOff>
      <xdr:row>190</xdr:row>
      <xdr:rowOff>114120</xdr:rowOff>
    </xdr:from>
    <xdr:to>
      <xdr:col>1</xdr:col>
      <xdr:colOff>1208880</xdr:colOff>
      <xdr:row>190</xdr:row>
      <xdr:rowOff>1283760</xdr:rowOff>
    </xdr:to>
    <xdr:pic>
      <xdr:nvPicPr>
        <xdr:cNvPr id="20" name="图片 128" descr="C:/Users/Ray/AppData/Local/Temp/picturecompress_20211118150910/output_210.jpgoutput_210"/>
        <xdr:cNvPicPr/>
      </xdr:nvPicPr>
      <xdr:blipFill>
        <a:blip r:embed="rId20"/>
        <a:stretch/>
      </xdr:blipFill>
      <xdr:spPr>
        <a:xfrm>
          <a:off x="4039920" y="187251840"/>
          <a:ext cx="1170720" cy="1169640"/>
        </a:xfrm>
        <a:prstGeom prst="rect">
          <a:avLst/>
        </a:prstGeom>
        <a:noFill/>
        <a:ln w="9525">
          <a:noFill/>
        </a:ln>
      </xdr:spPr>
    </xdr:pic>
    <xdr:clientData/>
  </xdr:twoCellAnchor>
  <xdr:twoCellAnchor editAs="oneCell">
    <xdr:from>
      <xdr:col>1</xdr:col>
      <xdr:colOff>38160</xdr:colOff>
      <xdr:row>191</xdr:row>
      <xdr:rowOff>116640</xdr:rowOff>
    </xdr:from>
    <xdr:to>
      <xdr:col>1</xdr:col>
      <xdr:colOff>1208880</xdr:colOff>
      <xdr:row>191</xdr:row>
      <xdr:rowOff>1280880</xdr:rowOff>
    </xdr:to>
    <xdr:pic>
      <xdr:nvPicPr>
        <xdr:cNvPr id="21" name="图片 129" descr="C:/Users/Ray/AppData/Local/Temp/picturecompress_20211118150910/output_211.jpgoutput_211"/>
        <xdr:cNvPicPr/>
      </xdr:nvPicPr>
      <xdr:blipFill>
        <a:blip r:embed="rId21"/>
        <a:stretch/>
      </xdr:blipFill>
      <xdr:spPr>
        <a:xfrm>
          <a:off x="4039920" y="188652600"/>
          <a:ext cx="1170720" cy="1164240"/>
        </a:xfrm>
        <a:prstGeom prst="rect">
          <a:avLst/>
        </a:prstGeom>
        <a:noFill/>
        <a:ln w="9525">
          <a:noFill/>
        </a:ln>
      </xdr:spPr>
    </xdr:pic>
    <xdr:clientData/>
  </xdr:twoCellAnchor>
  <xdr:twoCellAnchor editAs="oneCell">
    <xdr:from>
      <xdr:col>1</xdr:col>
      <xdr:colOff>38160</xdr:colOff>
      <xdr:row>192</xdr:row>
      <xdr:rowOff>116640</xdr:rowOff>
    </xdr:from>
    <xdr:to>
      <xdr:col>1</xdr:col>
      <xdr:colOff>1208880</xdr:colOff>
      <xdr:row>192</xdr:row>
      <xdr:rowOff>1280880</xdr:rowOff>
    </xdr:to>
    <xdr:pic>
      <xdr:nvPicPr>
        <xdr:cNvPr id="22" name="图片 130" descr="C:/Users/Ray/AppData/Local/Temp/picturecompress_20211118150910/output_212.jpgoutput_212"/>
        <xdr:cNvPicPr/>
      </xdr:nvPicPr>
      <xdr:blipFill>
        <a:blip r:embed="rId22"/>
        <a:stretch/>
      </xdr:blipFill>
      <xdr:spPr>
        <a:xfrm>
          <a:off x="4039920" y="190050840"/>
          <a:ext cx="1170720" cy="1164240"/>
        </a:xfrm>
        <a:prstGeom prst="rect">
          <a:avLst/>
        </a:prstGeom>
        <a:noFill/>
        <a:ln w="9525">
          <a:noFill/>
        </a:ln>
      </xdr:spPr>
    </xdr:pic>
    <xdr:clientData/>
  </xdr:twoCellAnchor>
  <xdr:twoCellAnchor editAs="oneCell">
    <xdr:from>
      <xdr:col>1</xdr:col>
      <xdr:colOff>38160</xdr:colOff>
      <xdr:row>193</xdr:row>
      <xdr:rowOff>114120</xdr:rowOff>
    </xdr:from>
    <xdr:to>
      <xdr:col>1</xdr:col>
      <xdr:colOff>1208880</xdr:colOff>
      <xdr:row>193</xdr:row>
      <xdr:rowOff>1283760</xdr:rowOff>
    </xdr:to>
    <xdr:pic>
      <xdr:nvPicPr>
        <xdr:cNvPr id="23" name="图片 131" descr="C:/Users/Ray/AppData/Local/Temp/picturecompress_20211118150910/output_213.jpgoutput_213"/>
        <xdr:cNvPicPr/>
      </xdr:nvPicPr>
      <xdr:blipFill>
        <a:blip r:embed="rId23"/>
        <a:stretch/>
      </xdr:blipFill>
      <xdr:spPr>
        <a:xfrm>
          <a:off x="4039920" y="191446560"/>
          <a:ext cx="1170720" cy="1169640"/>
        </a:xfrm>
        <a:prstGeom prst="rect">
          <a:avLst/>
        </a:prstGeom>
        <a:noFill/>
        <a:ln w="9525">
          <a:noFill/>
        </a:ln>
      </xdr:spPr>
    </xdr:pic>
    <xdr:clientData/>
  </xdr:twoCellAnchor>
  <xdr:twoCellAnchor editAs="oneCell">
    <xdr:from>
      <xdr:col>1</xdr:col>
      <xdr:colOff>38160</xdr:colOff>
      <xdr:row>194</xdr:row>
      <xdr:rowOff>116640</xdr:rowOff>
    </xdr:from>
    <xdr:to>
      <xdr:col>1</xdr:col>
      <xdr:colOff>1208880</xdr:colOff>
      <xdr:row>194</xdr:row>
      <xdr:rowOff>1280880</xdr:rowOff>
    </xdr:to>
    <xdr:pic>
      <xdr:nvPicPr>
        <xdr:cNvPr id="24" name="图片 132" descr="C:/Users/Ray/AppData/Local/Temp/picturecompress_20211118150910/output_214.jpgoutput_214"/>
        <xdr:cNvPicPr/>
      </xdr:nvPicPr>
      <xdr:blipFill>
        <a:blip r:embed="rId24"/>
        <a:stretch/>
      </xdr:blipFill>
      <xdr:spPr>
        <a:xfrm>
          <a:off x="4039920" y="192847320"/>
          <a:ext cx="1170720" cy="1164240"/>
        </a:xfrm>
        <a:prstGeom prst="rect">
          <a:avLst/>
        </a:prstGeom>
        <a:noFill/>
        <a:ln w="9525">
          <a:noFill/>
        </a:ln>
      </xdr:spPr>
    </xdr:pic>
    <xdr:clientData/>
  </xdr:twoCellAnchor>
  <xdr:twoCellAnchor editAs="oneCell">
    <xdr:from>
      <xdr:col>1</xdr:col>
      <xdr:colOff>38160</xdr:colOff>
      <xdr:row>195</xdr:row>
      <xdr:rowOff>116640</xdr:rowOff>
    </xdr:from>
    <xdr:to>
      <xdr:col>1</xdr:col>
      <xdr:colOff>1208880</xdr:colOff>
      <xdr:row>195</xdr:row>
      <xdr:rowOff>1280880</xdr:rowOff>
    </xdr:to>
    <xdr:pic>
      <xdr:nvPicPr>
        <xdr:cNvPr id="25" name="图片 133" descr="C:/Users/Ray/AppData/Local/Temp/picturecompress_20211118150910/output_215.jpgoutput_215"/>
        <xdr:cNvPicPr/>
      </xdr:nvPicPr>
      <xdr:blipFill>
        <a:blip r:embed="rId25"/>
        <a:stretch/>
      </xdr:blipFill>
      <xdr:spPr>
        <a:xfrm>
          <a:off x="4039920" y="194245560"/>
          <a:ext cx="1170720" cy="1164240"/>
        </a:xfrm>
        <a:prstGeom prst="rect">
          <a:avLst/>
        </a:prstGeom>
        <a:noFill/>
        <a:ln w="9525">
          <a:noFill/>
        </a:ln>
      </xdr:spPr>
    </xdr:pic>
    <xdr:clientData/>
  </xdr:twoCellAnchor>
  <xdr:twoCellAnchor editAs="oneCell">
    <xdr:from>
      <xdr:col>1</xdr:col>
      <xdr:colOff>38160</xdr:colOff>
      <xdr:row>196</xdr:row>
      <xdr:rowOff>114120</xdr:rowOff>
    </xdr:from>
    <xdr:to>
      <xdr:col>1</xdr:col>
      <xdr:colOff>1208880</xdr:colOff>
      <xdr:row>196</xdr:row>
      <xdr:rowOff>1283760</xdr:rowOff>
    </xdr:to>
    <xdr:pic>
      <xdr:nvPicPr>
        <xdr:cNvPr id="26" name="图片 134" descr="C:/Users/Ray/AppData/Local/Temp/picturecompress_20211118150910/output_216.jpgoutput_216"/>
        <xdr:cNvPicPr/>
      </xdr:nvPicPr>
      <xdr:blipFill>
        <a:blip r:embed="rId26"/>
        <a:stretch/>
      </xdr:blipFill>
      <xdr:spPr>
        <a:xfrm>
          <a:off x="4039920" y="195641280"/>
          <a:ext cx="1170720" cy="1169640"/>
        </a:xfrm>
        <a:prstGeom prst="rect">
          <a:avLst/>
        </a:prstGeom>
        <a:noFill/>
        <a:ln w="9525">
          <a:noFill/>
        </a:ln>
      </xdr:spPr>
    </xdr:pic>
    <xdr:clientData/>
  </xdr:twoCellAnchor>
  <xdr:twoCellAnchor editAs="oneCell">
    <xdr:from>
      <xdr:col>1</xdr:col>
      <xdr:colOff>38160</xdr:colOff>
      <xdr:row>197</xdr:row>
      <xdr:rowOff>116640</xdr:rowOff>
    </xdr:from>
    <xdr:to>
      <xdr:col>1</xdr:col>
      <xdr:colOff>1208880</xdr:colOff>
      <xdr:row>197</xdr:row>
      <xdr:rowOff>1280880</xdr:rowOff>
    </xdr:to>
    <xdr:pic>
      <xdr:nvPicPr>
        <xdr:cNvPr id="27" name="图片 135" descr="C:/Users/Ray/AppData/Local/Temp/picturecompress_20211118150910/output_217.jpgoutput_217"/>
        <xdr:cNvPicPr/>
      </xdr:nvPicPr>
      <xdr:blipFill>
        <a:blip r:embed="rId27"/>
        <a:stretch/>
      </xdr:blipFill>
      <xdr:spPr>
        <a:xfrm>
          <a:off x="4039920" y="197042040"/>
          <a:ext cx="1170720" cy="1164240"/>
        </a:xfrm>
        <a:prstGeom prst="rect">
          <a:avLst/>
        </a:prstGeom>
        <a:noFill/>
        <a:ln w="9525">
          <a:noFill/>
        </a:ln>
      </xdr:spPr>
    </xdr:pic>
    <xdr:clientData/>
  </xdr:twoCellAnchor>
  <xdr:twoCellAnchor editAs="oneCell">
    <xdr:from>
      <xdr:col>1</xdr:col>
      <xdr:colOff>38160</xdr:colOff>
      <xdr:row>198</xdr:row>
      <xdr:rowOff>116640</xdr:rowOff>
    </xdr:from>
    <xdr:to>
      <xdr:col>1</xdr:col>
      <xdr:colOff>1208880</xdr:colOff>
      <xdr:row>198</xdr:row>
      <xdr:rowOff>1280880</xdr:rowOff>
    </xdr:to>
    <xdr:pic>
      <xdr:nvPicPr>
        <xdr:cNvPr id="28" name="图片 136" descr="C:/Users/Ray/AppData/Local/Temp/picturecompress_20211118150910/output_218.jpgoutput_218"/>
        <xdr:cNvPicPr/>
      </xdr:nvPicPr>
      <xdr:blipFill>
        <a:blip r:embed="rId28"/>
        <a:stretch/>
      </xdr:blipFill>
      <xdr:spPr>
        <a:xfrm>
          <a:off x="4039920" y="198440640"/>
          <a:ext cx="1170720" cy="1164240"/>
        </a:xfrm>
        <a:prstGeom prst="rect">
          <a:avLst/>
        </a:prstGeom>
        <a:noFill/>
        <a:ln w="9525">
          <a:noFill/>
        </a:ln>
      </xdr:spPr>
    </xdr:pic>
    <xdr:clientData/>
  </xdr:twoCellAnchor>
  <xdr:twoCellAnchor editAs="oneCell">
    <xdr:from>
      <xdr:col>2</xdr:col>
      <xdr:colOff>38160</xdr:colOff>
      <xdr:row>180</xdr:row>
      <xdr:rowOff>141120</xdr:rowOff>
    </xdr:from>
    <xdr:to>
      <xdr:col>2</xdr:col>
      <xdr:colOff>1208880</xdr:colOff>
      <xdr:row>180</xdr:row>
      <xdr:rowOff>1318320</xdr:rowOff>
    </xdr:to>
    <xdr:pic>
      <xdr:nvPicPr>
        <xdr:cNvPr id="29" name="图片 33" descr="C:/Users/Ray/AppData/Local/Temp/picturecompress_20211118150910/output_270.jpgoutput_270"/>
        <xdr:cNvPicPr/>
      </xdr:nvPicPr>
      <xdr:blipFill>
        <a:blip r:embed="rId29"/>
        <a:stretch/>
      </xdr:blipFill>
      <xdr:spPr>
        <a:xfrm>
          <a:off x="5605920" y="177245640"/>
          <a:ext cx="1170720" cy="1177200"/>
        </a:xfrm>
        <a:prstGeom prst="rect">
          <a:avLst/>
        </a:prstGeom>
        <a:noFill/>
        <a:ln w="9525">
          <a:noFill/>
        </a:ln>
      </xdr:spPr>
    </xdr:pic>
    <xdr:clientData/>
  </xdr:twoCellAnchor>
  <xdr:twoCellAnchor editAs="oneCell">
    <xdr:from>
      <xdr:col>2</xdr:col>
      <xdr:colOff>38160</xdr:colOff>
      <xdr:row>179</xdr:row>
      <xdr:rowOff>141120</xdr:rowOff>
    </xdr:from>
    <xdr:to>
      <xdr:col>2</xdr:col>
      <xdr:colOff>1208880</xdr:colOff>
      <xdr:row>179</xdr:row>
      <xdr:rowOff>1318320</xdr:rowOff>
    </xdr:to>
    <xdr:pic>
      <xdr:nvPicPr>
        <xdr:cNvPr id="30" name="图片 37" descr="C:/Users/Ray/AppData/Local/Temp/picturecompress_20211118150910/output_272.jpgoutput_272"/>
        <xdr:cNvPicPr/>
      </xdr:nvPicPr>
      <xdr:blipFill>
        <a:blip r:embed="rId30"/>
        <a:stretch/>
      </xdr:blipFill>
      <xdr:spPr>
        <a:xfrm>
          <a:off x="5605920" y="175785120"/>
          <a:ext cx="1170720" cy="1177200"/>
        </a:xfrm>
        <a:prstGeom prst="rect">
          <a:avLst/>
        </a:prstGeom>
        <a:noFill/>
        <a:ln w="9525">
          <a:noFill/>
        </a:ln>
      </xdr:spPr>
    </xdr:pic>
    <xdr:clientData/>
  </xdr:twoCellAnchor>
  <xdr:twoCellAnchor editAs="oneCell">
    <xdr:from>
      <xdr:col>1</xdr:col>
      <xdr:colOff>38160</xdr:colOff>
      <xdr:row>179</xdr:row>
      <xdr:rowOff>141480</xdr:rowOff>
    </xdr:from>
    <xdr:to>
      <xdr:col>1</xdr:col>
      <xdr:colOff>1208880</xdr:colOff>
      <xdr:row>179</xdr:row>
      <xdr:rowOff>1318320</xdr:rowOff>
    </xdr:to>
    <xdr:pic>
      <xdr:nvPicPr>
        <xdr:cNvPr id="31" name="图片 8" descr="C:/Users/Ray/AppData/Local/Temp/picturecompress_20211118150910/output_286.jpgoutput_286"/>
        <xdr:cNvPicPr/>
      </xdr:nvPicPr>
      <xdr:blipFill>
        <a:blip r:embed="rId31"/>
        <a:stretch/>
      </xdr:blipFill>
      <xdr:spPr>
        <a:xfrm>
          <a:off x="4039920" y="175785480"/>
          <a:ext cx="1170720" cy="1176840"/>
        </a:xfrm>
        <a:prstGeom prst="rect">
          <a:avLst/>
        </a:prstGeom>
        <a:noFill/>
        <a:ln w="9525">
          <a:noFill/>
        </a:ln>
      </xdr:spPr>
    </xdr:pic>
    <xdr:clientData/>
  </xdr:twoCellAnchor>
  <xdr:twoCellAnchor editAs="oneCell">
    <xdr:from>
      <xdr:col>1</xdr:col>
      <xdr:colOff>38160</xdr:colOff>
      <xdr:row>180</xdr:row>
      <xdr:rowOff>141120</xdr:rowOff>
    </xdr:from>
    <xdr:to>
      <xdr:col>1</xdr:col>
      <xdr:colOff>1208880</xdr:colOff>
      <xdr:row>180</xdr:row>
      <xdr:rowOff>1319040</xdr:rowOff>
    </xdr:to>
    <xdr:pic>
      <xdr:nvPicPr>
        <xdr:cNvPr id="32" name="图片 10" descr="C:/Users/Ray/AppData/Local/Temp/picturecompress_20211118150910/output_288.jpgoutput_288"/>
        <xdr:cNvPicPr/>
      </xdr:nvPicPr>
      <xdr:blipFill>
        <a:blip r:embed="rId32"/>
        <a:stretch/>
      </xdr:blipFill>
      <xdr:spPr>
        <a:xfrm>
          <a:off x="4039920" y="177245640"/>
          <a:ext cx="1170720" cy="1177920"/>
        </a:xfrm>
        <a:prstGeom prst="rect">
          <a:avLst/>
        </a:prstGeom>
        <a:noFill/>
        <a:ln w="9525">
          <a:noFill/>
        </a:ln>
      </xdr:spPr>
    </xdr:pic>
    <xdr:clientData/>
  </xdr:twoCellAnchor>
  <xdr:twoCellAnchor editAs="oneCell">
    <xdr:from>
      <xdr:col>2</xdr:col>
      <xdr:colOff>38160</xdr:colOff>
      <xdr:row>167</xdr:row>
      <xdr:rowOff>170280</xdr:rowOff>
    </xdr:from>
    <xdr:to>
      <xdr:col>2</xdr:col>
      <xdr:colOff>1208880</xdr:colOff>
      <xdr:row>168</xdr:row>
      <xdr:rowOff>590760</xdr:rowOff>
    </xdr:to>
    <xdr:pic>
      <xdr:nvPicPr>
        <xdr:cNvPr id="33" name="图片 15" descr="C:/Users/Ray/AppData/Local/Temp/picturecompress_20211118150910/output_425.jpgoutput_425"/>
        <xdr:cNvPicPr/>
      </xdr:nvPicPr>
      <xdr:blipFill>
        <a:blip r:embed="rId33"/>
        <a:stretch/>
      </xdr:blipFill>
      <xdr:spPr>
        <a:xfrm>
          <a:off x="5605920" y="167305320"/>
          <a:ext cx="1170720" cy="1182600"/>
        </a:xfrm>
        <a:prstGeom prst="rect">
          <a:avLst/>
        </a:prstGeom>
        <a:noFill/>
        <a:ln w="9525">
          <a:noFill/>
        </a:ln>
      </xdr:spPr>
    </xdr:pic>
    <xdr:clientData/>
  </xdr:twoCellAnchor>
  <xdr:twoCellAnchor editAs="oneCell">
    <xdr:from>
      <xdr:col>1</xdr:col>
      <xdr:colOff>38160</xdr:colOff>
      <xdr:row>167</xdr:row>
      <xdr:rowOff>170280</xdr:rowOff>
    </xdr:from>
    <xdr:to>
      <xdr:col>1</xdr:col>
      <xdr:colOff>1208880</xdr:colOff>
      <xdr:row>168</xdr:row>
      <xdr:rowOff>590760</xdr:rowOff>
    </xdr:to>
    <xdr:pic>
      <xdr:nvPicPr>
        <xdr:cNvPr id="34" name="图片 16" descr="C:/Users/Ray/AppData/Local/Temp/picturecompress_20211118150910/output_426.jpgoutput_426"/>
        <xdr:cNvPicPr/>
      </xdr:nvPicPr>
      <xdr:blipFill>
        <a:blip r:embed="rId34"/>
        <a:stretch/>
      </xdr:blipFill>
      <xdr:spPr>
        <a:xfrm>
          <a:off x="4039920" y="167305320"/>
          <a:ext cx="1170720" cy="1182600"/>
        </a:xfrm>
        <a:prstGeom prst="rect">
          <a:avLst/>
        </a:prstGeom>
        <a:noFill/>
        <a:ln w="9525">
          <a:noFill/>
        </a:ln>
      </xdr:spPr>
    </xdr:pic>
    <xdr:clientData/>
  </xdr:twoCellAnchor>
  <xdr:twoCellAnchor editAs="oneCell">
    <xdr:from>
      <xdr:col>2</xdr:col>
      <xdr:colOff>38160</xdr:colOff>
      <xdr:row>171</xdr:row>
      <xdr:rowOff>111240</xdr:rowOff>
    </xdr:from>
    <xdr:to>
      <xdr:col>2</xdr:col>
      <xdr:colOff>1208880</xdr:colOff>
      <xdr:row>172</xdr:row>
      <xdr:rowOff>586440</xdr:rowOff>
    </xdr:to>
    <xdr:pic>
      <xdr:nvPicPr>
        <xdr:cNvPr id="35" name="图片 7" descr="C:/Users/Ray/AppData/Local/Temp/picturecompress_20211118150910/output_526.jpgoutput_526"/>
        <xdr:cNvPicPr/>
      </xdr:nvPicPr>
      <xdr:blipFill>
        <a:blip r:embed="rId35"/>
        <a:stretch/>
      </xdr:blipFill>
      <xdr:spPr>
        <a:xfrm>
          <a:off x="5605920" y="170167320"/>
          <a:ext cx="1170720" cy="1173960"/>
        </a:xfrm>
        <a:prstGeom prst="rect">
          <a:avLst/>
        </a:prstGeom>
        <a:noFill/>
        <a:ln w="9525">
          <a:noFill/>
        </a:ln>
      </xdr:spPr>
    </xdr:pic>
    <xdr:clientData/>
  </xdr:twoCellAnchor>
  <xdr:twoCellAnchor editAs="oneCell">
    <xdr:from>
      <xdr:col>1</xdr:col>
      <xdr:colOff>38160</xdr:colOff>
      <xdr:row>171</xdr:row>
      <xdr:rowOff>110880</xdr:rowOff>
    </xdr:from>
    <xdr:to>
      <xdr:col>1</xdr:col>
      <xdr:colOff>1208880</xdr:colOff>
      <xdr:row>172</xdr:row>
      <xdr:rowOff>586440</xdr:rowOff>
    </xdr:to>
    <xdr:pic>
      <xdr:nvPicPr>
        <xdr:cNvPr id="36" name="图片 8" descr="C:/Users/Ray/AppData/Local/Temp/picturecompress_20211118150910/output_527.jpgoutput_527"/>
        <xdr:cNvPicPr/>
      </xdr:nvPicPr>
      <xdr:blipFill>
        <a:blip r:embed="rId36"/>
        <a:stretch/>
      </xdr:blipFill>
      <xdr:spPr>
        <a:xfrm>
          <a:off x="4039920" y="170166960"/>
          <a:ext cx="1170720" cy="1174320"/>
        </a:xfrm>
        <a:prstGeom prst="rect">
          <a:avLst/>
        </a:prstGeom>
        <a:noFill/>
        <a:ln w="9525">
          <a:noFill/>
        </a:ln>
      </xdr:spPr>
    </xdr:pic>
    <xdr:clientData/>
  </xdr:twoCellAnchor>
  <xdr:twoCellAnchor editAs="oneCell">
    <xdr:from>
      <xdr:col>2</xdr:col>
      <xdr:colOff>38160</xdr:colOff>
      <xdr:row>173</xdr:row>
      <xdr:rowOff>109440</xdr:rowOff>
    </xdr:from>
    <xdr:to>
      <xdr:col>2</xdr:col>
      <xdr:colOff>1208880</xdr:colOff>
      <xdr:row>174</xdr:row>
      <xdr:rowOff>588240</xdr:rowOff>
    </xdr:to>
    <xdr:pic>
      <xdr:nvPicPr>
        <xdr:cNvPr id="37" name="图片 9" descr="C:/Users/Ray/AppData/Local/Temp/picturecompress_20211118150910/output_528.jpgoutput_528"/>
        <xdr:cNvPicPr/>
      </xdr:nvPicPr>
      <xdr:blipFill>
        <a:blip r:embed="rId37"/>
        <a:stretch/>
      </xdr:blipFill>
      <xdr:spPr>
        <a:xfrm>
          <a:off x="5605920" y="171562680"/>
          <a:ext cx="1170720" cy="1177200"/>
        </a:xfrm>
        <a:prstGeom prst="rect">
          <a:avLst/>
        </a:prstGeom>
        <a:noFill/>
        <a:ln w="9525">
          <a:noFill/>
        </a:ln>
      </xdr:spPr>
    </xdr:pic>
    <xdr:clientData/>
  </xdr:twoCellAnchor>
  <xdr:twoCellAnchor editAs="oneCell">
    <xdr:from>
      <xdr:col>1</xdr:col>
      <xdr:colOff>38160</xdr:colOff>
      <xdr:row>173</xdr:row>
      <xdr:rowOff>109800</xdr:rowOff>
    </xdr:from>
    <xdr:to>
      <xdr:col>1</xdr:col>
      <xdr:colOff>1208880</xdr:colOff>
      <xdr:row>174</xdr:row>
      <xdr:rowOff>588240</xdr:rowOff>
    </xdr:to>
    <xdr:pic>
      <xdr:nvPicPr>
        <xdr:cNvPr id="38" name="图片 10" descr="C:/Users/Ray/AppData/Local/Temp/picturecompress_20211118150910/output_529.jpgoutput_529"/>
        <xdr:cNvPicPr/>
      </xdr:nvPicPr>
      <xdr:blipFill>
        <a:blip r:embed="rId38"/>
        <a:stretch/>
      </xdr:blipFill>
      <xdr:spPr>
        <a:xfrm>
          <a:off x="4039920" y="171563040"/>
          <a:ext cx="1170720" cy="1176840"/>
        </a:xfrm>
        <a:prstGeom prst="rect">
          <a:avLst/>
        </a:prstGeom>
        <a:noFill/>
        <a:ln w="9525">
          <a:noFill/>
        </a:ln>
      </xdr:spPr>
    </xdr:pic>
    <xdr:clientData/>
  </xdr:twoCellAnchor>
  <xdr:twoCellAnchor editAs="oneCell">
    <xdr:from>
      <xdr:col>2</xdr:col>
      <xdr:colOff>38160</xdr:colOff>
      <xdr:row>175</xdr:row>
      <xdr:rowOff>110880</xdr:rowOff>
    </xdr:from>
    <xdr:to>
      <xdr:col>2</xdr:col>
      <xdr:colOff>1208880</xdr:colOff>
      <xdr:row>176</xdr:row>
      <xdr:rowOff>586440</xdr:rowOff>
    </xdr:to>
    <xdr:pic>
      <xdr:nvPicPr>
        <xdr:cNvPr id="39" name="图片 11" descr="C:/Users/Ray/AppData/Local/Temp/picturecompress_20211118150910/output_530.jpgoutput_530"/>
        <xdr:cNvPicPr/>
      </xdr:nvPicPr>
      <xdr:blipFill>
        <a:blip r:embed="rId39"/>
        <a:stretch/>
      </xdr:blipFill>
      <xdr:spPr>
        <a:xfrm>
          <a:off x="5605920" y="172960920"/>
          <a:ext cx="1170720" cy="1174320"/>
        </a:xfrm>
        <a:prstGeom prst="rect">
          <a:avLst/>
        </a:prstGeom>
        <a:noFill/>
        <a:ln w="9525">
          <a:noFill/>
        </a:ln>
      </xdr:spPr>
    </xdr:pic>
    <xdr:clientData/>
  </xdr:twoCellAnchor>
  <xdr:twoCellAnchor editAs="oneCell">
    <xdr:from>
      <xdr:col>1</xdr:col>
      <xdr:colOff>38160</xdr:colOff>
      <xdr:row>175</xdr:row>
      <xdr:rowOff>111960</xdr:rowOff>
    </xdr:from>
    <xdr:to>
      <xdr:col>1</xdr:col>
      <xdr:colOff>1208880</xdr:colOff>
      <xdr:row>176</xdr:row>
      <xdr:rowOff>585360</xdr:rowOff>
    </xdr:to>
    <xdr:pic>
      <xdr:nvPicPr>
        <xdr:cNvPr id="40" name="图片 12" descr="C:/Users/Ray/AppData/Local/Temp/picturecompress_20211118150910/output_531.jpgoutput_531"/>
        <xdr:cNvPicPr/>
      </xdr:nvPicPr>
      <xdr:blipFill>
        <a:blip r:embed="rId40"/>
        <a:stretch/>
      </xdr:blipFill>
      <xdr:spPr>
        <a:xfrm>
          <a:off x="4039920" y="172962000"/>
          <a:ext cx="1170720" cy="1172160"/>
        </a:xfrm>
        <a:prstGeom prst="rect">
          <a:avLst/>
        </a:prstGeom>
        <a:noFill/>
        <a:ln w="9525">
          <a:noFill/>
        </a:ln>
      </xdr:spPr>
    </xdr:pic>
    <xdr:clientData/>
  </xdr:twoCellAnchor>
  <xdr:twoCellAnchor editAs="oneCell">
    <xdr:from>
      <xdr:col>2</xdr:col>
      <xdr:colOff>38160</xdr:colOff>
      <xdr:row>177</xdr:row>
      <xdr:rowOff>110880</xdr:rowOff>
    </xdr:from>
    <xdr:to>
      <xdr:col>2</xdr:col>
      <xdr:colOff>1208880</xdr:colOff>
      <xdr:row>178</xdr:row>
      <xdr:rowOff>586800</xdr:rowOff>
    </xdr:to>
    <xdr:pic>
      <xdr:nvPicPr>
        <xdr:cNvPr id="41" name="图片 18" descr="C:/Users/Ray/AppData/Local/Temp/picturecompress_20211118150910/output_536.jpgoutput_536"/>
        <xdr:cNvPicPr/>
      </xdr:nvPicPr>
      <xdr:blipFill>
        <a:blip r:embed="rId41"/>
        <a:stretch/>
      </xdr:blipFill>
      <xdr:spPr>
        <a:xfrm>
          <a:off x="5605920" y="174358080"/>
          <a:ext cx="1170720" cy="1174320"/>
        </a:xfrm>
        <a:prstGeom prst="rect">
          <a:avLst/>
        </a:prstGeom>
        <a:noFill/>
        <a:ln w="9525">
          <a:noFill/>
        </a:ln>
      </xdr:spPr>
    </xdr:pic>
    <xdr:clientData/>
  </xdr:twoCellAnchor>
  <xdr:twoCellAnchor editAs="oneCell">
    <xdr:from>
      <xdr:col>1</xdr:col>
      <xdr:colOff>38160</xdr:colOff>
      <xdr:row>177</xdr:row>
      <xdr:rowOff>112320</xdr:rowOff>
    </xdr:from>
    <xdr:to>
      <xdr:col>1</xdr:col>
      <xdr:colOff>1208880</xdr:colOff>
      <xdr:row>178</xdr:row>
      <xdr:rowOff>585360</xdr:rowOff>
    </xdr:to>
    <xdr:pic>
      <xdr:nvPicPr>
        <xdr:cNvPr id="42" name="图片 19" descr="C:/Users/Ray/AppData/Local/Temp/picturecompress_20211118150910/output_537.jpgoutput_537"/>
        <xdr:cNvPicPr/>
      </xdr:nvPicPr>
      <xdr:blipFill>
        <a:blip r:embed="rId42"/>
        <a:stretch/>
      </xdr:blipFill>
      <xdr:spPr>
        <a:xfrm>
          <a:off x="4039920" y="174359520"/>
          <a:ext cx="1170720" cy="1171440"/>
        </a:xfrm>
        <a:prstGeom prst="rect">
          <a:avLst/>
        </a:prstGeom>
        <a:noFill/>
        <a:ln w="9525">
          <a:noFill/>
        </a:ln>
      </xdr:spPr>
    </xdr:pic>
    <xdr:clientData/>
  </xdr:twoCellAnchor>
  <xdr:twoCellAnchor editAs="oneCell">
    <xdr:from>
      <xdr:col>2</xdr:col>
      <xdr:colOff>38160</xdr:colOff>
      <xdr:row>5</xdr:row>
      <xdr:rowOff>169560</xdr:rowOff>
    </xdr:from>
    <xdr:to>
      <xdr:col>2</xdr:col>
      <xdr:colOff>1208880</xdr:colOff>
      <xdr:row>6</xdr:row>
      <xdr:rowOff>591840</xdr:rowOff>
    </xdr:to>
    <xdr:pic>
      <xdr:nvPicPr>
        <xdr:cNvPr id="43" name="图片 34" descr="C:/Users/Ray/AppData/Local/Temp/picturecompress_20220402150537/output_11.jpgoutput_11"/>
        <xdr:cNvPicPr/>
      </xdr:nvPicPr>
      <xdr:blipFill>
        <a:blip r:embed="rId43"/>
        <a:stretch/>
      </xdr:blipFill>
      <xdr:spPr>
        <a:xfrm>
          <a:off x="5605920" y="3027240"/>
          <a:ext cx="1170720" cy="1184040"/>
        </a:xfrm>
        <a:prstGeom prst="rect">
          <a:avLst/>
        </a:prstGeom>
        <a:noFill/>
        <a:ln w="9525">
          <a:noFill/>
        </a:ln>
      </xdr:spPr>
    </xdr:pic>
    <xdr:clientData/>
  </xdr:twoCellAnchor>
  <xdr:twoCellAnchor editAs="oneCell">
    <xdr:from>
      <xdr:col>1</xdr:col>
      <xdr:colOff>38160</xdr:colOff>
      <xdr:row>5</xdr:row>
      <xdr:rowOff>174960</xdr:rowOff>
    </xdr:from>
    <xdr:to>
      <xdr:col>1</xdr:col>
      <xdr:colOff>1208880</xdr:colOff>
      <xdr:row>6</xdr:row>
      <xdr:rowOff>586440</xdr:rowOff>
    </xdr:to>
    <xdr:pic>
      <xdr:nvPicPr>
        <xdr:cNvPr id="44" name="图片 193" descr="C:/Users/Ray/AppData/Local/Temp/picturecompress_20220414121820/output_1.jpgoutput_1"/>
        <xdr:cNvPicPr/>
      </xdr:nvPicPr>
      <xdr:blipFill>
        <a:blip r:embed="rId44"/>
        <a:stretch/>
      </xdr:blipFill>
      <xdr:spPr>
        <a:xfrm>
          <a:off x="4039920" y="3032640"/>
          <a:ext cx="1170720" cy="1173240"/>
        </a:xfrm>
        <a:prstGeom prst="rect">
          <a:avLst/>
        </a:prstGeom>
        <a:noFill/>
        <a:ln w="9525">
          <a:noFill/>
        </a:ln>
      </xdr:spPr>
    </xdr:pic>
    <xdr:clientData/>
  </xdr:twoCellAnchor>
  <xdr:twoCellAnchor editAs="oneCell">
    <xdr:from>
      <xdr:col>1</xdr:col>
      <xdr:colOff>38160</xdr:colOff>
      <xdr:row>60</xdr:row>
      <xdr:rowOff>177480</xdr:rowOff>
    </xdr:from>
    <xdr:to>
      <xdr:col>1</xdr:col>
      <xdr:colOff>1208880</xdr:colOff>
      <xdr:row>61</xdr:row>
      <xdr:rowOff>583920</xdr:rowOff>
    </xdr:to>
    <xdr:pic>
      <xdr:nvPicPr>
        <xdr:cNvPr id="45" name="图片 195" descr="C:/Users/Ray/AppData/Local/Temp/picturecompress_20220419141539/output_10.jpgoutput_10"/>
        <xdr:cNvPicPr/>
      </xdr:nvPicPr>
      <xdr:blipFill>
        <a:blip r:embed="rId45"/>
        <a:stretch/>
      </xdr:blipFill>
      <xdr:spPr>
        <a:xfrm>
          <a:off x="4039920" y="57111480"/>
          <a:ext cx="1170720" cy="1168560"/>
        </a:xfrm>
        <a:prstGeom prst="rect">
          <a:avLst/>
        </a:prstGeom>
        <a:noFill/>
        <a:ln w="9525">
          <a:noFill/>
        </a:ln>
      </xdr:spPr>
    </xdr:pic>
    <xdr:clientData/>
  </xdr:twoCellAnchor>
  <xdr:twoCellAnchor editAs="oneCell">
    <xdr:from>
      <xdr:col>2</xdr:col>
      <xdr:colOff>38160</xdr:colOff>
      <xdr:row>60</xdr:row>
      <xdr:rowOff>177120</xdr:rowOff>
    </xdr:from>
    <xdr:to>
      <xdr:col>2</xdr:col>
      <xdr:colOff>1208880</xdr:colOff>
      <xdr:row>61</xdr:row>
      <xdr:rowOff>584280</xdr:rowOff>
    </xdr:to>
    <xdr:pic>
      <xdr:nvPicPr>
        <xdr:cNvPr id="46" name="图片 196" descr="C:/Users/Ray/AppData/Local/Temp/picturecompress_20220419141539/output_9.jpgoutput_9"/>
        <xdr:cNvPicPr/>
      </xdr:nvPicPr>
      <xdr:blipFill>
        <a:blip r:embed="rId46"/>
        <a:stretch/>
      </xdr:blipFill>
      <xdr:spPr>
        <a:xfrm>
          <a:off x="5605920" y="57111120"/>
          <a:ext cx="1170720" cy="1169280"/>
        </a:xfrm>
        <a:prstGeom prst="rect">
          <a:avLst/>
        </a:prstGeom>
        <a:noFill/>
        <a:ln w="9525">
          <a:noFill/>
        </a:ln>
      </xdr:spPr>
    </xdr:pic>
    <xdr:clientData/>
  </xdr:twoCellAnchor>
  <xdr:twoCellAnchor editAs="oneCell">
    <xdr:from>
      <xdr:col>1</xdr:col>
      <xdr:colOff>38160</xdr:colOff>
      <xdr:row>62</xdr:row>
      <xdr:rowOff>176400</xdr:rowOff>
    </xdr:from>
    <xdr:to>
      <xdr:col>1</xdr:col>
      <xdr:colOff>1208880</xdr:colOff>
      <xdr:row>63</xdr:row>
      <xdr:rowOff>585000</xdr:rowOff>
    </xdr:to>
    <xdr:pic>
      <xdr:nvPicPr>
        <xdr:cNvPr id="47" name="图片 197" descr="C:/Users/Ray/AppData/Local/Temp/picturecompress_20220419141539/output_8.jpgoutput_8"/>
        <xdr:cNvPicPr/>
      </xdr:nvPicPr>
      <xdr:blipFill>
        <a:blip r:embed="rId47"/>
        <a:stretch/>
      </xdr:blipFill>
      <xdr:spPr>
        <a:xfrm>
          <a:off x="4039920" y="58634640"/>
          <a:ext cx="1170720" cy="1170360"/>
        </a:xfrm>
        <a:prstGeom prst="rect">
          <a:avLst/>
        </a:prstGeom>
        <a:noFill/>
        <a:ln w="9525">
          <a:noFill/>
        </a:ln>
      </xdr:spPr>
    </xdr:pic>
    <xdr:clientData/>
  </xdr:twoCellAnchor>
  <xdr:twoCellAnchor editAs="oneCell">
    <xdr:from>
      <xdr:col>2</xdr:col>
      <xdr:colOff>38160</xdr:colOff>
      <xdr:row>62</xdr:row>
      <xdr:rowOff>176400</xdr:rowOff>
    </xdr:from>
    <xdr:to>
      <xdr:col>2</xdr:col>
      <xdr:colOff>1208880</xdr:colOff>
      <xdr:row>63</xdr:row>
      <xdr:rowOff>585000</xdr:rowOff>
    </xdr:to>
    <xdr:pic>
      <xdr:nvPicPr>
        <xdr:cNvPr id="48" name="图片 198" descr="C:/Users/Ray/AppData/Local/Temp/picturecompress_20220419141539/output_7.jpgoutput_7"/>
        <xdr:cNvPicPr/>
      </xdr:nvPicPr>
      <xdr:blipFill>
        <a:blip r:embed="rId48"/>
        <a:stretch/>
      </xdr:blipFill>
      <xdr:spPr>
        <a:xfrm>
          <a:off x="5605920" y="58634640"/>
          <a:ext cx="1170720" cy="1170360"/>
        </a:xfrm>
        <a:prstGeom prst="rect">
          <a:avLst/>
        </a:prstGeom>
        <a:noFill/>
        <a:ln w="9525">
          <a:noFill/>
        </a:ln>
      </xdr:spPr>
    </xdr:pic>
    <xdr:clientData/>
  </xdr:twoCellAnchor>
  <xdr:twoCellAnchor editAs="oneCell">
    <xdr:from>
      <xdr:col>1</xdr:col>
      <xdr:colOff>38160</xdr:colOff>
      <xdr:row>64</xdr:row>
      <xdr:rowOff>174960</xdr:rowOff>
    </xdr:from>
    <xdr:to>
      <xdr:col>1</xdr:col>
      <xdr:colOff>1208880</xdr:colOff>
      <xdr:row>65</xdr:row>
      <xdr:rowOff>586080</xdr:rowOff>
    </xdr:to>
    <xdr:pic>
      <xdr:nvPicPr>
        <xdr:cNvPr id="49" name="图片 199" descr="C:/Users/Ray/AppData/Local/Temp/picturecompress_20220419141539/output_5.jpgoutput_5"/>
        <xdr:cNvPicPr/>
      </xdr:nvPicPr>
      <xdr:blipFill>
        <a:blip r:embed="rId49"/>
        <a:stretch/>
      </xdr:blipFill>
      <xdr:spPr>
        <a:xfrm>
          <a:off x="4039920" y="60157080"/>
          <a:ext cx="1170720" cy="1173240"/>
        </a:xfrm>
        <a:prstGeom prst="rect">
          <a:avLst/>
        </a:prstGeom>
        <a:noFill/>
        <a:ln w="9525">
          <a:noFill/>
        </a:ln>
      </xdr:spPr>
    </xdr:pic>
    <xdr:clientData/>
  </xdr:twoCellAnchor>
  <xdr:twoCellAnchor editAs="oneCell">
    <xdr:from>
      <xdr:col>2</xdr:col>
      <xdr:colOff>38160</xdr:colOff>
      <xdr:row>64</xdr:row>
      <xdr:rowOff>176400</xdr:rowOff>
    </xdr:from>
    <xdr:to>
      <xdr:col>2</xdr:col>
      <xdr:colOff>1208880</xdr:colOff>
      <xdr:row>65</xdr:row>
      <xdr:rowOff>584640</xdr:rowOff>
    </xdr:to>
    <xdr:pic>
      <xdr:nvPicPr>
        <xdr:cNvPr id="50" name="图片 200" descr="C:/Users/Ray/AppData/Local/Temp/picturecompress_20220419141539/output_6.jpgoutput_6"/>
        <xdr:cNvPicPr/>
      </xdr:nvPicPr>
      <xdr:blipFill>
        <a:blip r:embed="rId50"/>
        <a:stretch/>
      </xdr:blipFill>
      <xdr:spPr>
        <a:xfrm>
          <a:off x="5605920" y="60158520"/>
          <a:ext cx="1170720" cy="1170360"/>
        </a:xfrm>
        <a:prstGeom prst="rect">
          <a:avLst/>
        </a:prstGeom>
        <a:noFill/>
        <a:ln w="9525">
          <a:noFill/>
        </a:ln>
      </xdr:spPr>
    </xdr:pic>
    <xdr:clientData/>
  </xdr:twoCellAnchor>
  <xdr:twoCellAnchor editAs="oneCell">
    <xdr:from>
      <xdr:col>1</xdr:col>
      <xdr:colOff>38160</xdr:colOff>
      <xdr:row>66</xdr:row>
      <xdr:rowOff>177480</xdr:rowOff>
    </xdr:from>
    <xdr:to>
      <xdr:col>1</xdr:col>
      <xdr:colOff>1208880</xdr:colOff>
      <xdr:row>67</xdr:row>
      <xdr:rowOff>583920</xdr:rowOff>
    </xdr:to>
    <xdr:pic>
      <xdr:nvPicPr>
        <xdr:cNvPr id="51" name="图片 201" descr="C:/Users/Ray/AppData/Local/Temp/picturecompress_20220419141539/output_4.jpgoutput_4"/>
        <xdr:cNvPicPr/>
      </xdr:nvPicPr>
      <xdr:blipFill>
        <a:blip r:embed="rId51"/>
        <a:stretch/>
      </xdr:blipFill>
      <xdr:spPr>
        <a:xfrm>
          <a:off x="4039920" y="61683480"/>
          <a:ext cx="1170720" cy="1168560"/>
        </a:xfrm>
        <a:prstGeom prst="rect">
          <a:avLst/>
        </a:prstGeom>
        <a:noFill/>
        <a:ln w="9525">
          <a:noFill/>
        </a:ln>
      </xdr:spPr>
    </xdr:pic>
    <xdr:clientData/>
  </xdr:twoCellAnchor>
  <xdr:twoCellAnchor editAs="oneCell">
    <xdr:from>
      <xdr:col>2</xdr:col>
      <xdr:colOff>38160</xdr:colOff>
      <xdr:row>66</xdr:row>
      <xdr:rowOff>176400</xdr:rowOff>
    </xdr:from>
    <xdr:to>
      <xdr:col>2</xdr:col>
      <xdr:colOff>1208880</xdr:colOff>
      <xdr:row>67</xdr:row>
      <xdr:rowOff>584640</xdr:rowOff>
    </xdr:to>
    <xdr:pic>
      <xdr:nvPicPr>
        <xdr:cNvPr id="52" name="图片 202" descr="C:/Users/Ray/AppData/Local/Temp/picturecompress_20220419141539/output_3.jpgoutput_3"/>
        <xdr:cNvPicPr/>
      </xdr:nvPicPr>
      <xdr:blipFill>
        <a:blip r:embed="rId52"/>
        <a:stretch/>
      </xdr:blipFill>
      <xdr:spPr>
        <a:xfrm>
          <a:off x="5605920" y="61682400"/>
          <a:ext cx="1170720" cy="1170360"/>
        </a:xfrm>
        <a:prstGeom prst="rect">
          <a:avLst/>
        </a:prstGeom>
        <a:noFill/>
        <a:ln w="9525">
          <a:noFill/>
        </a:ln>
      </xdr:spPr>
    </xdr:pic>
    <xdr:clientData/>
  </xdr:twoCellAnchor>
  <xdr:twoCellAnchor editAs="oneCell">
    <xdr:from>
      <xdr:col>1</xdr:col>
      <xdr:colOff>38160</xdr:colOff>
      <xdr:row>68</xdr:row>
      <xdr:rowOff>176040</xdr:rowOff>
    </xdr:from>
    <xdr:to>
      <xdr:col>1</xdr:col>
      <xdr:colOff>1208880</xdr:colOff>
      <xdr:row>69</xdr:row>
      <xdr:rowOff>585720</xdr:rowOff>
    </xdr:to>
    <xdr:pic>
      <xdr:nvPicPr>
        <xdr:cNvPr id="53" name="图片 203" descr="C:/Users/Ray/AppData/Local/Temp/picturecompress_20220419141539/output_1.jpgoutput_1"/>
        <xdr:cNvPicPr/>
      </xdr:nvPicPr>
      <xdr:blipFill>
        <a:blip r:embed="rId53"/>
        <a:stretch/>
      </xdr:blipFill>
      <xdr:spPr>
        <a:xfrm>
          <a:off x="4039920" y="63206280"/>
          <a:ext cx="1170720" cy="1171440"/>
        </a:xfrm>
        <a:prstGeom prst="rect">
          <a:avLst/>
        </a:prstGeom>
        <a:noFill/>
        <a:ln w="9525">
          <a:noFill/>
        </a:ln>
      </xdr:spPr>
    </xdr:pic>
    <xdr:clientData/>
  </xdr:twoCellAnchor>
  <xdr:twoCellAnchor editAs="oneCell">
    <xdr:from>
      <xdr:col>2</xdr:col>
      <xdr:colOff>38160</xdr:colOff>
      <xdr:row>68</xdr:row>
      <xdr:rowOff>176400</xdr:rowOff>
    </xdr:from>
    <xdr:to>
      <xdr:col>2</xdr:col>
      <xdr:colOff>1208880</xdr:colOff>
      <xdr:row>69</xdr:row>
      <xdr:rowOff>585000</xdr:rowOff>
    </xdr:to>
    <xdr:pic>
      <xdr:nvPicPr>
        <xdr:cNvPr id="54" name="图片 204" descr="C:/Users/Ray/AppData/Local/Temp/picturecompress_20220419141539/output_2.jpgoutput_2"/>
        <xdr:cNvPicPr/>
      </xdr:nvPicPr>
      <xdr:blipFill>
        <a:blip r:embed="rId54"/>
        <a:stretch/>
      </xdr:blipFill>
      <xdr:spPr>
        <a:xfrm>
          <a:off x="5605920" y="63206640"/>
          <a:ext cx="1170720" cy="1170360"/>
        </a:xfrm>
        <a:prstGeom prst="rect">
          <a:avLst/>
        </a:prstGeom>
        <a:noFill/>
        <a:ln w="9525">
          <a:noFill/>
        </a:ln>
      </xdr:spPr>
    </xdr:pic>
    <xdr:clientData/>
  </xdr:twoCellAnchor>
  <xdr:twoCellAnchor editAs="oneCell">
    <xdr:from>
      <xdr:col>2</xdr:col>
      <xdr:colOff>38160</xdr:colOff>
      <xdr:row>160</xdr:row>
      <xdr:rowOff>170640</xdr:rowOff>
    </xdr:from>
    <xdr:to>
      <xdr:col>2</xdr:col>
      <xdr:colOff>1208880</xdr:colOff>
      <xdr:row>161</xdr:row>
      <xdr:rowOff>590760</xdr:rowOff>
    </xdr:to>
    <xdr:pic>
      <xdr:nvPicPr>
        <xdr:cNvPr id="55" name="图片 175" descr="c7f7c9f395b148dce9dea267a577c46"/>
        <xdr:cNvPicPr/>
      </xdr:nvPicPr>
      <xdr:blipFill>
        <a:blip r:embed="rId55"/>
        <a:stretch/>
      </xdr:blipFill>
      <xdr:spPr>
        <a:xfrm>
          <a:off x="5605920" y="158479200"/>
          <a:ext cx="1170720" cy="1182240"/>
        </a:xfrm>
        <a:prstGeom prst="rect">
          <a:avLst/>
        </a:prstGeom>
        <a:noFill/>
        <a:ln w="9525">
          <a:noFill/>
        </a:ln>
      </xdr:spPr>
    </xdr:pic>
    <xdr:clientData/>
  </xdr:twoCellAnchor>
  <xdr:twoCellAnchor editAs="oneCell">
    <xdr:from>
      <xdr:col>1</xdr:col>
      <xdr:colOff>38160</xdr:colOff>
      <xdr:row>160</xdr:row>
      <xdr:rowOff>174960</xdr:rowOff>
    </xdr:from>
    <xdr:to>
      <xdr:col>1</xdr:col>
      <xdr:colOff>1208880</xdr:colOff>
      <xdr:row>161</xdr:row>
      <xdr:rowOff>586080</xdr:rowOff>
    </xdr:to>
    <xdr:pic>
      <xdr:nvPicPr>
        <xdr:cNvPr id="56" name="图片 234" descr="C:/Users/Ray/AppData/Local/Temp/picturecompress_20220526155908/output_5.jpgoutput_5"/>
        <xdr:cNvPicPr/>
      </xdr:nvPicPr>
      <xdr:blipFill>
        <a:blip r:embed="rId56"/>
        <a:stretch/>
      </xdr:blipFill>
      <xdr:spPr>
        <a:xfrm>
          <a:off x="4039920" y="158483520"/>
          <a:ext cx="1170720" cy="1173240"/>
        </a:xfrm>
        <a:prstGeom prst="rect">
          <a:avLst/>
        </a:prstGeom>
        <a:noFill/>
        <a:ln w="9525">
          <a:noFill/>
        </a:ln>
      </xdr:spPr>
    </xdr:pic>
    <xdr:clientData/>
  </xdr:twoCellAnchor>
  <xdr:twoCellAnchor editAs="oneCell">
    <xdr:from>
      <xdr:col>1</xdr:col>
      <xdr:colOff>38160</xdr:colOff>
      <xdr:row>151</xdr:row>
      <xdr:rowOff>176400</xdr:rowOff>
    </xdr:from>
    <xdr:to>
      <xdr:col>1</xdr:col>
      <xdr:colOff>1208880</xdr:colOff>
      <xdr:row>152</xdr:row>
      <xdr:rowOff>584640</xdr:rowOff>
    </xdr:to>
    <xdr:pic>
      <xdr:nvPicPr>
        <xdr:cNvPr id="57" name="图片 471" descr="3_副本"/>
        <xdr:cNvPicPr/>
      </xdr:nvPicPr>
      <xdr:blipFill>
        <a:blip r:embed="rId57"/>
        <a:stretch/>
      </xdr:blipFill>
      <xdr:spPr>
        <a:xfrm>
          <a:off x="4039920" y="146737440"/>
          <a:ext cx="1170720" cy="1170360"/>
        </a:xfrm>
        <a:prstGeom prst="rect">
          <a:avLst/>
        </a:prstGeom>
        <a:noFill/>
        <a:ln w="9525">
          <a:noFill/>
        </a:ln>
      </xdr:spPr>
    </xdr:pic>
    <xdr:clientData/>
  </xdr:twoCellAnchor>
  <xdr:twoCellAnchor editAs="oneCell">
    <xdr:from>
      <xdr:col>2</xdr:col>
      <xdr:colOff>38160</xdr:colOff>
      <xdr:row>151</xdr:row>
      <xdr:rowOff>176400</xdr:rowOff>
    </xdr:from>
    <xdr:to>
      <xdr:col>2</xdr:col>
      <xdr:colOff>1208880</xdr:colOff>
      <xdr:row>152</xdr:row>
      <xdr:rowOff>584640</xdr:rowOff>
    </xdr:to>
    <xdr:pic>
      <xdr:nvPicPr>
        <xdr:cNvPr id="58" name="图片 472" descr="9_副本"/>
        <xdr:cNvPicPr/>
      </xdr:nvPicPr>
      <xdr:blipFill>
        <a:blip r:embed="rId58"/>
        <a:stretch/>
      </xdr:blipFill>
      <xdr:spPr>
        <a:xfrm>
          <a:off x="5605920" y="146737440"/>
          <a:ext cx="1170720" cy="1170360"/>
        </a:xfrm>
        <a:prstGeom prst="rect">
          <a:avLst/>
        </a:prstGeom>
        <a:noFill/>
        <a:ln w="9525">
          <a:noFill/>
        </a:ln>
      </xdr:spPr>
    </xdr:pic>
    <xdr:clientData/>
  </xdr:twoCellAnchor>
  <xdr:twoCellAnchor editAs="oneCell">
    <xdr:from>
      <xdr:col>2</xdr:col>
      <xdr:colOff>38160</xdr:colOff>
      <xdr:row>169</xdr:row>
      <xdr:rowOff>106920</xdr:rowOff>
    </xdr:from>
    <xdr:to>
      <xdr:col>2</xdr:col>
      <xdr:colOff>1208880</xdr:colOff>
      <xdr:row>170</xdr:row>
      <xdr:rowOff>590760</xdr:rowOff>
    </xdr:to>
    <xdr:pic>
      <xdr:nvPicPr>
        <xdr:cNvPr id="59" name="图片 21" descr="C:/Users/Ray/AppData/Local/Temp/picturecompress_20211118150910/output_538.jpgoutput_538"/>
        <xdr:cNvPicPr/>
      </xdr:nvPicPr>
      <xdr:blipFill>
        <a:blip r:embed="rId59"/>
        <a:stretch/>
      </xdr:blipFill>
      <xdr:spPr>
        <a:xfrm>
          <a:off x="5605920" y="168766200"/>
          <a:ext cx="1170720" cy="1182240"/>
        </a:xfrm>
        <a:prstGeom prst="rect">
          <a:avLst/>
        </a:prstGeom>
        <a:noFill/>
        <a:ln w="9525">
          <a:noFill/>
        </a:ln>
      </xdr:spPr>
    </xdr:pic>
    <xdr:clientData/>
  </xdr:twoCellAnchor>
  <xdr:twoCellAnchor editAs="oneCell">
    <xdr:from>
      <xdr:col>1</xdr:col>
      <xdr:colOff>38160</xdr:colOff>
      <xdr:row>169</xdr:row>
      <xdr:rowOff>108720</xdr:rowOff>
    </xdr:from>
    <xdr:to>
      <xdr:col>1</xdr:col>
      <xdr:colOff>1208880</xdr:colOff>
      <xdr:row>170</xdr:row>
      <xdr:rowOff>589320</xdr:rowOff>
    </xdr:to>
    <xdr:pic>
      <xdr:nvPicPr>
        <xdr:cNvPr id="60" name="图片 498" descr="C:/Users/Ray/AppData/Local/Temp/picturecompress_20220528153724/output_3.jpgoutput_3"/>
        <xdr:cNvPicPr/>
      </xdr:nvPicPr>
      <xdr:blipFill>
        <a:blip r:embed="rId60"/>
        <a:stretch/>
      </xdr:blipFill>
      <xdr:spPr>
        <a:xfrm>
          <a:off x="4039920" y="168768000"/>
          <a:ext cx="1170720" cy="1179000"/>
        </a:xfrm>
        <a:prstGeom prst="rect">
          <a:avLst/>
        </a:prstGeom>
        <a:noFill/>
        <a:ln w="9525">
          <a:noFill/>
        </a:ln>
      </xdr:spPr>
    </xdr:pic>
    <xdr:clientData/>
  </xdr:twoCellAnchor>
  <xdr:twoCellAnchor editAs="oneCell">
    <xdr:from>
      <xdr:col>1</xdr:col>
      <xdr:colOff>38160</xdr:colOff>
      <xdr:row>149</xdr:row>
      <xdr:rowOff>173520</xdr:rowOff>
    </xdr:from>
    <xdr:to>
      <xdr:col>1</xdr:col>
      <xdr:colOff>1208880</xdr:colOff>
      <xdr:row>150</xdr:row>
      <xdr:rowOff>587520</xdr:rowOff>
    </xdr:to>
    <xdr:pic>
      <xdr:nvPicPr>
        <xdr:cNvPr id="61" name="图片 536" descr="2(2)"/>
        <xdr:cNvPicPr/>
      </xdr:nvPicPr>
      <xdr:blipFill>
        <a:blip r:embed="rId61"/>
        <a:stretch/>
      </xdr:blipFill>
      <xdr:spPr>
        <a:xfrm>
          <a:off x="4039920" y="145210680"/>
          <a:ext cx="1170720" cy="1176120"/>
        </a:xfrm>
        <a:prstGeom prst="rect">
          <a:avLst/>
        </a:prstGeom>
        <a:noFill/>
        <a:ln w="9525">
          <a:noFill/>
        </a:ln>
      </xdr:spPr>
    </xdr:pic>
    <xdr:clientData/>
  </xdr:twoCellAnchor>
  <xdr:twoCellAnchor editAs="oneCell">
    <xdr:from>
      <xdr:col>2</xdr:col>
      <xdr:colOff>38160</xdr:colOff>
      <xdr:row>149</xdr:row>
      <xdr:rowOff>173160</xdr:rowOff>
    </xdr:from>
    <xdr:to>
      <xdr:col>2</xdr:col>
      <xdr:colOff>1208880</xdr:colOff>
      <xdr:row>150</xdr:row>
      <xdr:rowOff>588240</xdr:rowOff>
    </xdr:to>
    <xdr:pic>
      <xdr:nvPicPr>
        <xdr:cNvPr id="62" name="图片 622" descr="9(4)"/>
        <xdr:cNvPicPr/>
      </xdr:nvPicPr>
      <xdr:blipFill>
        <a:blip r:embed="rId62"/>
        <a:stretch/>
      </xdr:blipFill>
      <xdr:spPr>
        <a:xfrm>
          <a:off x="5605920" y="145210320"/>
          <a:ext cx="1170720" cy="1177200"/>
        </a:xfrm>
        <a:prstGeom prst="rect">
          <a:avLst/>
        </a:prstGeom>
        <a:noFill/>
        <a:ln w="9525">
          <a:noFill/>
        </a:ln>
      </xdr:spPr>
    </xdr:pic>
    <xdr:clientData/>
  </xdr:twoCellAnchor>
  <xdr:twoCellAnchor editAs="oneCell">
    <xdr:from>
      <xdr:col>1</xdr:col>
      <xdr:colOff>38160</xdr:colOff>
      <xdr:row>54</xdr:row>
      <xdr:rowOff>143280</xdr:rowOff>
    </xdr:from>
    <xdr:to>
      <xdr:col>1</xdr:col>
      <xdr:colOff>1208880</xdr:colOff>
      <xdr:row>54</xdr:row>
      <xdr:rowOff>1316520</xdr:rowOff>
    </xdr:to>
    <xdr:pic>
      <xdr:nvPicPr>
        <xdr:cNvPr id="63" name="图片 32" descr="1665818660470"/>
        <xdr:cNvPicPr/>
      </xdr:nvPicPr>
      <xdr:blipFill>
        <a:blip r:embed="rId63"/>
        <a:stretch/>
      </xdr:blipFill>
      <xdr:spPr>
        <a:xfrm>
          <a:off x="4039920" y="51108480"/>
          <a:ext cx="1170720" cy="1173240"/>
        </a:xfrm>
        <a:prstGeom prst="rect">
          <a:avLst/>
        </a:prstGeom>
        <a:noFill/>
        <a:ln w="9525">
          <a:noFill/>
        </a:ln>
      </xdr:spPr>
    </xdr:pic>
    <xdr:clientData/>
  </xdr:twoCellAnchor>
  <xdr:twoCellAnchor editAs="oneCell">
    <xdr:from>
      <xdr:col>2</xdr:col>
      <xdr:colOff>38160</xdr:colOff>
      <xdr:row>54</xdr:row>
      <xdr:rowOff>143280</xdr:rowOff>
    </xdr:from>
    <xdr:to>
      <xdr:col>2</xdr:col>
      <xdr:colOff>1208880</xdr:colOff>
      <xdr:row>54</xdr:row>
      <xdr:rowOff>1316520</xdr:rowOff>
    </xdr:to>
    <xdr:pic>
      <xdr:nvPicPr>
        <xdr:cNvPr id="64" name="图片 44" descr="10_副本"/>
        <xdr:cNvPicPr/>
      </xdr:nvPicPr>
      <xdr:blipFill>
        <a:blip r:embed="rId64"/>
        <a:stretch/>
      </xdr:blipFill>
      <xdr:spPr>
        <a:xfrm>
          <a:off x="5605920" y="51108480"/>
          <a:ext cx="1170720" cy="1173240"/>
        </a:xfrm>
        <a:prstGeom prst="rect">
          <a:avLst/>
        </a:prstGeom>
        <a:noFill/>
        <a:ln w="9525">
          <a:noFill/>
        </a:ln>
      </xdr:spPr>
    </xdr:pic>
    <xdr:clientData/>
  </xdr:twoCellAnchor>
  <xdr:twoCellAnchor editAs="twoCell">
    <xdr:from>
      <xdr:col>0</xdr:col>
      <xdr:colOff>0</xdr:colOff>
      <xdr:row>55</xdr:row>
      <xdr:rowOff>0</xdr:rowOff>
    </xdr:from>
    <xdr:to>
      <xdr:col>0</xdr:col>
      <xdr:colOff>828000</xdr:colOff>
      <xdr:row>55</xdr:row>
      <xdr:rowOff>297000</xdr:rowOff>
    </xdr:to>
    <xdr:pic>
      <xdr:nvPicPr>
        <xdr:cNvPr id="65" name="图片 304" descr="快充"/>
        <xdr:cNvPicPr/>
      </xdr:nvPicPr>
      <xdr:blipFill>
        <a:blip r:embed="rId65"/>
        <a:stretch/>
      </xdr:blipFill>
      <xdr:spPr>
        <a:xfrm>
          <a:off x="0" y="52425720"/>
          <a:ext cx="828000" cy="297000"/>
        </a:xfrm>
        <a:prstGeom prst="rect">
          <a:avLst/>
        </a:prstGeom>
        <a:noFill/>
        <a:ln w="9525">
          <a:noFill/>
        </a:ln>
      </xdr:spPr>
    </xdr:pic>
    <xdr:clientData/>
  </xdr:twoCellAnchor>
  <xdr:twoCellAnchor editAs="twoCell">
    <xdr:from>
      <xdr:col>0</xdr:col>
      <xdr:colOff>0</xdr:colOff>
      <xdr:row>55</xdr:row>
      <xdr:rowOff>0</xdr:rowOff>
    </xdr:from>
    <xdr:to>
      <xdr:col>0</xdr:col>
      <xdr:colOff>828000</xdr:colOff>
      <xdr:row>55</xdr:row>
      <xdr:rowOff>297000</xdr:rowOff>
    </xdr:to>
    <xdr:pic>
      <xdr:nvPicPr>
        <xdr:cNvPr id="66" name="图片 305" descr="快充"/>
        <xdr:cNvPicPr/>
      </xdr:nvPicPr>
      <xdr:blipFill>
        <a:blip r:embed="rId66"/>
        <a:stretch/>
      </xdr:blipFill>
      <xdr:spPr>
        <a:xfrm>
          <a:off x="0" y="52425720"/>
          <a:ext cx="828000" cy="297000"/>
        </a:xfrm>
        <a:prstGeom prst="rect">
          <a:avLst/>
        </a:prstGeom>
        <a:noFill/>
        <a:ln w="9525">
          <a:noFill/>
        </a:ln>
      </xdr:spPr>
    </xdr:pic>
    <xdr:clientData/>
  </xdr:twoCellAnchor>
  <xdr:twoCellAnchor editAs="twoCell">
    <xdr:from>
      <xdr:col>0</xdr:col>
      <xdr:colOff>0</xdr:colOff>
      <xdr:row>60</xdr:row>
      <xdr:rowOff>0</xdr:rowOff>
    </xdr:from>
    <xdr:to>
      <xdr:col>0</xdr:col>
      <xdr:colOff>828000</xdr:colOff>
      <xdr:row>60</xdr:row>
      <xdr:rowOff>297000</xdr:rowOff>
    </xdr:to>
    <xdr:pic>
      <xdr:nvPicPr>
        <xdr:cNvPr id="67" name="图片 306" descr="快充"/>
        <xdr:cNvPicPr/>
      </xdr:nvPicPr>
      <xdr:blipFill>
        <a:blip r:embed="rId67"/>
        <a:stretch/>
      </xdr:blipFill>
      <xdr:spPr>
        <a:xfrm>
          <a:off x="0" y="56934000"/>
          <a:ext cx="828000" cy="297000"/>
        </a:xfrm>
        <a:prstGeom prst="rect">
          <a:avLst/>
        </a:prstGeom>
        <a:noFill/>
        <a:ln w="9525">
          <a:noFill/>
        </a:ln>
      </xdr:spPr>
    </xdr:pic>
    <xdr:clientData/>
  </xdr:twoCellAnchor>
  <xdr:twoCellAnchor editAs="twoCell">
    <xdr:from>
      <xdr:col>0</xdr:col>
      <xdr:colOff>0</xdr:colOff>
      <xdr:row>62</xdr:row>
      <xdr:rowOff>0</xdr:rowOff>
    </xdr:from>
    <xdr:to>
      <xdr:col>0</xdr:col>
      <xdr:colOff>828000</xdr:colOff>
      <xdr:row>62</xdr:row>
      <xdr:rowOff>297000</xdr:rowOff>
    </xdr:to>
    <xdr:pic>
      <xdr:nvPicPr>
        <xdr:cNvPr id="68" name="图片 307" descr="快充"/>
        <xdr:cNvPicPr/>
      </xdr:nvPicPr>
      <xdr:blipFill>
        <a:blip r:embed="rId68"/>
        <a:stretch/>
      </xdr:blipFill>
      <xdr:spPr>
        <a:xfrm>
          <a:off x="0" y="58458240"/>
          <a:ext cx="828000" cy="297000"/>
        </a:xfrm>
        <a:prstGeom prst="rect">
          <a:avLst/>
        </a:prstGeom>
        <a:noFill/>
        <a:ln w="9525">
          <a:noFill/>
        </a:ln>
      </xdr:spPr>
    </xdr:pic>
    <xdr:clientData/>
  </xdr:twoCellAnchor>
  <xdr:twoCellAnchor editAs="twoCell">
    <xdr:from>
      <xdr:col>0</xdr:col>
      <xdr:colOff>0</xdr:colOff>
      <xdr:row>151</xdr:row>
      <xdr:rowOff>0</xdr:rowOff>
    </xdr:from>
    <xdr:to>
      <xdr:col>0</xdr:col>
      <xdr:colOff>828000</xdr:colOff>
      <xdr:row>151</xdr:row>
      <xdr:rowOff>297000</xdr:rowOff>
    </xdr:to>
    <xdr:pic>
      <xdr:nvPicPr>
        <xdr:cNvPr id="69" name="图片 560" descr="快充"/>
        <xdr:cNvPicPr/>
      </xdr:nvPicPr>
      <xdr:blipFill>
        <a:blip r:embed="rId69"/>
        <a:stretch/>
      </xdr:blipFill>
      <xdr:spPr>
        <a:xfrm>
          <a:off x="0" y="146561040"/>
          <a:ext cx="828000" cy="297000"/>
        </a:xfrm>
        <a:prstGeom prst="rect">
          <a:avLst/>
        </a:prstGeom>
        <a:noFill/>
        <a:ln w="9525">
          <a:noFill/>
        </a:ln>
      </xdr:spPr>
    </xdr:pic>
    <xdr:clientData/>
  </xdr:twoCellAnchor>
  <xdr:twoCellAnchor editAs="twoCell">
    <xdr:from>
      <xdr:col>0</xdr:col>
      <xdr:colOff>0</xdr:colOff>
      <xdr:row>151</xdr:row>
      <xdr:rowOff>0</xdr:rowOff>
    </xdr:from>
    <xdr:to>
      <xdr:col>0</xdr:col>
      <xdr:colOff>828000</xdr:colOff>
      <xdr:row>151</xdr:row>
      <xdr:rowOff>297000</xdr:rowOff>
    </xdr:to>
    <xdr:pic>
      <xdr:nvPicPr>
        <xdr:cNvPr id="70" name="图片 561" descr="快充"/>
        <xdr:cNvPicPr/>
      </xdr:nvPicPr>
      <xdr:blipFill>
        <a:blip r:embed="rId70"/>
        <a:stretch/>
      </xdr:blipFill>
      <xdr:spPr>
        <a:xfrm>
          <a:off x="0" y="146561040"/>
          <a:ext cx="828000" cy="297000"/>
        </a:xfrm>
        <a:prstGeom prst="rect">
          <a:avLst/>
        </a:prstGeom>
        <a:noFill/>
        <a:ln w="9525">
          <a:noFill/>
        </a:ln>
      </xdr:spPr>
    </xdr:pic>
    <xdr:clientData/>
  </xdr:twoCellAnchor>
  <xdr:twoCellAnchor editAs="twoCell">
    <xdr:from>
      <xdr:col>0</xdr:col>
      <xdr:colOff>0</xdr:colOff>
      <xdr:row>153</xdr:row>
      <xdr:rowOff>0</xdr:rowOff>
    </xdr:from>
    <xdr:to>
      <xdr:col>0</xdr:col>
      <xdr:colOff>828000</xdr:colOff>
      <xdr:row>153</xdr:row>
      <xdr:rowOff>297000</xdr:rowOff>
    </xdr:to>
    <xdr:pic>
      <xdr:nvPicPr>
        <xdr:cNvPr id="71" name="图片 564" descr="快充"/>
        <xdr:cNvPicPr/>
      </xdr:nvPicPr>
      <xdr:blipFill>
        <a:blip r:embed="rId71"/>
        <a:stretch/>
      </xdr:blipFill>
      <xdr:spPr>
        <a:xfrm>
          <a:off x="0" y="148085280"/>
          <a:ext cx="828000" cy="297000"/>
        </a:xfrm>
        <a:prstGeom prst="rect">
          <a:avLst/>
        </a:prstGeom>
        <a:noFill/>
        <a:ln w="9525">
          <a:noFill/>
        </a:ln>
      </xdr:spPr>
    </xdr:pic>
    <xdr:clientData/>
  </xdr:twoCellAnchor>
  <xdr:twoCellAnchor editAs="twoCell">
    <xdr:from>
      <xdr:col>0</xdr:col>
      <xdr:colOff>0</xdr:colOff>
      <xdr:row>155</xdr:row>
      <xdr:rowOff>0</xdr:rowOff>
    </xdr:from>
    <xdr:to>
      <xdr:col>0</xdr:col>
      <xdr:colOff>828000</xdr:colOff>
      <xdr:row>155</xdr:row>
      <xdr:rowOff>297000</xdr:rowOff>
    </xdr:to>
    <xdr:pic>
      <xdr:nvPicPr>
        <xdr:cNvPr id="72" name="图片 638" descr="快充"/>
        <xdr:cNvPicPr/>
      </xdr:nvPicPr>
      <xdr:blipFill>
        <a:blip r:embed="rId72"/>
        <a:stretch/>
      </xdr:blipFill>
      <xdr:spPr>
        <a:xfrm>
          <a:off x="0" y="151006320"/>
          <a:ext cx="828000" cy="297000"/>
        </a:xfrm>
        <a:prstGeom prst="rect">
          <a:avLst/>
        </a:prstGeom>
        <a:noFill/>
        <a:ln w="9525">
          <a:noFill/>
        </a:ln>
      </xdr:spPr>
    </xdr:pic>
    <xdr:clientData/>
  </xdr:twoCellAnchor>
  <xdr:twoCellAnchor editAs="twoCell">
    <xdr:from>
      <xdr:col>0</xdr:col>
      <xdr:colOff>0</xdr:colOff>
      <xdr:row>154</xdr:row>
      <xdr:rowOff>0</xdr:rowOff>
    </xdr:from>
    <xdr:to>
      <xdr:col>0</xdr:col>
      <xdr:colOff>828000</xdr:colOff>
      <xdr:row>154</xdr:row>
      <xdr:rowOff>297000</xdr:rowOff>
    </xdr:to>
    <xdr:pic>
      <xdr:nvPicPr>
        <xdr:cNvPr id="73" name="图片 639" descr="快充"/>
        <xdr:cNvPicPr/>
      </xdr:nvPicPr>
      <xdr:blipFill>
        <a:blip r:embed="rId73"/>
        <a:stretch/>
      </xdr:blipFill>
      <xdr:spPr>
        <a:xfrm>
          <a:off x="0" y="149545800"/>
          <a:ext cx="828000" cy="297000"/>
        </a:xfrm>
        <a:prstGeom prst="rect">
          <a:avLst/>
        </a:prstGeom>
        <a:noFill/>
        <a:ln w="9525">
          <a:noFill/>
        </a:ln>
      </xdr:spPr>
    </xdr:pic>
    <xdr:clientData/>
  </xdr:twoCellAnchor>
  <xdr:twoCellAnchor editAs="twoCell">
    <xdr:from>
      <xdr:col>0</xdr:col>
      <xdr:colOff>0</xdr:colOff>
      <xdr:row>159</xdr:row>
      <xdr:rowOff>0</xdr:rowOff>
    </xdr:from>
    <xdr:to>
      <xdr:col>0</xdr:col>
      <xdr:colOff>828000</xdr:colOff>
      <xdr:row>159</xdr:row>
      <xdr:rowOff>297000</xdr:rowOff>
    </xdr:to>
    <xdr:pic>
      <xdr:nvPicPr>
        <xdr:cNvPr id="74" name="图片 658" descr="快充"/>
        <xdr:cNvPicPr/>
      </xdr:nvPicPr>
      <xdr:blipFill>
        <a:blip r:embed="rId74"/>
        <a:stretch/>
      </xdr:blipFill>
      <xdr:spPr>
        <a:xfrm>
          <a:off x="0" y="156848040"/>
          <a:ext cx="828000" cy="297000"/>
        </a:xfrm>
        <a:prstGeom prst="rect">
          <a:avLst/>
        </a:prstGeom>
        <a:noFill/>
        <a:ln w="9525">
          <a:noFill/>
        </a:ln>
      </xdr:spPr>
    </xdr:pic>
    <xdr:clientData/>
  </xdr:twoCellAnchor>
  <xdr:twoCellAnchor editAs="twoCell">
    <xdr:from>
      <xdr:col>0</xdr:col>
      <xdr:colOff>0</xdr:colOff>
      <xdr:row>162</xdr:row>
      <xdr:rowOff>0</xdr:rowOff>
    </xdr:from>
    <xdr:to>
      <xdr:col>0</xdr:col>
      <xdr:colOff>828000</xdr:colOff>
      <xdr:row>162</xdr:row>
      <xdr:rowOff>297000</xdr:rowOff>
    </xdr:to>
    <xdr:pic>
      <xdr:nvPicPr>
        <xdr:cNvPr id="75" name="图片 675" descr="快充"/>
        <xdr:cNvPicPr/>
      </xdr:nvPicPr>
      <xdr:blipFill>
        <a:blip r:embed="rId75"/>
        <a:stretch/>
      </xdr:blipFill>
      <xdr:spPr>
        <a:xfrm>
          <a:off x="0" y="159832800"/>
          <a:ext cx="828000" cy="297000"/>
        </a:xfrm>
        <a:prstGeom prst="rect">
          <a:avLst/>
        </a:prstGeom>
        <a:noFill/>
        <a:ln w="9525">
          <a:noFill/>
        </a:ln>
      </xdr:spPr>
    </xdr:pic>
    <xdr:clientData/>
  </xdr:twoCellAnchor>
  <xdr:twoCellAnchor editAs="twoCell">
    <xdr:from>
      <xdr:col>0</xdr:col>
      <xdr:colOff>0</xdr:colOff>
      <xdr:row>162</xdr:row>
      <xdr:rowOff>0</xdr:rowOff>
    </xdr:from>
    <xdr:to>
      <xdr:col>0</xdr:col>
      <xdr:colOff>828000</xdr:colOff>
      <xdr:row>162</xdr:row>
      <xdr:rowOff>297000</xdr:rowOff>
    </xdr:to>
    <xdr:pic>
      <xdr:nvPicPr>
        <xdr:cNvPr id="76" name="图片 677" descr="快充"/>
        <xdr:cNvPicPr/>
      </xdr:nvPicPr>
      <xdr:blipFill>
        <a:blip r:embed="rId76"/>
        <a:stretch/>
      </xdr:blipFill>
      <xdr:spPr>
        <a:xfrm>
          <a:off x="0" y="159832800"/>
          <a:ext cx="828000" cy="297000"/>
        </a:xfrm>
        <a:prstGeom prst="rect">
          <a:avLst/>
        </a:prstGeom>
        <a:noFill/>
        <a:ln w="9525">
          <a:noFill/>
        </a:ln>
      </xdr:spPr>
    </xdr:pic>
    <xdr:clientData/>
  </xdr:twoCellAnchor>
  <xdr:twoCellAnchor editAs="twoCell">
    <xdr:from>
      <xdr:col>0</xdr:col>
      <xdr:colOff>0</xdr:colOff>
      <xdr:row>162</xdr:row>
      <xdr:rowOff>0</xdr:rowOff>
    </xdr:from>
    <xdr:to>
      <xdr:col>0</xdr:col>
      <xdr:colOff>828000</xdr:colOff>
      <xdr:row>162</xdr:row>
      <xdr:rowOff>297000</xdr:rowOff>
    </xdr:to>
    <xdr:pic>
      <xdr:nvPicPr>
        <xdr:cNvPr id="77" name="图片 679" descr="快充"/>
        <xdr:cNvPicPr/>
      </xdr:nvPicPr>
      <xdr:blipFill>
        <a:blip r:embed="rId77"/>
        <a:stretch/>
      </xdr:blipFill>
      <xdr:spPr>
        <a:xfrm>
          <a:off x="0" y="159832800"/>
          <a:ext cx="828000" cy="297000"/>
        </a:xfrm>
        <a:prstGeom prst="rect">
          <a:avLst/>
        </a:prstGeom>
        <a:noFill/>
        <a:ln w="9525">
          <a:noFill/>
        </a:ln>
      </xdr:spPr>
    </xdr:pic>
    <xdr:clientData/>
  </xdr:twoCellAnchor>
  <xdr:twoCellAnchor editAs="twoCell">
    <xdr:from>
      <xdr:col>0</xdr:col>
      <xdr:colOff>0</xdr:colOff>
      <xdr:row>162</xdr:row>
      <xdr:rowOff>0</xdr:rowOff>
    </xdr:from>
    <xdr:to>
      <xdr:col>0</xdr:col>
      <xdr:colOff>828000</xdr:colOff>
      <xdr:row>162</xdr:row>
      <xdr:rowOff>297000</xdr:rowOff>
    </xdr:to>
    <xdr:pic>
      <xdr:nvPicPr>
        <xdr:cNvPr id="78" name="图片 681" descr="快充"/>
        <xdr:cNvPicPr/>
      </xdr:nvPicPr>
      <xdr:blipFill>
        <a:blip r:embed="rId78"/>
        <a:stretch/>
      </xdr:blipFill>
      <xdr:spPr>
        <a:xfrm>
          <a:off x="0" y="159832800"/>
          <a:ext cx="828000" cy="297000"/>
        </a:xfrm>
        <a:prstGeom prst="rect">
          <a:avLst/>
        </a:prstGeom>
        <a:noFill/>
        <a:ln w="9525">
          <a:noFill/>
        </a:ln>
      </xdr:spPr>
    </xdr:pic>
    <xdr:clientData/>
  </xdr:twoCellAnchor>
  <xdr:twoCellAnchor editAs="twoCell">
    <xdr:from>
      <xdr:col>0</xdr:col>
      <xdr:colOff>0</xdr:colOff>
      <xdr:row>169</xdr:row>
      <xdr:rowOff>0</xdr:rowOff>
    </xdr:from>
    <xdr:to>
      <xdr:col>0</xdr:col>
      <xdr:colOff>828000</xdr:colOff>
      <xdr:row>169</xdr:row>
      <xdr:rowOff>296640</xdr:rowOff>
    </xdr:to>
    <xdr:pic>
      <xdr:nvPicPr>
        <xdr:cNvPr id="79" name="图片 691" descr="快充"/>
        <xdr:cNvPicPr/>
      </xdr:nvPicPr>
      <xdr:blipFill>
        <a:blip r:embed="rId79"/>
        <a:stretch/>
      </xdr:blipFill>
      <xdr:spPr>
        <a:xfrm>
          <a:off x="0" y="168659280"/>
          <a:ext cx="828000" cy="296640"/>
        </a:xfrm>
        <a:prstGeom prst="rect">
          <a:avLst/>
        </a:prstGeom>
        <a:noFill/>
        <a:ln w="9525">
          <a:noFill/>
        </a:ln>
      </xdr:spPr>
    </xdr:pic>
    <xdr:clientData/>
  </xdr:twoCellAnchor>
  <xdr:twoCellAnchor editAs="oneCell">
    <xdr:from>
      <xdr:col>2</xdr:col>
      <xdr:colOff>38160</xdr:colOff>
      <xdr:row>183</xdr:row>
      <xdr:rowOff>140760</xdr:rowOff>
    </xdr:from>
    <xdr:to>
      <xdr:col>2</xdr:col>
      <xdr:colOff>1208880</xdr:colOff>
      <xdr:row>183</xdr:row>
      <xdr:rowOff>1319040</xdr:rowOff>
    </xdr:to>
    <xdr:pic>
      <xdr:nvPicPr>
        <xdr:cNvPr id="80" name="图片 33" descr="12"/>
        <xdr:cNvPicPr/>
      </xdr:nvPicPr>
      <xdr:blipFill>
        <a:blip r:embed="rId80"/>
        <a:stretch/>
      </xdr:blipFill>
      <xdr:spPr>
        <a:xfrm>
          <a:off x="5605920" y="181626840"/>
          <a:ext cx="1170720" cy="1178280"/>
        </a:xfrm>
        <a:prstGeom prst="rect">
          <a:avLst/>
        </a:prstGeom>
        <a:noFill/>
        <a:ln w="9525">
          <a:noFill/>
        </a:ln>
      </xdr:spPr>
    </xdr:pic>
    <xdr:clientData/>
  </xdr:twoCellAnchor>
  <xdr:twoCellAnchor editAs="oneCell">
    <xdr:from>
      <xdr:col>1</xdr:col>
      <xdr:colOff>38160</xdr:colOff>
      <xdr:row>183</xdr:row>
      <xdr:rowOff>143640</xdr:rowOff>
    </xdr:from>
    <xdr:to>
      <xdr:col>1</xdr:col>
      <xdr:colOff>1208880</xdr:colOff>
      <xdr:row>183</xdr:row>
      <xdr:rowOff>1316160</xdr:rowOff>
    </xdr:to>
    <xdr:pic>
      <xdr:nvPicPr>
        <xdr:cNvPr id="81" name="图片 37" descr="6"/>
        <xdr:cNvPicPr/>
      </xdr:nvPicPr>
      <xdr:blipFill>
        <a:blip r:embed="rId81"/>
        <a:stretch/>
      </xdr:blipFill>
      <xdr:spPr>
        <a:xfrm>
          <a:off x="4039920" y="181629720"/>
          <a:ext cx="1170720" cy="1172520"/>
        </a:xfrm>
        <a:prstGeom prst="rect">
          <a:avLst/>
        </a:prstGeom>
        <a:noFill/>
        <a:ln w="9525">
          <a:noFill/>
        </a:ln>
      </xdr:spPr>
    </xdr:pic>
    <xdr:clientData/>
  </xdr:twoCellAnchor>
  <xdr:twoCellAnchor editAs="oneCell">
    <xdr:from>
      <xdr:col>1</xdr:col>
      <xdr:colOff>38160</xdr:colOff>
      <xdr:row>159</xdr:row>
      <xdr:rowOff>143280</xdr:rowOff>
    </xdr:from>
    <xdr:to>
      <xdr:col>1</xdr:col>
      <xdr:colOff>1208880</xdr:colOff>
      <xdr:row>159</xdr:row>
      <xdr:rowOff>1316520</xdr:rowOff>
    </xdr:to>
    <xdr:pic>
      <xdr:nvPicPr>
        <xdr:cNvPr id="82" name="图片 143" descr="3"/>
        <xdr:cNvPicPr/>
      </xdr:nvPicPr>
      <xdr:blipFill>
        <a:blip r:embed="rId82"/>
        <a:stretch/>
      </xdr:blipFill>
      <xdr:spPr>
        <a:xfrm>
          <a:off x="4039920" y="156991320"/>
          <a:ext cx="1170720" cy="1173240"/>
        </a:xfrm>
        <a:prstGeom prst="rect">
          <a:avLst/>
        </a:prstGeom>
        <a:noFill/>
        <a:ln w="9525">
          <a:noFill/>
        </a:ln>
      </xdr:spPr>
    </xdr:pic>
    <xdr:clientData/>
  </xdr:twoCellAnchor>
  <xdr:twoCellAnchor editAs="oneCell">
    <xdr:from>
      <xdr:col>2</xdr:col>
      <xdr:colOff>38160</xdr:colOff>
      <xdr:row>159</xdr:row>
      <xdr:rowOff>144000</xdr:rowOff>
    </xdr:from>
    <xdr:to>
      <xdr:col>2</xdr:col>
      <xdr:colOff>1208880</xdr:colOff>
      <xdr:row>159</xdr:row>
      <xdr:rowOff>1315440</xdr:rowOff>
    </xdr:to>
    <xdr:pic>
      <xdr:nvPicPr>
        <xdr:cNvPr id="83" name="图片 144" descr="11"/>
        <xdr:cNvPicPr/>
      </xdr:nvPicPr>
      <xdr:blipFill>
        <a:blip r:embed="rId83"/>
        <a:stretch/>
      </xdr:blipFill>
      <xdr:spPr>
        <a:xfrm>
          <a:off x="5605920" y="156992040"/>
          <a:ext cx="1170720" cy="1171440"/>
        </a:xfrm>
        <a:prstGeom prst="rect">
          <a:avLst/>
        </a:prstGeom>
        <a:noFill/>
        <a:ln w="9525">
          <a:noFill/>
        </a:ln>
      </xdr:spPr>
    </xdr:pic>
    <xdr:clientData/>
  </xdr:twoCellAnchor>
  <xdr:twoCellAnchor editAs="oneCell">
    <xdr:from>
      <xdr:col>1</xdr:col>
      <xdr:colOff>38160</xdr:colOff>
      <xdr:row>4</xdr:row>
      <xdr:rowOff>140400</xdr:rowOff>
    </xdr:from>
    <xdr:to>
      <xdr:col>1</xdr:col>
      <xdr:colOff>1208880</xdr:colOff>
      <xdr:row>4</xdr:row>
      <xdr:rowOff>1319400</xdr:rowOff>
    </xdr:to>
    <xdr:pic>
      <xdr:nvPicPr>
        <xdr:cNvPr id="84" name="图片 17" descr="C:/Users/Ray/AppData/Local/Temp/picturecompress_20220415150514/output_2.jpgoutput_2"/>
        <xdr:cNvPicPr/>
      </xdr:nvPicPr>
      <xdr:blipFill>
        <a:blip r:embed="rId84"/>
        <a:stretch/>
      </xdr:blipFill>
      <xdr:spPr>
        <a:xfrm>
          <a:off x="4039920" y="1537560"/>
          <a:ext cx="1170720" cy="1179000"/>
        </a:xfrm>
        <a:prstGeom prst="rect">
          <a:avLst/>
        </a:prstGeom>
        <a:noFill/>
        <a:ln w="9525">
          <a:noFill/>
        </a:ln>
      </xdr:spPr>
    </xdr:pic>
    <xdr:clientData/>
  </xdr:twoCellAnchor>
  <xdr:twoCellAnchor editAs="oneCell">
    <xdr:from>
      <xdr:col>2</xdr:col>
      <xdr:colOff>38160</xdr:colOff>
      <xdr:row>4</xdr:row>
      <xdr:rowOff>146160</xdr:rowOff>
    </xdr:from>
    <xdr:to>
      <xdr:col>2</xdr:col>
      <xdr:colOff>1208880</xdr:colOff>
      <xdr:row>4</xdr:row>
      <xdr:rowOff>1313640</xdr:rowOff>
    </xdr:to>
    <xdr:pic>
      <xdr:nvPicPr>
        <xdr:cNvPr id="85" name="图片 20" descr="10"/>
        <xdr:cNvPicPr/>
      </xdr:nvPicPr>
      <xdr:blipFill>
        <a:blip r:embed="rId85"/>
        <a:stretch/>
      </xdr:blipFill>
      <xdr:spPr>
        <a:xfrm>
          <a:off x="5605920" y="1543320"/>
          <a:ext cx="1170720" cy="1167480"/>
        </a:xfrm>
        <a:prstGeom prst="rect">
          <a:avLst/>
        </a:prstGeom>
        <a:noFill/>
        <a:ln w="9525">
          <a:noFill/>
        </a:ln>
      </xdr:spPr>
    </xdr:pic>
    <xdr:clientData/>
  </xdr:twoCellAnchor>
  <xdr:twoCellAnchor editAs="oneCell">
    <xdr:from>
      <xdr:col>1</xdr:col>
      <xdr:colOff>38160</xdr:colOff>
      <xdr:row>182</xdr:row>
      <xdr:rowOff>132840</xdr:rowOff>
    </xdr:from>
    <xdr:to>
      <xdr:col>1</xdr:col>
      <xdr:colOff>1208880</xdr:colOff>
      <xdr:row>182</xdr:row>
      <xdr:rowOff>1327320</xdr:rowOff>
    </xdr:to>
    <xdr:pic>
      <xdr:nvPicPr>
        <xdr:cNvPr id="86" name="图片 58" descr="C:/Users/Ray/AppData/Local/Temp/picturecompress_20211118150721/output_214.jpgoutput_214"/>
        <xdr:cNvPicPr/>
      </xdr:nvPicPr>
      <xdr:blipFill>
        <a:blip r:embed="rId86"/>
        <a:stretch/>
      </xdr:blipFill>
      <xdr:spPr>
        <a:xfrm>
          <a:off x="4039920" y="180158400"/>
          <a:ext cx="1170720" cy="1194480"/>
        </a:xfrm>
        <a:prstGeom prst="rect">
          <a:avLst/>
        </a:prstGeom>
        <a:noFill/>
        <a:ln w="9525">
          <a:noFill/>
        </a:ln>
      </xdr:spPr>
    </xdr:pic>
    <xdr:clientData/>
  </xdr:twoCellAnchor>
  <xdr:twoCellAnchor editAs="oneCell">
    <xdr:from>
      <xdr:col>2</xdr:col>
      <xdr:colOff>38160</xdr:colOff>
      <xdr:row>182</xdr:row>
      <xdr:rowOff>144000</xdr:rowOff>
    </xdr:from>
    <xdr:to>
      <xdr:col>2</xdr:col>
      <xdr:colOff>1208880</xdr:colOff>
      <xdr:row>182</xdr:row>
      <xdr:rowOff>1315440</xdr:rowOff>
    </xdr:to>
    <xdr:pic>
      <xdr:nvPicPr>
        <xdr:cNvPr id="87" name="图片 11" descr="12"/>
        <xdr:cNvPicPr/>
      </xdr:nvPicPr>
      <xdr:blipFill>
        <a:blip r:embed="rId87"/>
        <a:stretch/>
      </xdr:blipFill>
      <xdr:spPr>
        <a:xfrm>
          <a:off x="5605920" y="180169560"/>
          <a:ext cx="1170720" cy="1171440"/>
        </a:xfrm>
        <a:prstGeom prst="rect">
          <a:avLst/>
        </a:prstGeom>
        <a:noFill/>
        <a:ln w="9525">
          <a:noFill/>
        </a:ln>
      </xdr:spPr>
    </xdr:pic>
    <xdr:clientData/>
  </xdr:twoCellAnchor>
  <xdr:twoCellAnchor editAs="oneCell">
    <xdr:from>
      <xdr:col>1</xdr:col>
      <xdr:colOff>38160</xdr:colOff>
      <xdr:row>58</xdr:row>
      <xdr:rowOff>174960</xdr:rowOff>
    </xdr:from>
    <xdr:to>
      <xdr:col>1</xdr:col>
      <xdr:colOff>1208880</xdr:colOff>
      <xdr:row>59</xdr:row>
      <xdr:rowOff>586080</xdr:rowOff>
    </xdr:to>
    <xdr:pic>
      <xdr:nvPicPr>
        <xdr:cNvPr id="88" name="图片 91" descr="2"/>
        <xdr:cNvPicPr/>
      </xdr:nvPicPr>
      <xdr:blipFill>
        <a:blip r:embed="rId88"/>
        <a:stretch/>
      </xdr:blipFill>
      <xdr:spPr>
        <a:xfrm>
          <a:off x="4039920" y="55585080"/>
          <a:ext cx="1170720" cy="1173240"/>
        </a:xfrm>
        <a:prstGeom prst="rect">
          <a:avLst/>
        </a:prstGeom>
        <a:noFill/>
        <a:ln w="9525">
          <a:noFill/>
        </a:ln>
      </xdr:spPr>
    </xdr:pic>
    <xdr:clientData/>
  </xdr:twoCellAnchor>
  <xdr:twoCellAnchor editAs="oneCell">
    <xdr:from>
      <xdr:col>2</xdr:col>
      <xdr:colOff>38160</xdr:colOff>
      <xdr:row>58</xdr:row>
      <xdr:rowOff>174960</xdr:rowOff>
    </xdr:from>
    <xdr:to>
      <xdr:col>2</xdr:col>
      <xdr:colOff>1208880</xdr:colOff>
      <xdr:row>59</xdr:row>
      <xdr:rowOff>586080</xdr:rowOff>
    </xdr:to>
    <xdr:pic>
      <xdr:nvPicPr>
        <xdr:cNvPr id="89" name="图片 93" descr="10"/>
        <xdr:cNvPicPr/>
      </xdr:nvPicPr>
      <xdr:blipFill>
        <a:blip r:embed="rId89"/>
        <a:stretch/>
      </xdr:blipFill>
      <xdr:spPr>
        <a:xfrm>
          <a:off x="5605920" y="55585080"/>
          <a:ext cx="1170720" cy="1173240"/>
        </a:xfrm>
        <a:prstGeom prst="rect">
          <a:avLst/>
        </a:prstGeom>
        <a:noFill/>
        <a:ln w="9525">
          <a:noFill/>
        </a:ln>
      </xdr:spPr>
    </xdr:pic>
    <xdr:clientData/>
  </xdr:twoCellAnchor>
  <xdr:twoCellAnchor editAs="oneCell">
    <xdr:from>
      <xdr:col>1</xdr:col>
      <xdr:colOff>38160</xdr:colOff>
      <xdr:row>129</xdr:row>
      <xdr:rowOff>173520</xdr:rowOff>
    </xdr:from>
    <xdr:to>
      <xdr:col>1</xdr:col>
      <xdr:colOff>1208880</xdr:colOff>
      <xdr:row>130</xdr:row>
      <xdr:rowOff>587880</xdr:rowOff>
    </xdr:to>
    <xdr:pic>
      <xdr:nvPicPr>
        <xdr:cNvPr id="90" name="图片 42" descr="3"/>
        <xdr:cNvPicPr/>
      </xdr:nvPicPr>
      <xdr:blipFill>
        <a:blip r:embed="rId90"/>
        <a:stretch/>
      </xdr:blipFill>
      <xdr:spPr>
        <a:xfrm>
          <a:off x="4039920" y="127176840"/>
          <a:ext cx="1170720" cy="1176120"/>
        </a:xfrm>
        <a:prstGeom prst="rect">
          <a:avLst/>
        </a:prstGeom>
        <a:noFill/>
        <a:ln w="9525">
          <a:noFill/>
        </a:ln>
      </xdr:spPr>
    </xdr:pic>
    <xdr:clientData/>
  </xdr:twoCellAnchor>
  <xdr:twoCellAnchor editAs="oneCell">
    <xdr:from>
      <xdr:col>2</xdr:col>
      <xdr:colOff>38160</xdr:colOff>
      <xdr:row>129</xdr:row>
      <xdr:rowOff>176040</xdr:rowOff>
    </xdr:from>
    <xdr:to>
      <xdr:col>2</xdr:col>
      <xdr:colOff>1208880</xdr:colOff>
      <xdr:row>130</xdr:row>
      <xdr:rowOff>585000</xdr:rowOff>
    </xdr:to>
    <xdr:pic>
      <xdr:nvPicPr>
        <xdr:cNvPr id="91" name="图片 43" descr="11"/>
        <xdr:cNvPicPr/>
      </xdr:nvPicPr>
      <xdr:blipFill>
        <a:blip r:embed="rId91"/>
        <a:stretch/>
      </xdr:blipFill>
      <xdr:spPr>
        <a:xfrm>
          <a:off x="5605920" y="127179360"/>
          <a:ext cx="1170720" cy="1170720"/>
        </a:xfrm>
        <a:prstGeom prst="rect">
          <a:avLst/>
        </a:prstGeom>
        <a:noFill/>
        <a:ln w="9525">
          <a:noFill/>
        </a:ln>
      </xdr:spPr>
    </xdr:pic>
    <xdr:clientData/>
  </xdr:twoCellAnchor>
  <xdr:twoCellAnchor editAs="oneCell">
    <xdr:from>
      <xdr:col>1</xdr:col>
      <xdr:colOff>38160</xdr:colOff>
      <xdr:row>132</xdr:row>
      <xdr:rowOff>174960</xdr:rowOff>
    </xdr:from>
    <xdr:to>
      <xdr:col>1</xdr:col>
      <xdr:colOff>1208880</xdr:colOff>
      <xdr:row>133</xdr:row>
      <xdr:rowOff>586080</xdr:rowOff>
    </xdr:to>
    <xdr:pic>
      <xdr:nvPicPr>
        <xdr:cNvPr id="92" name="图片 72" descr="3"/>
        <xdr:cNvPicPr/>
      </xdr:nvPicPr>
      <xdr:blipFill>
        <a:blip r:embed="rId92"/>
        <a:stretch/>
      </xdr:blipFill>
      <xdr:spPr>
        <a:xfrm>
          <a:off x="4039920" y="130162680"/>
          <a:ext cx="1170720" cy="1173240"/>
        </a:xfrm>
        <a:prstGeom prst="rect">
          <a:avLst/>
        </a:prstGeom>
        <a:noFill/>
        <a:ln w="9525">
          <a:noFill/>
        </a:ln>
      </xdr:spPr>
    </xdr:pic>
    <xdr:clientData/>
  </xdr:twoCellAnchor>
  <xdr:twoCellAnchor editAs="oneCell">
    <xdr:from>
      <xdr:col>2</xdr:col>
      <xdr:colOff>38160</xdr:colOff>
      <xdr:row>132</xdr:row>
      <xdr:rowOff>177480</xdr:rowOff>
    </xdr:from>
    <xdr:to>
      <xdr:col>2</xdr:col>
      <xdr:colOff>1208880</xdr:colOff>
      <xdr:row>133</xdr:row>
      <xdr:rowOff>583920</xdr:rowOff>
    </xdr:to>
    <xdr:pic>
      <xdr:nvPicPr>
        <xdr:cNvPr id="93" name="图片 98" descr="11"/>
        <xdr:cNvPicPr/>
      </xdr:nvPicPr>
      <xdr:blipFill>
        <a:blip r:embed="rId93"/>
        <a:stretch/>
      </xdr:blipFill>
      <xdr:spPr>
        <a:xfrm>
          <a:off x="5605920" y="130165200"/>
          <a:ext cx="1170720" cy="1168560"/>
        </a:xfrm>
        <a:prstGeom prst="rect">
          <a:avLst/>
        </a:prstGeom>
        <a:noFill/>
        <a:ln w="9525">
          <a:noFill/>
        </a:ln>
      </xdr:spPr>
    </xdr:pic>
    <xdr:clientData/>
  </xdr:twoCellAnchor>
  <xdr:twoCellAnchor editAs="oneCell">
    <xdr:from>
      <xdr:col>1</xdr:col>
      <xdr:colOff>38160</xdr:colOff>
      <xdr:row>134</xdr:row>
      <xdr:rowOff>174960</xdr:rowOff>
    </xdr:from>
    <xdr:to>
      <xdr:col>1</xdr:col>
      <xdr:colOff>1208880</xdr:colOff>
      <xdr:row>135</xdr:row>
      <xdr:rowOff>586080</xdr:rowOff>
    </xdr:to>
    <xdr:pic>
      <xdr:nvPicPr>
        <xdr:cNvPr id="94" name="图片 111" descr="2"/>
        <xdr:cNvPicPr/>
      </xdr:nvPicPr>
      <xdr:blipFill>
        <a:blip r:embed="rId94"/>
        <a:stretch/>
      </xdr:blipFill>
      <xdr:spPr>
        <a:xfrm>
          <a:off x="4039920" y="131686560"/>
          <a:ext cx="1170720" cy="1173240"/>
        </a:xfrm>
        <a:prstGeom prst="rect">
          <a:avLst/>
        </a:prstGeom>
        <a:noFill/>
        <a:ln w="9525">
          <a:noFill/>
        </a:ln>
      </xdr:spPr>
    </xdr:pic>
    <xdr:clientData/>
  </xdr:twoCellAnchor>
  <xdr:twoCellAnchor editAs="oneCell">
    <xdr:from>
      <xdr:col>2</xdr:col>
      <xdr:colOff>38160</xdr:colOff>
      <xdr:row>134</xdr:row>
      <xdr:rowOff>177480</xdr:rowOff>
    </xdr:from>
    <xdr:to>
      <xdr:col>2</xdr:col>
      <xdr:colOff>1208880</xdr:colOff>
      <xdr:row>135</xdr:row>
      <xdr:rowOff>583920</xdr:rowOff>
    </xdr:to>
    <xdr:pic>
      <xdr:nvPicPr>
        <xdr:cNvPr id="95" name="图片 115" descr="11"/>
        <xdr:cNvPicPr/>
      </xdr:nvPicPr>
      <xdr:blipFill>
        <a:blip r:embed="rId95"/>
        <a:stretch/>
      </xdr:blipFill>
      <xdr:spPr>
        <a:xfrm>
          <a:off x="5605920" y="131689080"/>
          <a:ext cx="1170720" cy="1168560"/>
        </a:xfrm>
        <a:prstGeom prst="rect">
          <a:avLst/>
        </a:prstGeom>
        <a:noFill/>
        <a:ln w="9525">
          <a:noFill/>
        </a:ln>
      </xdr:spPr>
    </xdr:pic>
    <xdr:clientData/>
  </xdr:twoCellAnchor>
  <xdr:twoCellAnchor editAs="oneCell">
    <xdr:from>
      <xdr:col>1</xdr:col>
      <xdr:colOff>38160</xdr:colOff>
      <xdr:row>136</xdr:row>
      <xdr:rowOff>173880</xdr:rowOff>
    </xdr:from>
    <xdr:to>
      <xdr:col>1</xdr:col>
      <xdr:colOff>1208880</xdr:colOff>
      <xdr:row>137</xdr:row>
      <xdr:rowOff>587520</xdr:rowOff>
    </xdr:to>
    <xdr:pic>
      <xdr:nvPicPr>
        <xdr:cNvPr id="96" name="图片 120" descr="2"/>
        <xdr:cNvPicPr/>
      </xdr:nvPicPr>
      <xdr:blipFill>
        <a:blip r:embed="rId96"/>
        <a:stretch/>
      </xdr:blipFill>
      <xdr:spPr>
        <a:xfrm>
          <a:off x="4039920" y="133209720"/>
          <a:ext cx="1170720" cy="1175400"/>
        </a:xfrm>
        <a:prstGeom prst="rect">
          <a:avLst/>
        </a:prstGeom>
        <a:noFill/>
        <a:ln w="9525">
          <a:noFill/>
        </a:ln>
      </xdr:spPr>
    </xdr:pic>
    <xdr:clientData/>
  </xdr:twoCellAnchor>
  <xdr:twoCellAnchor editAs="oneCell">
    <xdr:from>
      <xdr:col>1</xdr:col>
      <xdr:colOff>38160</xdr:colOff>
      <xdr:row>138</xdr:row>
      <xdr:rowOff>172080</xdr:rowOff>
    </xdr:from>
    <xdr:to>
      <xdr:col>1</xdr:col>
      <xdr:colOff>1208880</xdr:colOff>
      <xdr:row>139</xdr:row>
      <xdr:rowOff>588960</xdr:rowOff>
    </xdr:to>
    <xdr:pic>
      <xdr:nvPicPr>
        <xdr:cNvPr id="97" name="图片 133" descr="3"/>
        <xdr:cNvPicPr/>
      </xdr:nvPicPr>
      <xdr:blipFill>
        <a:blip r:embed="rId97"/>
        <a:stretch/>
      </xdr:blipFill>
      <xdr:spPr>
        <a:xfrm>
          <a:off x="4039920" y="134731800"/>
          <a:ext cx="1170720" cy="1179000"/>
        </a:xfrm>
        <a:prstGeom prst="rect">
          <a:avLst/>
        </a:prstGeom>
        <a:noFill/>
        <a:ln w="9525">
          <a:noFill/>
        </a:ln>
      </xdr:spPr>
    </xdr:pic>
    <xdr:clientData/>
  </xdr:twoCellAnchor>
  <xdr:twoCellAnchor editAs="oneCell">
    <xdr:from>
      <xdr:col>2</xdr:col>
      <xdr:colOff>38160</xdr:colOff>
      <xdr:row>138</xdr:row>
      <xdr:rowOff>173880</xdr:rowOff>
    </xdr:from>
    <xdr:to>
      <xdr:col>2</xdr:col>
      <xdr:colOff>1208880</xdr:colOff>
      <xdr:row>139</xdr:row>
      <xdr:rowOff>587160</xdr:rowOff>
    </xdr:to>
    <xdr:pic>
      <xdr:nvPicPr>
        <xdr:cNvPr id="98" name="图片 146" descr="11"/>
        <xdr:cNvPicPr/>
      </xdr:nvPicPr>
      <xdr:blipFill>
        <a:blip r:embed="rId98"/>
        <a:stretch/>
      </xdr:blipFill>
      <xdr:spPr>
        <a:xfrm>
          <a:off x="5605920" y="134733600"/>
          <a:ext cx="1170720" cy="1175400"/>
        </a:xfrm>
        <a:prstGeom prst="rect">
          <a:avLst/>
        </a:prstGeom>
        <a:noFill/>
        <a:ln w="9525">
          <a:noFill/>
        </a:ln>
      </xdr:spPr>
    </xdr:pic>
    <xdr:clientData/>
  </xdr:twoCellAnchor>
  <xdr:twoCellAnchor editAs="oneCell">
    <xdr:from>
      <xdr:col>1</xdr:col>
      <xdr:colOff>38160</xdr:colOff>
      <xdr:row>140</xdr:row>
      <xdr:rowOff>150840</xdr:rowOff>
    </xdr:from>
    <xdr:to>
      <xdr:col>1</xdr:col>
      <xdr:colOff>1208880</xdr:colOff>
      <xdr:row>141</xdr:row>
      <xdr:rowOff>610200</xdr:rowOff>
    </xdr:to>
    <xdr:pic>
      <xdr:nvPicPr>
        <xdr:cNvPr id="99" name="图片 147" descr="2"/>
        <xdr:cNvPicPr/>
      </xdr:nvPicPr>
      <xdr:blipFill>
        <a:blip r:embed="rId99"/>
        <a:stretch/>
      </xdr:blipFill>
      <xdr:spPr>
        <a:xfrm>
          <a:off x="4039920" y="136234440"/>
          <a:ext cx="1170720" cy="1221480"/>
        </a:xfrm>
        <a:prstGeom prst="rect">
          <a:avLst/>
        </a:prstGeom>
        <a:noFill/>
        <a:ln w="9525">
          <a:noFill/>
        </a:ln>
      </xdr:spPr>
    </xdr:pic>
    <xdr:clientData/>
  </xdr:twoCellAnchor>
  <xdr:twoCellAnchor editAs="oneCell">
    <xdr:from>
      <xdr:col>2</xdr:col>
      <xdr:colOff>38160</xdr:colOff>
      <xdr:row>140</xdr:row>
      <xdr:rowOff>156240</xdr:rowOff>
    </xdr:from>
    <xdr:to>
      <xdr:col>2</xdr:col>
      <xdr:colOff>1208880</xdr:colOff>
      <xdr:row>141</xdr:row>
      <xdr:rowOff>604440</xdr:rowOff>
    </xdr:to>
    <xdr:pic>
      <xdr:nvPicPr>
        <xdr:cNvPr id="100" name="图片 152" descr="11"/>
        <xdr:cNvPicPr/>
      </xdr:nvPicPr>
      <xdr:blipFill>
        <a:blip r:embed="rId100"/>
        <a:stretch/>
      </xdr:blipFill>
      <xdr:spPr>
        <a:xfrm>
          <a:off x="5605920" y="136239840"/>
          <a:ext cx="1170720" cy="1210320"/>
        </a:xfrm>
        <a:prstGeom prst="rect">
          <a:avLst/>
        </a:prstGeom>
        <a:noFill/>
        <a:ln w="9525">
          <a:noFill/>
        </a:ln>
      </xdr:spPr>
    </xdr:pic>
    <xdr:clientData/>
  </xdr:twoCellAnchor>
  <xdr:twoCellAnchor editAs="oneCell">
    <xdr:from>
      <xdr:col>1</xdr:col>
      <xdr:colOff>38160</xdr:colOff>
      <xdr:row>142</xdr:row>
      <xdr:rowOff>176400</xdr:rowOff>
    </xdr:from>
    <xdr:to>
      <xdr:col>1</xdr:col>
      <xdr:colOff>1208880</xdr:colOff>
      <xdr:row>143</xdr:row>
      <xdr:rowOff>585000</xdr:rowOff>
    </xdr:to>
    <xdr:pic>
      <xdr:nvPicPr>
        <xdr:cNvPr id="101" name="图片 154" descr="3"/>
        <xdr:cNvPicPr/>
      </xdr:nvPicPr>
      <xdr:blipFill>
        <a:blip r:embed="rId101"/>
        <a:stretch/>
      </xdr:blipFill>
      <xdr:spPr>
        <a:xfrm>
          <a:off x="4039920" y="137784240"/>
          <a:ext cx="1170720" cy="1170360"/>
        </a:xfrm>
        <a:prstGeom prst="rect">
          <a:avLst/>
        </a:prstGeom>
        <a:noFill/>
        <a:ln w="9525">
          <a:noFill/>
        </a:ln>
      </xdr:spPr>
    </xdr:pic>
    <xdr:clientData/>
  </xdr:twoCellAnchor>
  <xdr:twoCellAnchor editAs="oneCell">
    <xdr:from>
      <xdr:col>2</xdr:col>
      <xdr:colOff>38160</xdr:colOff>
      <xdr:row>142</xdr:row>
      <xdr:rowOff>176400</xdr:rowOff>
    </xdr:from>
    <xdr:to>
      <xdr:col>2</xdr:col>
      <xdr:colOff>1208880</xdr:colOff>
      <xdr:row>143</xdr:row>
      <xdr:rowOff>585000</xdr:rowOff>
    </xdr:to>
    <xdr:pic>
      <xdr:nvPicPr>
        <xdr:cNvPr id="102" name="图片 166" descr="11"/>
        <xdr:cNvPicPr/>
      </xdr:nvPicPr>
      <xdr:blipFill>
        <a:blip r:embed="rId102"/>
        <a:stretch/>
      </xdr:blipFill>
      <xdr:spPr>
        <a:xfrm>
          <a:off x="5605920" y="137784240"/>
          <a:ext cx="1170720" cy="1170360"/>
        </a:xfrm>
        <a:prstGeom prst="rect">
          <a:avLst/>
        </a:prstGeom>
        <a:noFill/>
        <a:ln w="9525">
          <a:noFill/>
        </a:ln>
      </xdr:spPr>
    </xdr:pic>
    <xdr:clientData/>
  </xdr:twoCellAnchor>
  <xdr:twoCellAnchor editAs="oneCell">
    <xdr:from>
      <xdr:col>1</xdr:col>
      <xdr:colOff>38160</xdr:colOff>
      <xdr:row>144</xdr:row>
      <xdr:rowOff>176400</xdr:rowOff>
    </xdr:from>
    <xdr:to>
      <xdr:col>1</xdr:col>
      <xdr:colOff>1208880</xdr:colOff>
      <xdr:row>145</xdr:row>
      <xdr:rowOff>584640</xdr:rowOff>
    </xdr:to>
    <xdr:pic>
      <xdr:nvPicPr>
        <xdr:cNvPr id="103" name="图片 167" descr="2"/>
        <xdr:cNvPicPr/>
      </xdr:nvPicPr>
      <xdr:blipFill>
        <a:blip r:embed="rId103"/>
        <a:stretch/>
      </xdr:blipFill>
      <xdr:spPr>
        <a:xfrm>
          <a:off x="4039920" y="139308120"/>
          <a:ext cx="1170720" cy="1170360"/>
        </a:xfrm>
        <a:prstGeom prst="rect">
          <a:avLst/>
        </a:prstGeom>
        <a:noFill/>
        <a:ln w="9525">
          <a:noFill/>
        </a:ln>
      </xdr:spPr>
    </xdr:pic>
    <xdr:clientData/>
  </xdr:twoCellAnchor>
  <xdr:twoCellAnchor editAs="oneCell">
    <xdr:from>
      <xdr:col>2</xdr:col>
      <xdr:colOff>38160</xdr:colOff>
      <xdr:row>144</xdr:row>
      <xdr:rowOff>176400</xdr:rowOff>
    </xdr:from>
    <xdr:to>
      <xdr:col>2</xdr:col>
      <xdr:colOff>1208880</xdr:colOff>
      <xdr:row>145</xdr:row>
      <xdr:rowOff>584640</xdr:rowOff>
    </xdr:to>
    <xdr:pic>
      <xdr:nvPicPr>
        <xdr:cNvPr id="104" name="图片 172" descr="11"/>
        <xdr:cNvPicPr/>
      </xdr:nvPicPr>
      <xdr:blipFill>
        <a:blip r:embed="rId104"/>
        <a:stretch/>
      </xdr:blipFill>
      <xdr:spPr>
        <a:xfrm>
          <a:off x="5605920" y="139308120"/>
          <a:ext cx="1170720" cy="1170360"/>
        </a:xfrm>
        <a:prstGeom prst="rect">
          <a:avLst/>
        </a:prstGeom>
        <a:noFill/>
        <a:ln w="9525">
          <a:noFill/>
        </a:ln>
      </xdr:spPr>
    </xdr:pic>
    <xdr:clientData/>
  </xdr:twoCellAnchor>
  <xdr:twoCellAnchor editAs="twoCell">
    <xdr:from>
      <xdr:col>0</xdr:col>
      <xdr:colOff>9360</xdr:colOff>
      <xdr:row>128</xdr:row>
      <xdr:rowOff>5760</xdr:rowOff>
    </xdr:from>
    <xdr:to>
      <xdr:col>0</xdr:col>
      <xdr:colOff>837360</xdr:colOff>
      <xdr:row>128</xdr:row>
      <xdr:rowOff>297000</xdr:rowOff>
    </xdr:to>
    <xdr:pic>
      <xdr:nvPicPr>
        <xdr:cNvPr id="105" name="图片 183" descr="快充"/>
        <xdr:cNvPicPr/>
      </xdr:nvPicPr>
      <xdr:blipFill>
        <a:blip r:embed="rId105"/>
        <a:stretch/>
      </xdr:blipFill>
      <xdr:spPr>
        <a:xfrm>
          <a:off x="9360" y="125548560"/>
          <a:ext cx="828000" cy="291240"/>
        </a:xfrm>
        <a:prstGeom prst="rect">
          <a:avLst/>
        </a:prstGeom>
        <a:noFill/>
        <a:ln w="9525">
          <a:noFill/>
        </a:ln>
      </xdr:spPr>
    </xdr:pic>
    <xdr:clientData/>
  </xdr:twoCellAnchor>
  <xdr:twoCellAnchor editAs="twoCell">
    <xdr:from>
      <xdr:col>0</xdr:col>
      <xdr:colOff>9360</xdr:colOff>
      <xdr:row>129</xdr:row>
      <xdr:rowOff>3240</xdr:rowOff>
    </xdr:from>
    <xdr:to>
      <xdr:col>0</xdr:col>
      <xdr:colOff>837360</xdr:colOff>
      <xdr:row>129</xdr:row>
      <xdr:rowOff>299880</xdr:rowOff>
    </xdr:to>
    <xdr:pic>
      <xdr:nvPicPr>
        <xdr:cNvPr id="106" name="图片 187" descr="快充"/>
        <xdr:cNvPicPr/>
      </xdr:nvPicPr>
      <xdr:blipFill>
        <a:blip r:embed="rId106"/>
        <a:stretch/>
      </xdr:blipFill>
      <xdr:spPr>
        <a:xfrm>
          <a:off x="9360" y="127006560"/>
          <a:ext cx="828000" cy="296640"/>
        </a:xfrm>
        <a:prstGeom prst="rect">
          <a:avLst/>
        </a:prstGeom>
        <a:noFill/>
        <a:ln w="9525">
          <a:noFill/>
        </a:ln>
      </xdr:spPr>
    </xdr:pic>
    <xdr:clientData/>
  </xdr:twoCellAnchor>
  <xdr:twoCellAnchor editAs="twoCell">
    <xdr:from>
      <xdr:col>0</xdr:col>
      <xdr:colOff>9360</xdr:colOff>
      <xdr:row>138</xdr:row>
      <xdr:rowOff>3240</xdr:rowOff>
    </xdr:from>
    <xdr:to>
      <xdr:col>0</xdr:col>
      <xdr:colOff>837360</xdr:colOff>
      <xdr:row>138</xdr:row>
      <xdr:rowOff>299880</xdr:rowOff>
    </xdr:to>
    <xdr:pic>
      <xdr:nvPicPr>
        <xdr:cNvPr id="107" name="图片 251" descr="快充"/>
        <xdr:cNvPicPr/>
      </xdr:nvPicPr>
      <xdr:blipFill>
        <a:blip r:embed="rId107"/>
        <a:stretch/>
      </xdr:blipFill>
      <xdr:spPr>
        <a:xfrm>
          <a:off x="9360" y="134562960"/>
          <a:ext cx="828000" cy="296640"/>
        </a:xfrm>
        <a:prstGeom prst="rect">
          <a:avLst/>
        </a:prstGeom>
        <a:noFill/>
        <a:ln w="9525">
          <a:noFill/>
        </a:ln>
      </xdr:spPr>
    </xdr:pic>
    <xdr:clientData/>
  </xdr:twoCellAnchor>
  <xdr:twoCellAnchor editAs="twoCell">
    <xdr:from>
      <xdr:col>0</xdr:col>
      <xdr:colOff>9360</xdr:colOff>
      <xdr:row>136</xdr:row>
      <xdr:rowOff>3240</xdr:rowOff>
    </xdr:from>
    <xdr:to>
      <xdr:col>0</xdr:col>
      <xdr:colOff>837360</xdr:colOff>
      <xdr:row>136</xdr:row>
      <xdr:rowOff>299880</xdr:rowOff>
    </xdr:to>
    <xdr:pic>
      <xdr:nvPicPr>
        <xdr:cNvPr id="108" name="图片 264" descr="快充"/>
        <xdr:cNvPicPr/>
      </xdr:nvPicPr>
      <xdr:blipFill>
        <a:blip r:embed="rId108"/>
        <a:stretch/>
      </xdr:blipFill>
      <xdr:spPr>
        <a:xfrm>
          <a:off x="9360" y="133039080"/>
          <a:ext cx="828000" cy="296640"/>
        </a:xfrm>
        <a:prstGeom prst="rect">
          <a:avLst/>
        </a:prstGeom>
        <a:noFill/>
        <a:ln w="9525">
          <a:noFill/>
        </a:ln>
      </xdr:spPr>
    </xdr:pic>
    <xdr:clientData/>
  </xdr:twoCellAnchor>
  <xdr:twoCellAnchor editAs="oneCell">
    <xdr:from>
      <xdr:col>1</xdr:col>
      <xdr:colOff>38160</xdr:colOff>
      <xdr:row>32</xdr:row>
      <xdr:rowOff>172440</xdr:rowOff>
    </xdr:from>
    <xdr:to>
      <xdr:col>1</xdr:col>
      <xdr:colOff>1208880</xdr:colOff>
      <xdr:row>33</xdr:row>
      <xdr:rowOff>588960</xdr:rowOff>
    </xdr:to>
    <xdr:pic>
      <xdr:nvPicPr>
        <xdr:cNvPr id="109" name="图片 407" descr="1"/>
        <xdr:cNvPicPr/>
      </xdr:nvPicPr>
      <xdr:blipFill>
        <a:blip r:embed="rId109"/>
        <a:stretch/>
      </xdr:blipFill>
      <xdr:spPr>
        <a:xfrm>
          <a:off x="4039920" y="25991640"/>
          <a:ext cx="1170720" cy="1178280"/>
        </a:xfrm>
        <a:prstGeom prst="rect">
          <a:avLst/>
        </a:prstGeom>
        <a:noFill/>
        <a:ln w="9525">
          <a:noFill/>
        </a:ln>
      </xdr:spPr>
    </xdr:pic>
    <xdr:clientData/>
  </xdr:twoCellAnchor>
  <xdr:twoCellAnchor editAs="oneCell">
    <xdr:from>
      <xdr:col>2</xdr:col>
      <xdr:colOff>38160</xdr:colOff>
      <xdr:row>32</xdr:row>
      <xdr:rowOff>172440</xdr:rowOff>
    </xdr:from>
    <xdr:to>
      <xdr:col>2</xdr:col>
      <xdr:colOff>1208880</xdr:colOff>
      <xdr:row>33</xdr:row>
      <xdr:rowOff>588960</xdr:rowOff>
    </xdr:to>
    <xdr:pic>
      <xdr:nvPicPr>
        <xdr:cNvPr id="110" name="图片 409" descr="2"/>
        <xdr:cNvPicPr/>
      </xdr:nvPicPr>
      <xdr:blipFill>
        <a:blip r:embed="rId110"/>
        <a:stretch/>
      </xdr:blipFill>
      <xdr:spPr>
        <a:xfrm>
          <a:off x="5605920" y="25991640"/>
          <a:ext cx="1170720" cy="1178280"/>
        </a:xfrm>
        <a:prstGeom prst="rect">
          <a:avLst/>
        </a:prstGeom>
        <a:noFill/>
        <a:ln w="9525">
          <a:noFill/>
        </a:ln>
      </xdr:spPr>
    </xdr:pic>
    <xdr:clientData/>
  </xdr:twoCellAnchor>
  <xdr:twoCellAnchor editAs="oneCell">
    <xdr:from>
      <xdr:col>1</xdr:col>
      <xdr:colOff>38160</xdr:colOff>
      <xdr:row>34</xdr:row>
      <xdr:rowOff>143280</xdr:rowOff>
    </xdr:from>
    <xdr:to>
      <xdr:col>1</xdr:col>
      <xdr:colOff>1208880</xdr:colOff>
      <xdr:row>34</xdr:row>
      <xdr:rowOff>1316520</xdr:rowOff>
    </xdr:to>
    <xdr:pic>
      <xdr:nvPicPr>
        <xdr:cNvPr id="111" name="图片 411" descr="3"/>
        <xdr:cNvPicPr/>
      </xdr:nvPicPr>
      <xdr:blipFill>
        <a:blip r:embed="rId111"/>
        <a:stretch/>
      </xdr:blipFill>
      <xdr:spPr>
        <a:xfrm>
          <a:off x="4039920" y="27486360"/>
          <a:ext cx="1170720" cy="1173240"/>
        </a:xfrm>
        <a:prstGeom prst="rect">
          <a:avLst/>
        </a:prstGeom>
        <a:noFill/>
        <a:ln w="9525">
          <a:noFill/>
        </a:ln>
      </xdr:spPr>
    </xdr:pic>
    <xdr:clientData/>
  </xdr:twoCellAnchor>
  <xdr:twoCellAnchor editAs="oneCell">
    <xdr:from>
      <xdr:col>2</xdr:col>
      <xdr:colOff>38160</xdr:colOff>
      <xdr:row>34</xdr:row>
      <xdr:rowOff>143280</xdr:rowOff>
    </xdr:from>
    <xdr:to>
      <xdr:col>2</xdr:col>
      <xdr:colOff>1208880</xdr:colOff>
      <xdr:row>34</xdr:row>
      <xdr:rowOff>1316520</xdr:rowOff>
    </xdr:to>
    <xdr:pic>
      <xdr:nvPicPr>
        <xdr:cNvPr id="112" name="图片 413" descr="4"/>
        <xdr:cNvPicPr/>
      </xdr:nvPicPr>
      <xdr:blipFill>
        <a:blip r:embed="rId112"/>
        <a:stretch/>
      </xdr:blipFill>
      <xdr:spPr>
        <a:xfrm>
          <a:off x="5605920" y="27486360"/>
          <a:ext cx="1170720" cy="1173240"/>
        </a:xfrm>
        <a:prstGeom prst="rect">
          <a:avLst/>
        </a:prstGeom>
        <a:noFill/>
        <a:ln w="9525">
          <a:noFill/>
        </a:ln>
      </xdr:spPr>
    </xdr:pic>
    <xdr:clientData/>
  </xdr:twoCellAnchor>
  <xdr:twoCellAnchor editAs="oneCell">
    <xdr:from>
      <xdr:col>2</xdr:col>
      <xdr:colOff>38160</xdr:colOff>
      <xdr:row>35</xdr:row>
      <xdr:rowOff>143640</xdr:rowOff>
    </xdr:from>
    <xdr:to>
      <xdr:col>2</xdr:col>
      <xdr:colOff>1208880</xdr:colOff>
      <xdr:row>35</xdr:row>
      <xdr:rowOff>1316160</xdr:rowOff>
    </xdr:to>
    <xdr:pic>
      <xdr:nvPicPr>
        <xdr:cNvPr id="113" name="图片 432" descr="5"/>
        <xdr:cNvPicPr/>
      </xdr:nvPicPr>
      <xdr:blipFill>
        <a:blip r:embed="rId113"/>
        <a:stretch/>
      </xdr:blipFill>
      <xdr:spPr>
        <a:xfrm>
          <a:off x="5605920" y="28947240"/>
          <a:ext cx="1170720" cy="1172520"/>
        </a:xfrm>
        <a:prstGeom prst="rect">
          <a:avLst/>
        </a:prstGeom>
        <a:noFill/>
        <a:ln w="9525">
          <a:noFill/>
        </a:ln>
      </xdr:spPr>
    </xdr:pic>
    <xdr:clientData/>
  </xdr:twoCellAnchor>
  <xdr:twoCellAnchor editAs="oneCell">
    <xdr:from>
      <xdr:col>1</xdr:col>
      <xdr:colOff>38160</xdr:colOff>
      <xdr:row>35</xdr:row>
      <xdr:rowOff>143640</xdr:rowOff>
    </xdr:from>
    <xdr:to>
      <xdr:col>1</xdr:col>
      <xdr:colOff>1208880</xdr:colOff>
      <xdr:row>35</xdr:row>
      <xdr:rowOff>1316160</xdr:rowOff>
    </xdr:to>
    <xdr:pic>
      <xdr:nvPicPr>
        <xdr:cNvPr id="114" name="图片 433" descr="3"/>
        <xdr:cNvPicPr/>
      </xdr:nvPicPr>
      <xdr:blipFill>
        <a:blip r:embed="rId114"/>
        <a:stretch/>
      </xdr:blipFill>
      <xdr:spPr>
        <a:xfrm>
          <a:off x="4039920" y="28947240"/>
          <a:ext cx="1170720" cy="1172520"/>
        </a:xfrm>
        <a:prstGeom prst="rect">
          <a:avLst/>
        </a:prstGeom>
        <a:noFill/>
        <a:ln w="9525">
          <a:noFill/>
        </a:ln>
      </xdr:spPr>
    </xdr:pic>
    <xdr:clientData/>
  </xdr:twoCellAnchor>
  <xdr:twoCellAnchor editAs="oneCell">
    <xdr:from>
      <xdr:col>1</xdr:col>
      <xdr:colOff>38160</xdr:colOff>
      <xdr:row>36</xdr:row>
      <xdr:rowOff>173520</xdr:rowOff>
    </xdr:from>
    <xdr:to>
      <xdr:col>1</xdr:col>
      <xdr:colOff>1208880</xdr:colOff>
      <xdr:row>37</xdr:row>
      <xdr:rowOff>587520</xdr:rowOff>
    </xdr:to>
    <xdr:pic>
      <xdr:nvPicPr>
        <xdr:cNvPr id="115" name="图片 434" descr="1"/>
        <xdr:cNvPicPr/>
      </xdr:nvPicPr>
      <xdr:blipFill>
        <a:blip r:embed="rId115"/>
        <a:stretch/>
      </xdr:blipFill>
      <xdr:spPr>
        <a:xfrm>
          <a:off x="4039920" y="30437640"/>
          <a:ext cx="1170720" cy="1176120"/>
        </a:xfrm>
        <a:prstGeom prst="rect">
          <a:avLst/>
        </a:prstGeom>
        <a:noFill/>
        <a:ln w="9525">
          <a:noFill/>
        </a:ln>
      </xdr:spPr>
    </xdr:pic>
    <xdr:clientData/>
  </xdr:twoCellAnchor>
  <xdr:twoCellAnchor editAs="oneCell">
    <xdr:from>
      <xdr:col>2</xdr:col>
      <xdr:colOff>38160</xdr:colOff>
      <xdr:row>36</xdr:row>
      <xdr:rowOff>173520</xdr:rowOff>
    </xdr:from>
    <xdr:to>
      <xdr:col>2</xdr:col>
      <xdr:colOff>1208880</xdr:colOff>
      <xdr:row>37</xdr:row>
      <xdr:rowOff>587520</xdr:rowOff>
    </xdr:to>
    <xdr:pic>
      <xdr:nvPicPr>
        <xdr:cNvPr id="116" name="图片 437" descr="2"/>
        <xdr:cNvPicPr/>
      </xdr:nvPicPr>
      <xdr:blipFill>
        <a:blip r:embed="rId116"/>
        <a:stretch/>
      </xdr:blipFill>
      <xdr:spPr>
        <a:xfrm>
          <a:off x="5605920" y="30437640"/>
          <a:ext cx="1170720" cy="1176120"/>
        </a:xfrm>
        <a:prstGeom prst="rect">
          <a:avLst/>
        </a:prstGeom>
        <a:noFill/>
        <a:ln w="9525">
          <a:noFill/>
        </a:ln>
      </xdr:spPr>
    </xdr:pic>
    <xdr:clientData/>
  </xdr:twoCellAnchor>
  <xdr:twoCellAnchor editAs="oneCell">
    <xdr:from>
      <xdr:col>1</xdr:col>
      <xdr:colOff>38160</xdr:colOff>
      <xdr:row>38</xdr:row>
      <xdr:rowOff>143640</xdr:rowOff>
    </xdr:from>
    <xdr:to>
      <xdr:col>1</xdr:col>
      <xdr:colOff>1208880</xdr:colOff>
      <xdr:row>38</xdr:row>
      <xdr:rowOff>1316160</xdr:rowOff>
    </xdr:to>
    <xdr:pic>
      <xdr:nvPicPr>
        <xdr:cNvPr id="117" name="图片 438" descr="3"/>
        <xdr:cNvPicPr/>
      </xdr:nvPicPr>
      <xdr:blipFill>
        <a:blip r:embed="rId117"/>
        <a:stretch/>
      </xdr:blipFill>
      <xdr:spPr>
        <a:xfrm>
          <a:off x="4039920" y="31931640"/>
          <a:ext cx="1170720" cy="1172520"/>
        </a:xfrm>
        <a:prstGeom prst="rect">
          <a:avLst/>
        </a:prstGeom>
        <a:noFill/>
        <a:ln w="9525">
          <a:noFill/>
        </a:ln>
      </xdr:spPr>
    </xdr:pic>
    <xdr:clientData/>
  </xdr:twoCellAnchor>
  <xdr:twoCellAnchor editAs="oneCell">
    <xdr:from>
      <xdr:col>2</xdr:col>
      <xdr:colOff>38160</xdr:colOff>
      <xdr:row>38</xdr:row>
      <xdr:rowOff>143640</xdr:rowOff>
    </xdr:from>
    <xdr:to>
      <xdr:col>2</xdr:col>
      <xdr:colOff>1208880</xdr:colOff>
      <xdr:row>38</xdr:row>
      <xdr:rowOff>1316160</xdr:rowOff>
    </xdr:to>
    <xdr:pic>
      <xdr:nvPicPr>
        <xdr:cNvPr id="118" name="图片 440" descr="4"/>
        <xdr:cNvPicPr/>
      </xdr:nvPicPr>
      <xdr:blipFill>
        <a:blip r:embed="rId118"/>
        <a:stretch/>
      </xdr:blipFill>
      <xdr:spPr>
        <a:xfrm>
          <a:off x="5605920" y="31931640"/>
          <a:ext cx="1170720" cy="1172520"/>
        </a:xfrm>
        <a:prstGeom prst="rect">
          <a:avLst/>
        </a:prstGeom>
        <a:noFill/>
        <a:ln w="9525">
          <a:noFill/>
        </a:ln>
      </xdr:spPr>
    </xdr:pic>
    <xdr:clientData/>
  </xdr:twoCellAnchor>
  <xdr:twoCellAnchor editAs="oneCell">
    <xdr:from>
      <xdr:col>2</xdr:col>
      <xdr:colOff>38160</xdr:colOff>
      <xdr:row>39</xdr:row>
      <xdr:rowOff>143640</xdr:rowOff>
    </xdr:from>
    <xdr:to>
      <xdr:col>2</xdr:col>
      <xdr:colOff>1208880</xdr:colOff>
      <xdr:row>39</xdr:row>
      <xdr:rowOff>1316160</xdr:rowOff>
    </xdr:to>
    <xdr:pic>
      <xdr:nvPicPr>
        <xdr:cNvPr id="119" name="图片 445" descr="5"/>
        <xdr:cNvPicPr/>
      </xdr:nvPicPr>
      <xdr:blipFill>
        <a:blip r:embed="rId119"/>
        <a:stretch/>
      </xdr:blipFill>
      <xdr:spPr>
        <a:xfrm>
          <a:off x="5605920" y="33392160"/>
          <a:ext cx="1170720" cy="1172520"/>
        </a:xfrm>
        <a:prstGeom prst="rect">
          <a:avLst/>
        </a:prstGeom>
        <a:noFill/>
        <a:ln w="9525">
          <a:noFill/>
        </a:ln>
      </xdr:spPr>
    </xdr:pic>
    <xdr:clientData/>
  </xdr:twoCellAnchor>
  <xdr:twoCellAnchor editAs="oneCell">
    <xdr:from>
      <xdr:col>1</xdr:col>
      <xdr:colOff>38160</xdr:colOff>
      <xdr:row>39</xdr:row>
      <xdr:rowOff>143640</xdr:rowOff>
    </xdr:from>
    <xdr:to>
      <xdr:col>1</xdr:col>
      <xdr:colOff>1208880</xdr:colOff>
      <xdr:row>39</xdr:row>
      <xdr:rowOff>1316160</xdr:rowOff>
    </xdr:to>
    <xdr:pic>
      <xdr:nvPicPr>
        <xdr:cNvPr id="120" name="图片 446" descr="3"/>
        <xdr:cNvPicPr/>
      </xdr:nvPicPr>
      <xdr:blipFill>
        <a:blip r:embed="rId120"/>
        <a:stretch/>
      </xdr:blipFill>
      <xdr:spPr>
        <a:xfrm>
          <a:off x="4039920" y="33392160"/>
          <a:ext cx="1170720" cy="1172520"/>
        </a:xfrm>
        <a:prstGeom prst="rect">
          <a:avLst/>
        </a:prstGeom>
        <a:noFill/>
        <a:ln w="9525">
          <a:noFill/>
        </a:ln>
      </xdr:spPr>
    </xdr:pic>
    <xdr:clientData/>
  </xdr:twoCellAnchor>
  <xdr:twoCellAnchor editAs="oneCell">
    <xdr:from>
      <xdr:col>1</xdr:col>
      <xdr:colOff>38160</xdr:colOff>
      <xdr:row>40</xdr:row>
      <xdr:rowOff>176400</xdr:rowOff>
    </xdr:from>
    <xdr:to>
      <xdr:col>1</xdr:col>
      <xdr:colOff>1208880</xdr:colOff>
      <xdr:row>41</xdr:row>
      <xdr:rowOff>584640</xdr:rowOff>
    </xdr:to>
    <xdr:pic>
      <xdr:nvPicPr>
        <xdr:cNvPr id="121" name="图片 447" descr="1"/>
        <xdr:cNvPicPr/>
      </xdr:nvPicPr>
      <xdr:blipFill>
        <a:blip r:embed="rId121"/>
        <a:stretch/>
      </xdr:blipFill>
      <xdr:spPr>
        <a:xfrm>
          <a:off x="4039920" y="34885440"/>
          <a:ext cx="1170720" cy="1170360"/>
        </a:xfrm>
        <a:prstGeom prst="rect">
          <a:avLst/>
        </a:prstGeom>
        <a:noFill/>
        <a:ln w="9525">
          <a:noFill/>
        </a:ln>
      </xdr:spPr>
    </xdr:pic>
    <xdr:clientData/>
  </xdr:twoCellAnchor>
  <xdr:twoCellAnchor editAs="oneCell">
    <xdr:from>
      <xdr:col>2</xdr:col>
      <xdr:colOff>38160</xdr:colOff>
      <xdr:row>40</xdr:row>
      <xdr:rowOff>176400</xdr:rowOff>
    </xdr:from>
    <xdr:to>
      <xdr:col>2</xdr:col>
      <xdr:colOff>1208880</xdr:colOff>
      <xdr:row>41</xdr:row>
      <xdr:rowOff>584640</xdr:rowOff>
    </xdr:to>
    <xdr:pic>
      <xdr:nvPicPr>
        <xdr:cNvPr id="122" name="图片 448" descr="2"/>
        <xdr:cNvPicPr/>
      </xdr:nvPicPr>
      <xdr:blipFill>
        <a:blip r:embed="rId122"/>
        <a:stretch/>
      </xdr:blipFill>
      <xdr:spPr>
        <a:xfrm>
          <a:off x="5605920" y="34885440"/>
          <a:ext cx="1170720" cy="1170360"/>
        </a:xfrm>
        <a:prstGeom prst="rect">
          <a:avLst/>
        </a:prstGeom>
        <a:noFill/>
        <a:ln w="9525">
          <a:noFill/>
        </a:ln>
      </xdr:spPr>
    </xdr:pic>
    <xdr:clientData/>
  </xdr:twoCellAnchor>
  <xdr:twoCellAnchor editAs="oneCell">
    <xdr:from>
      <xdr:col>1</xdr:col>
      <xdr:colOff>38160</xdr:colOff>
      <xdr:row>42</xdr:row>
      <xdr:rowOff>143280</xdr:rowOff>
    </xdr:from>
    <xdr:to>
      <xdr:col>1</xdr:col>
      <xdr:colOff>1208880</xdr:colOff>
      <xdr:row>42</xdr:row>
      <xdr:rowOff>1316520</xdr:rowOff>
    </xdr:to>
    <xdr:pic>
      <xdr:nvPicPr>
        <xdr:cNvPr id="123" name="图片 450" descr="3"/>
        <xdr:cNvPicPr/>
      </xdr:nvPicPr>
      <xdr:blipFill>
        <a:blip r:embed="rId123"/>
        <a:stretch/>
      </xdr:blipFill>
      <xdr:spPr>
        <a:xfrm>
          <a:off x="4039920" y="36376560"/>
          <a:ext cx="1170720" cy="1173240"/>
        </a:xfrm>
        <a:prstGeom prst="rect">
          <a:avLst/>
        </a:prstGeom>
        <a:noFill/>
        <a:ln w="9525">
          <a:noFill/>
        </a:ln>
      </xdr:spPr>
    </xdr:pic>
    <xdr:clientData/>
  </xdr:twoCellAnchor>
  <xdr:twoCellAnchor editAs="oneCell">
    <xdr:from>
      <xdr:col>2</xdr:col>
      <xdr:colOff>38160</xdr:colOff>
      <xdr:row>42</xdr:row>
      <xdr:rowOff>143280</xdr:rowOff>
    </xdr:from>
    <xdr:to>
      <xdr:col>2</xdr:col>
      <xdr:colOff>1208880</xdr:colOff>
      <xdr:row>42</xdr:row>
      <xdr:rowOff>1316520</xdr:rowOff>
    </xdr:to>
    <xdr:pic>
      <xdr:nvPicPr>
        <xdr:cNvPr id="124" name="图片 451" descr="4"/>
        <xdr:cNvPicPr/>
      </xdr:nvPicPr>
      <xdr:blipFill>
        <a:blip r:embed="rId124"/>
        <a:stretch/>
      </xdr:blipFill>
      <xdr:spPr>
        <a:xfrm>
          <a:off x="5605920" y="36376560"/>
          <a:ext cx="1170720" cy="1173240"/>
        </a:xfrm>
        <a:prstGeom prst="rect">
          <a:avLst/>
        </a:prstGeom>
        <a:noFill/>
        <a:ln w="9525">
          <a:noFill/>
        </a:ln>
      </xdr:spPr>
    </xdr:pic>
    <xdr:clientData/>
  </xdr:twoCellAnchor>
  <xdr:twoCellAnchor editAs="oneCell">
    <xdr:from>
      <xdr:col>2</xdr:col>
      <xdr:colOff>38160</xdr:colOff>
      <xdr:row>47</xdr:row>
      <xdr:rowOff>143640</xdr:rowOff>
    </xdr:from>
    <xdr:to>
      <xdr:col>2</xdr:col>
      <xdr:colOff>1208880</xdr:colOff>
      <xdr:row>47</xdr:row>
      <xdr:rowOff>1316160</xdr:rowOff>
    </xdr:to>
    <xdr:pic>
      <xdr:nvPicPr>
        <xdr:cNvPr id="125" name="图片 452" descr="5"/>
        <xdr:cNvPicPr/>
      </xdr:nvPicPr>
      <xdr:blipFill>
        <a:blip r:embed="rId125"/>
        <a:stretch/>
      </xdr:blipFill>
      <xdr:spPr>
        <a:xfrm>
          <a:off x="5605920" y="42282360"/>
          <a:ext cx="1170720" cy="1172520"/>
        </a:xfrm>
        <a:prstGeom prst="rect">
          <a:avLst/>
        </a:prstGeom>
        <a:noFill/>
        <a:ln w="9525">
          <a:noFill/>
        </a:ln>
      </xdr:spPr>
    </xdr:pic>
    <xdr:clientData/>
  </xdr:twoCellAnchor>
  <xdr:twoCellAnchor editAs="oneCell">
    <xdr:from>
      <xdr:col>1</xdr:col>
      <xdr:colOff>38160</xdr:colOff>
      <xdr:row>47</xdr:row>
      <xdr:rowOff>143640</xdr:rowOff>
    </xdr:from>
    <xdr:to>
      <xdr:col>1</xdr:col>
      <xdr:colOff>1208880</xdr:colOff>
      <xdr:row>47</xdr:row>
      <xdr:rowOff>1316160</xdr:rowOff>
    </xdr:to>
    <xdr:pic>
      <xdr:nvPicPr>
        <xdr:cNvPr id="126" name="图片 455" descr="3"/>
        <xdr:cNvPicPr/>
      </xdr:nvPicPr>
      <xdr:blipFill>
        <a:blip r:embed="rId126"/>
        <a:stretch/>
      </xdr:blipFill>
      <xdr:spPr>
        <a:xfrm>
          <a:off x="4039920" y="42282360"/>
          <a:ext cx="1170720" cy="1172520"/>
        </a:xfrm>
        <a:prstGeom prst="rect">
          <a:avLst/>
        </a:prstGeom>
        <a:noFill/>
        <a:ln w="9525">
          <a:noFill/>
        </a:ln>
      </xdr:spPr>
    </xdr:pic>
    <xdr:clientData/>
  </xdr:twoCellAnchor>
  <xdr:twoCellAnchor editAs="oneCell">
    <xdr:from>
      <xdr:col>1</xdr:col>
      <xdr:colOff>38160</xdr:colOff>
      <xdr:row>44</xdr:row>
      <xdr:rowOff>176400</xdr:rowOff>
    </xdr:from>
    <xdr:to>
      <xdr:col>1</xdr:col>
      <xdr:colOff>1208880</xdr:colOff>
      <xdr:row>45</xdr:row>
      <xdr:rowOff>584640</xdr:rowOff>
    </xdr:to>
    <xdr:pic>
      <xdr:nvPicPr>
        <xdr:cNvPr id="127" name="图片 456" descr="1"/>
        <xdr:cNvPicPr/>
      </xdr:nvPicPr>
      <xdr:blipFill>
        <a:blip r:embed="rId127"/>
        <a:stretch/>
      </xdr:blipFill>
      <xdr:spPr>
        <a:xfrm>
          <a:off x="4039920" y="39330360"/>
          <a:ext cx="1170720" cy="1170360"/>
        </a:xfrm>
        <a:prstGeom prst="rect">
          <a:avLst/>
        </a:prstGeom>
        <a:noFill/>
        <a:ln w="9525">
          <a:noFill/>
        </a:ln>
      </xdr:spPr>
    </xdr:pic>
    <xdr:clientData/>
  </xdr:twoCellAnchor>
  <xdr:twoCellAnchor editAs="oneCell">
    <xdr:from>
      <xdr:col>2</xdr:col>
      <xdr:colOff>38160</xdr:colOff>
      <xdr:row>44</xdr:row>
      <xdr:rowOff>176400</xdr:rowOff>
    </xdr:from>
    <xdr:to>
      <xdr:col>2</xdr:col>
      <xdr:colOff>1208880</xdr:colOff>
      <xdr:row>45</xdr:row>
      <xdr:rowOff>584640</xdr:rowOff>
    </xdr:to>
    <xdr:pic>
      <xdr:nvPicPr>
        <xdr:cNvPr id="128" name="图片 458" descr="2"/>
        <xdr:cNvPicPr/>
      </xdr:nvPicPr>
      <xdr:blipFill>
        <a:blip r:embed="rId128"/>
        <a:stretch/>
      </xdr:blipFill>
      <xdr:spPr>
        <a:xfrm>
          <a:off x="5605920" y="39330360"/>
          <a:ext cx="1170720" cy="1170360"/>
        </a:xfrm>
        <a:prstGeom prst="rect">
          <a:avLst/>
        </a:prstGeom>
        <a:noFill/>
        <a:ln w="9525">
          <a:noFill/>
        </a:ln>
      </xdr:spPr>
    </xdr:pic>
    <xdr:clientData/>
  </xdr:twoCellAnchor>
  <xdr:twoCellAnchor editAs="oneCell">
    <xdr:from>
      <xdr:col>1</xdr:col>
      <xdr:colOff>38160</xdr:colOff>
      <xdr:row>46</xdr:row>
      <xdr:rowOff>143280</xdr:rowOff>
    </xdr:from>
    <xdr:to>
      <xdr:col>1</xdr:col>
      <xdr:colOff>1208880</xdr:colOff>
      <xdr:row>46</xdr:row>
      <xdr:rowOff>1316520</xdr:rowOff>
    </xdr:to>
    <xdr:pic>
      <xdr:nvPicPr>
        <xdr:cNvPr id="129" name="图片 459" descr="3"/>
        <xdr:cNvPicPr/>
      </xdr:nvPicPr>
      <xdr:blipFill>
        <a:blip r:embed="rId129"/>
        <a:stretch/>
      </xdr:blipFill>
      <xdr:spPr>
        <a:xfrm>
          <a:off x="4039920" y="40821480"/>
          <a:ext cx="1170720" cy="1173240"/>
        </a:xfrm>
        <a:prstGeom prst="rect">
          <a:avLst/>
        </a:prstGeom>
        <a:noFill/>
        <a:ln w="9525">
          <a:noFill/>
        </a:ln>
      </xdr:spPr>
    </xdr:pic>
    <xdr:clientData/>
  </xdr:twoCellAnchor>
  <xdr:twoCellAnchor editAs="oneCell">
    <xdr:from>
      <xdr:col>2</xdr:col>
      <xdr:colOff>38160</xdr:colOff>
      <xdr:row>46</xdr:row>
      <xdr:rowOff>143280</xdr:rowOff>
    </xdr:from>
    <xdr:to>
      <xdr:col>2</xdr:col>
      <xdr:colOff>1208880</xdr:colOff>
      <xdr:row>46</xdr:row>
      <xdr:rowOff>1316520</xdr:rowOff>
    </xdr:to>
    <xdr:pic>
      <xdr:nvPicPr>
        <xdr:cNvPr id="130" name="图片 469" descr="4"/>
        <xdr:cNvPicPr/>
      </xdr:nvPicPr>
      <xdr:blipFill>
        <a:blip r:embed="rId130"/>
        <a:stretch/>
      </xdr:blipFill>
      <xdr:spPr>
        <a:xfrm>
          <a:off x="5605920" y="40821480"/>
          <a:ext cx="1170720" cy="1173240"/>
        </a:xfrm>
        <a:prstGeom prst="rect">
          <a:avLst/>
        </a:prstGeom>
        <a:noFill/>
        <a:ln w="9525">
          <a:noFill/>
        </a:ln>
      </xdr:spPr>
    </xdr:pic>
    <xdr:clientData/>
  </xdr:twoCellAnchor>
  <xdr:twoCellAnchor editAs="oneCell">
    <xdr:from>
      <xdr:col>2</xdr:col>
      <xdr:colOff>38160</xdr:colOff>
      <xdr:row>43</xdr:row>
      <xdr:rowOff>143280</xdr:rowOff>
    </xdr:from>
    <xdr:to>
      <xdr:col>2</xdr:col>
      <xdr:colOff>1208880</xdr:colOff>
      <xdr:row>43</xdr:row>
      <xdr:rowOff>1316520</xdr:rowOff>
    </xdr:to>
    <xdr:pic>
      <xdr:nvPicPr>
        <xdr:cNvPr id="131" name="图片 470" descr="5"/>
        <xdr:cNvPicPr/>
      </xdr:nvPicPr>
      <xdr:blipFill>
        <a:blip r:embed="rId131"/>
        <a:stretch/>
      </xdr:blipFill>
      <xdr:spPr>
        <a:xfrm>
          <a:off x="5605920" y="37836720"/>
          <a:ext cx="1170720" cy="1173240"/>
        </a:xfrm>
        <a:prstGeom prst="rect">
          <a:avLst/>
        </a:prstGeom>
        <a:noFill/>
        <a:ln w="9525">
          <a:noFill/>
        </a:ln>
      </xdr:spPr>
    </xdr:pic>
    <xdr:clientData/>
  </xdr:twoCellAnchor>
  <xdr:twoCellAnchor editAs="oneCell">
    <xdr:from>
      <xdr:col>1</xdr:col>
      <xdr:colOff>38160</xdr:colOff>
      <xdr:row>43</xdr:row>
      <xdr:rowOff>143280</xdr:rowOff>
    </xdr:from>
    <xdr:to>
      <xdr:col>1</xdr:col>
      <xdr:colOff>1208880</xdr:colOff>
      <xdr:row>43</xdr:row>
      <xdr:rowOff>1316520</xdr:rowOff>
    </xdr:to>
    <xdr:pic>
      <xdr:nvPicPr>
        <xdr:cNvPr id="132" name="图片 477" descr="3"/>
        <xdr:cNvPicPr/>
      </xdr:nvPicPr>
      <xdr:blipFill>
        <a:blip r:embed="rId132"/>
        <a:stretch/>
      </xdr:blipFill>
      <xdr:spPr>
        <a:xfrm>
          <a:off x="4039920" y="37836720"/>
          <a:ext cx="1170720" cy="1173240"/>
        </a:xfrm>
        <a:prstGeom prst="rect">
          <a:avLst/>
        </a:prstGeom>
        <a:noFill/>
        <a:ln w="9525">
          <a:noFill/>
        </a:ln>
      </xdr:spPr>
    </xdr:pic>
    <xdr:clientData/>
  </xdr:twoCellAnchor>
  <xdr:twoCellAnchor editAs="oneCell">
    <xdr:from>
      <xdr:col>1</xdr:col>
      <xdr:colOff>38160</xdr:colOff>
      <xdr:row>48</xdr:row>
      <xdr:rowOff>176400</xdr:rowOff>
    </xdr:from>
    <xdr:to>
      <xdr:col>1</xdr:col>
      <xdr:colOff>1208880</xdr:colOff>
      <xdr:row>49</xdr:row>
      <xdr:rowOff>585000</xdr:rowOff>
    </xdr:to>
    <xdr:pic>
      <xdr:nvPicPr>
        <xdr:cNvPr id="133" name="图片 478" descr="1"/>
        <xdr:cNvPicPr/>
      </xdr:nvPicPr>
      <xdr:blipFill>
        <a:blip r:embed="rId133"/>
        <a:stretch/>
      </xdr:blipFill>
      <xdr:spPr>
        <a:xfrm>
          <a:off x="4039920" y="43775640"/>
          <a:ext cx="1170720" cy="1170360"/>
        </a:xfrm>
        <a:prstGeom prst="rect">
          <a:avLst/>
        </a:prstGeom>
        <a:noFill/>
        <a:ln w="9525">
          <a:noFill/>
        </a:ln>
      </xdr:spPr>
    </xdr:pic>
    <xdr:clientData/>
  </xdr:twoCellAnchor>
  <xdr:twoCellAnchor editAs="oneCell">
    <xdr:from>
      <xdr:col>2</xdr:col>
      <xdr:colOff>38160</xdr:colOff>
      <xdr:row>48</xdr:row>
      <xdr:rowOff>176400</xdr:rowOff>
    </xdr:from>
    <xdr:to>
      <xdr:col>2</xdr:col>
      <xdr:colOff>1208880</xdr:colOff>
      <xdr:row>49</xdr:row>
      <xdr:rowOff>585000</xdr:rowOff>
    </xdr:to>
    <xdr:pic>
      <xdr:nvPicPr>
        <xdr:cNvPr id="134" name="图片 479" descr="2"/>
        <xdr:cNvPicPr/>
      </xdr:nvPicPr>
      <xdr:blipFill>
        <a:blip r:embed="rId134"/>
        <a:stretch/>
      </xdr:blipFill>
      <xdr:spPr>
        <a:xfrm>
          <a:off x="5605920" y="43775640"/>
          <a:ext cx="1170720" cy="1170360"/>
        </a:xfrm>
        <a:prstGeom prst="rect">
          <a:avLst/>
        </a:prstGeom>
        <a:noFill/>
        <a:ln w="9525">
          <a:noFill/>
        </a:ln>
      </xdr:spPr>
    </xdr:pic>
    <xdr:clientData/>
  </xdr:twoCellAnchor>
  <xdr:twoCellAnchor editAs="oneCell">
    <xdr:from>
      <xdr:col>1</xdr:col>
      <xdr:colOff>38160</xdr:colOff>
      <xdr:row>50</xdr:row>
      <xdr:rowOff>143280</xdr:rowOff>
    </xdr:from>
    <xdr:to>
      <xdr:col>1</xdr:col>
      <xdr:colOff>1208880</xdr:colOff>
      <xdr:row>50</xdr:row>
      <xdr:rowOff>1316520</xdr:rowOff>
    </xdr:to>
    <xdr:pic>
      <xdr:nvPicPr>
        <xdr:cNvPr id="135" name="图片 480" descr="3"/>
        <xdr:cNvPicPr/>
      </xdr:nvPicPr>
      <xdr:blipFill>
        <a:blip r:embed="rId135"/>
        <a:stretch/>
      </xdr:blipFill>
      <xdr:spPr>
        <a:xfrm>
          <a:off x="4039920" y="45266400"/>
          <a:ext cx="1170720" cy="1173240"/>
        </a:xfrm>
        <a:prstGeom prst="rect">
          <a:avLst/>
        </a:prstGeom>
        <a:noFill/>
        <a:ln w="9525">
          <a:noFill/>
        </a:ln>
      </xdr:spPr>
    </xdr:pic>
    <xdr:clientData/>
  </xdr:twoCellAnchor>
  <xdr:twoCellAnchor editAs="oneCell">
    <xdr:from>
      <xdr:col>2</xdr:col>
      <xdr:colOff>38160</xdr:colOff>
      <xdr:row>50</xdr:row>
      <xdr:rowOff>143280</xdr:rowOff>
    </xdr:from>
    <xdr:to>
      <xdr:col>2</xdr:col>
      <xdr:colOff>1208880</xdr:colOff>
      <xdr:row>50</xdr:row>
      <xdr:rowOff>1316520</xdr:rowOff>
    </xdr:to>
    <xdr:pic>
      <xdr:nvPicPr>
        <xdr:cNvPr id="136" name="图片 482" descr="4"/>
        <xdr:cNvPicPr/>
      </xdr:nvPicPr>
      <xdr:blipFill>
        <a:blip r:embed="rId136"/>
        <a:stretch/>
      </xdr:blipFill>
      <xdr:spPr>
        <a:xfrm>
          <a:off x="5605920" y="45266400"/>
          <a:ext cx="1170720" cy="1173240"/>
        </a:xfrm>
        <a:prstGeom prst="rect">
          <a:avLst/>
        </a:prstGeom>
        <a:noFill/>
        <a:ln w="9525">
          <a:noFill/>
        </a:ln>
      </xdr:spPr>
    </xdr:pic>
    <xdr:clientData/>
  </xdr:twoCellAnchor>
  <xdr:twoCellAnchor editAs="oneCell">
    <xdr:from>
      <xdr:col>2</xdr:col>
      <xdr:colOff>38160</xdr:colOff>
      <xdr:row>51</xdr:row>
      <xdr:rowOff>143280</xdr:rowOff>
    </xdr:from>
    <xdr:to>
      <xdr:col>2</xdr:col>
      <xdr:colOff>1208880</xdr:colOff>
      <xdr:row>51</xdr:row>
      <xdr:rowOff>1316520</xdr:rowOff>
    </xdr:to>
    <xdr:pic>
      <xdr:nvPicPr>
        <xdr:cNvPr id="137" name="图片 484" descr="5"/>
        <xdr:cNvPicPr/>
      </xdr:nvPicPr>
      <xdr:blipFill>
        <a:blip r:embed="rId137"/>
        <a:stretch/>
      </xdr:blipFill>
      <xdr:spPr>
        <a:xfrm>
          <a:off x="5605920" y="46726920"/>
          <a:ext cx="1170720" cy="1173240"/>
        </a:xfrm>
        <a:prstGeom prst="rect">
          <a:avLst/>
        </a:prstGeom>
        <a:noFill/>
        <a:ln w="9525">
          <a:noFill/>
        </a:ln>
      </xdr:spPr>
    </xdr:pic>
    <xdr:clientData/>
  </xdr:twoCellAnchor>
  <xdr:twoCellAnchor editAs="oneCell">
    <xdr:from>
      <xdr:col>1</xdr:col>
      <xdr:colOff>38160</xdr:colOff>
      <xdr:row>51</xdr:row>
      <xdr:rowOff>143280</xdr:rowOff>
    </xdr:from>
    <xdr:to>
      <xdr:col>1</xdr:col>
      <xdr:colOff>1208880</xdr:colOff>
      <xdr:row>51</xdr:row>
      <xdr:rowOff>1316520</xdr:rowOff>
    </xdr:to>
    <xdr:pic>
      <xdr:nvPicPr>
        <xdr:cNvPr id="138" name="图片 486" descr="3"/>
        <xdr:cNvPicPr/>
      </xdr:nvPicPr>
      <xdr:blipFill>
        <a:blip r:embed="rId138"/>
        <a:stretch/>
      </xdr:blipFill>
      <xdr:spPr>
        <a:xfrm>
          <a:off x="4039920" y="46726920"/>
          <a:ext cx="1170720" cy="1173240"/>
        </a:xfrm>
        <a:prstGeom prst="rect">
          <a:avLst/>
        </a:prstGeom>
        <a:noFill/>
        <a:ln w="9525">
          <a:noFill/>
        </a:ln>
      </xdr:spPr>
    </xdr:pic>
    <xdr:clientData/>
  </xdr:twoCellAnchor>
  <xdr:twoCellAnchor editAs="twoCell">
    <xdr:from>
      <xdr:col>0</xdr:col>
      <xdr:colOff>9360</xdr:colOff>
      <xdr:row>32</xdr:row>
      <xdr:rowOff>3240</xdr:rowOff>
    </xdr:from>
    <xdr:to>
      <xdr:col>0</xdr:col>
      <xdr:colOff>855000</xdr:colOff>
      <xdr:row>32</xdr:row>
      <xdr:rowOff>299880</xdr:rowOff>
    </xdr:to>
    <xdr:pic>
      <xdr:nvPicPr>
        <xdr:cNvPr id="139" name="图片 499" descr="快充"/>
        <xdr:cNvPicPr/>
      </xdr:nvPicPr>
      <xdr:blipFill>
        <a:blip r:embed="rId139"/>
        <a:stretch/>
      </xdr:blipFill>
      <xdr:spPr>
        <a:xfrm>
          <a:off x="9360" y="25822440"/>
          <a:ext cx="845640" cy="296640"/>
        </a:xfrm>
        <a:prstGeom prst="rect">
          <a:avLst/>
        </a:prstGeom>
        <a:noFill/>
        <a:ln w="9525">
          <a:noFill/>
        </a:ln>
      </xdr:spPr>
    </xdr:pic>
    <xdr:clientData/>
  </xdr:twoCellAnchor>
  <xdr:twoCellAnchor editAs="twoCell">
    <xdr:from>
      <xdr:col>0</xdr:col>
      <xdr:colOff>9360</xdr:colOff>
      <xdr:row>34</xdr:row>
      <xdr:rowOff>5760</xdr:rowOff>
    </xdr:from>
    <xdr:to>
      <xdr:col>0</xdr:col>
      <xdr:colOff>855000</xdr:colOff>
      <xdr:row>34</xdr:row>
      <xdr:rowOff>297000</xdr:rowOff>
    </xdr:to>
    <xdr:pic>
      <xdr:nvPicPr>
        <xdr:cNvPr id="140" name="图片 501" descr="快充"/>
        <xdr:cNvPicPr/>
      </xdr:nvPicPr>
      <xdr:blipFill>
        <a:blip r:embed="rId140"/>
        <a:stretch/>
      </xdr:blipFill>
      <xdr:spPr>
        <a:xfrm>
          <a:off x="9360" y="27348840"/>
          <a:ext cx="845640" cy="291240"/>
        </a:xfrm>
        <a:prstGeom prst="rect">
          <a:avLst/>
        </a:prstGeom>
        <a:noFill/>
        <a:ln w="9525">
          <a:noFill/>
        </a:ln>
      </xdr:spPr>
    </xdr:pic>
    <xdr:clientData/>
  </xdr:twoCellAnchor>
  <xdr:twoCellAnchor editAs="twoCell">
    <xdr:from>
      <xdr:col>0</xdr:col>
      <xdr:colOff>9360</xdr:colOff>
      <xdr:row>35</xdr:row>
      <xdr:rowOff>5760</xdr:rowOff>
    </xdr:from>
    <xdr:to>
      <xdr:col>0</xdr:col>
      <xdr:colOff>855000</xdr:colOff>
      <xdr:row>35</xdr:row>
      <xdr:rowOff>297000</xdr:rowOff>
    </xdr:to>
    <xdr:pic>
      <xdr:nvPicPr>
        <xdr:cNvPr id="141" name="图片 505" descr="快充"/>
        <xdr:cNvPicPr/>
      </xdr:nvPicPr>
      <xdr:blipFill>
        <a:blip r:embed="rId141"/>
        <a:stretch/>
      </xdr:blipFill>
      <xdr:spPr>
        <a:xfrm>
          <a:off x="9360" y="28809360"/>
          <a:ext cx="845640" cy="291240"/>
        </a:xfrm>
        <a:prstGeom prst="rect">
          <a:avLst/>
        </a:prstGeom>
        <a:noFill/>
        <a:ln w="9525">
          <a:noFill/>
        </a:ln>
      </xdr:spPr>
    </xdr:pic>
    <xdr:clientData/>
  </xdr:twoCellAnchor>
  <xdr:twoCellAnchor editAs="twoCell">
    <xdr:from>
      <xdr:col>0</xdr:col>
      <xdr:colOff>9360</xdr:colOff>
      <xdr:row>36</xdr:row>
      <xdr:rowOff>3240</xdr:rowOff>
    </xdr:from>
    <xdr:to>
      <xdr:col>0</xdr:col>
      <xdr:colOff>855000</xdr:colOff>
      <xdr:row>36</xdr:row>
      <xdr:rowOff>299880</xdr:rowOff>
    </xdr:to>
    <xdr:pic>
      <xdr:nvPicPr>
        <xdr:cNvPr id="142" name="图片 511" descr="快充"/>
        <xdr:cNvPicPr/>
      </xdr:nvPicPr>
      <xdr:blipFill>
        <a:blip r:embed="rId142"/>
        <a:stretch/>
      </xdr:blipFill>
      <xdr:spPr>
        <a:xfrm>
          <a:off x="9360" y="30267360"/>
          <a:ext cx="845640" cy="296640"/>
        </a:xfrm>
        <a:prstGeom prst="rect">
          <a:avLst/>
        </a:prstGeom>
        <a:noFill/>
        <a:ln w="9525">
          <a:noFill/>
        </a:ln>
      </xdr:spPr>
    </xdr:pic>
    <xdr:clientData/>
  </xdr:twoCellAnchor>
  <xdr:twoCellAnchor editAs="twoCell">
    <xdr:from>
      <xdr:col>0</xdr:col>
      <xdr:colOff>9360</xdr:colOff>
      <xdr:row>38</xdr:row>
      <xdr:rowOff>5760</xdr:rowOff>
    </xdr:from>
    <xdr:to>
      <xdr:col>0</xdr:col>
      <xdr:colOff>855000</xdr:colOff>
      <xdr:row>38</xdr:row>
      <xdr:rowOff>297000</xdr:rowOff>
    </xdr:to>
    <xdr:pic>
      <xdr:nvPicPr>
        <xdr:cNvPr id="143" name="图片 515" descr="快充"/>
        <xdr:cNvPicPr/>
      </xdr:nvPicPr>
      <xdr:blipFill>
        <a:blip r:embed="rId143"/>
        <a:stretch/>
      </xdr:blipFill>
      <xdr:spPr>
        <a:xfrm>
          <a:off x="9360" y="31793760"/>
          <a:ext cx="845640" cy="291240"/>
        </a:xfrm>
        <a:prstGeom prst="rect">
          <a:avLst/>
        </a:prstGeom>
        <a:noFill/>
        <a:ln w="9525">
          <a:noFill/>
        </a:ln>
      </xdr:spPr>
    </xdr:pic>
    <xdr:clientData/>
  </xdr:twoCellAnchor>
  <xdr:twoCellAnchor editAs="twoCell">
    <xdr:from>
      <xdr:col>0</xdr:col>
      <xdr:colOff>9360</xdr:colOff>
      <xdr:row>39</xdr:row>
      <xdr:rowOff>5760</xdr:rowOff>
    </xdr:from>
    <xdr:to>
      <xdr:col>0</xdr:col>
      <xdr:colOff>855000</xdr:colOff>
      <xdr:row>39</xdr:row>
      <xdr:rowOff>297000</xdr:rowOff>
    </xdr:to>
    <xdr:pic>
      <xdr:nvPicPr>
        <xdr:cNvPr id="144" name="图片 522" descr="快充"/>
        <xdr:cNvPicPr/>
      </xdr:nvPicPr>
      <xdr:blipFill>
        <a:blip r:embed="rId144"/>
        <a:stretch/>
      </xdr:blipFill>
      <xdr:spPr>
        <a:xfrm>
          <a:off x="9360" y="33254280"/>
          <a:ext cx="845640" cy="291240"/>
        </a:xfrm>
        <a:prstGeom prst="rect">
          <a:avLst/>
        </a:prstGeom>
        <a:noFill/>
        <a:ln w="9525">
          <a:noFill/>
        </a:ln>
      </xdr:spPr>
    </xdr:pic>
    <xdr:clientData/>
  </xdr:twoCellAnchor>
  <xdr:twoCellAnchor editAs="oneCell">
    <xdr:from>
      <xdr:col>1</xdr:col>
      <xdr:colOff>38160</xdr:colOff>
      <xdr:row>26</xdr:row>
      <xdr:rowOff>171000</xdr:rowOff>
    </xdr:from>
    <xdr:to>
      <xdr:col>1</xdr:col>
      <xdr:colOff>1208880</xdr:colOff>
      <xdr:row>27</xdr:row>
      <xdr:rowOff>590400</xdr:rowOff>
    </xdr:to>
    <xdr:pic>
      <xdr:nvPicPr>
        <xdr:cNvPr id="145" name="图片 135" descr="2(1)"/>
        <xdr:cNvPicPr/>
      </xdr:nvPicPr>
      <xdr:blipFill>
        <a:blip r:embed="rId145"/>
        <a:stretch/>
      </xdr:blipFill>
      <xdr:spPr>
        <a:xfrm>
          <a:off x="4039920" y="21418200"/>
          <a:ext cx="1170720" cy="1181160"/>
        </a:xfrm>
        <a:prstGeom prst="rect">
          <a:avLst/>
        </a:prstGeom>
        <a:noFill/>
        <a:ln w="9525">
          <a:noFill/>
        </a:ln>
      </xdr:spPr>
    </xdr:pic>
    <xdr:clientData/>
  </xdr:twoCellAnchor>
  <xdr:twoCellAnchor editAs="oneCell">
    <xdr:from>
      <xdr:col>1</xdr:col>
      <xdr:colOff>38160</xdr:colOff>
      <xdr:row>30</xdr:row>
      <xdr:rowOff>174600</xdr:rowOff>
    </xdr:from>
    <xdr:to>
      <xdr:col>1</xdr:col>
      <xdr:colOff>1208880</xdr:colOff>
      <xdr:row>31</xdr:row>
      <xdr:rowOff>586800</xdr:rowOff>
    </xdr:to>
    <xdr:pic>
      <xdr:nvPicPr>
        <xdr:cNvPr id="146" name="图片 136" descr="2(2)"/>
        <xdr:cNvPicPr/>
      </xdr:nvPicPr>
      <xdr:blipFill>
        <a:blip r:embed="rId146"/>
        <a:stretch/>
      </xdr:blipFill>
      <xdr:spPr>
        <a:xfrm>
          <a:off x="4039920" y="24469560"/>
          <a:ext cx="1170720" cy="1174320"/>
        </a:xfrm>
        <a:prstGeom prst="rect">
          <a:avLst/>
        </a:prstGeom>
        <a:noFill/>
        <a:ln w="9525">
          <a:noFill/>
        </a:ln>
      </xdr:spPr>
    </xdr:pic>
    <xdr:clientData/>
  </xdr:twoCellAnchor>
  <xdr:twoCellAnchor editAs="oneCell">
    <xdr:from>
      <xdr:col>1</xdr:col>
      <xdr:colOff>38160</xdr:colOff>
      <xdr:row>22</xdr:row>
      <xdr:rowOff>174600</xdr:rowOff>
    </xdr:from>
    <xdr:to>
      <xdr:col>1</xdr:col>
      <xdr:colOff>1208880</xdr:colOff>
      <xdr:row>23</xdr:row>
      <xdr:rowOff>586080</xdr:rowOff>
    </xdr:to>
    <xdr:pic>
      <xdr:nvPicPr>
        <xdr:cNvPr id="147" name="图片 137" descr="2"/>
        <xdr:cNvPicPr/>
      </xdr:nvPicPr>
      <xdr:blipFill>
        <a:blip r:embed="rId147"/>
        <a:stretch/>
      </xdr:blipFill>
      <xdr:spPr>
        <a:xfrm>
          <a:off x="4039920" y="18373680"/>
          <a:ext cx="1170720" cy="1173600"/>
        </a:xfrm>
        <a:prstGeom prst="rect">
          <a:avLst/>
        </a:prstGeom>
        <a:noFill/>
        <a:ln w="9525">
          <a:noFill/>
        </a:ln>
      </xdr:spPr>
    </xdr:pic>
    <xdr:clientData/>
  </xdr:twoCellAnchor>
  <xdr:twoCellAnchor editAs="oneCell">
    <xdr:from>
      <xdr:col>1</xdr:col>
      <xdr:colOff>38160</xdr:colOff>
      <xdr:row>28</xdr:row>
      <xdr:rowOff>173520</xdr:rowOff>
    </xdr:from>
    <xdr:to>
      <xdr:col>1</xdr:col>
      <xdr:colOff>1208880</xdr:colOff>
      <xdr:row>29</xdr:row>
      <xdr:rowOff>587520</xdr:rowOff>
    </xdr:to>
    <xdr:pic>
      <xdr:nvPicPr>
        <xdr:cNvPr id="148" name="图片 138" descr="3(1)"/>
        <xdr:cNvPicPr/>
      </xdr:nvPicPr>
      <xdr:blipFill>
        <a:blip r:embed="rId148"/>
        <a:stretch/>
      </xdr:blipFill>
      <xdr:spPr>
        <a:xfrm>
          <a:off x="4039920" y="22944600"/>
          <a:ext cx="1170720" cy="1176120"/>
        </a:xfrm>
        <a:prstGeom prst="rect">
          <a:avLst/>
        </a:prstGeom>
        <a:noFill/>
        <a:ln w="9525">
          <a:noFill/>
        </a:ln>
      </xdr:spPr>
    </xdr:pic>
    <xdr:clientData/>
  </xdr:twoCellAnchor>
  <xdr:twoCellAnchor editAs="oneCell">
    <xdr:from>
      <xdr:col>1</xdr:col>
      <xdr:colOff>38160</xdr:colOff>
      <xdr:row>24</xdr:row>
      <xdr:rowOff>178200</xdr:rowOff>
    </xdr:from>
    <xdr:to>
      <xdr:col>1</xdr:col>
      <xdr:colOff>1208880</xdr:colOff>
      <xdr:row>25</xdr:row>
      <xdr:rowOff>582840</xdr:rowOff>
    </xdr:to>
    <xdr:pic>
      <xdr:nvPicPr>
        <xdr:cNvPr id="149" name="图片 139" descr="3"/>
        <xdr:cNvPicPr/>
      </xdr:nvPicPr>
      <xdr:blipFill>
        <a:blip r:embed="rId149"/>
        <a:stretch/>
      </xdr:blipFill>
      <xdr:spPr>
        <a:xfrm>
          <a:off x="4039920" y="19901160"/>
          <a:ext cx="1170720" cy="1166760"/>
        </a:xfrm>
        <a:prstGeom prst="rect">
          <a:avLst/>
        </a:prstGeom>
        <a:noFill/>
        <a:ln w="9525">
          <a:noFill/>
        </a:ln>
      </xdr:spPr>
    </xdr:pic>
    <xdr:clientData/>
  </xdr:twoCellAnchor>
  <xdr:twoCellAnchor editAs="oneCell">
    <xdr:from>
      <xdr:col>2</xdr:col>
      <xdr:colOff>38160</xdr:colOff>
      <xdr:row>24</xdr:row>
      <xdr:rowOff>176040</xdr:rowOff>
    </xdr:from>
    <xdr:to>
      <xdr:col>2</xdr:col>
      <xdr:colOff>1208880</xdr:colOff>
      <xdr:row>25</xdr:row>
      <xdr:rowOff>585360</xdr:rowOff>
    </xdr:to>
    <xdr:pic>
      <xdr:nvPicPr>
        <xdr:cNvPr id="150" name="图片 148" descr="11(1)"/>
        <xdr:cNvPicPr/>
      </xdr:nvPicPr>
      <xdr:blipFill>
        <a:blip r:embed="rId150"/>
        <a:stretch/>
      </xdr:blipFill>
      <xdr:spPr>
        <a:xfrm>
          <a:off x="5605920" y="19899000"/>
          <a:ext cx="1170720" cy="1171440"/>
        </a:xfrm>
        <a:prstGeom prst="rect">
          <a:avLst/>
        </a:prstGeom>
        <a:noFill/>
        <a:ln w="9525">
          <a:noFill/>
        </a:ln>
      </xdr:spPr>
    </xdr:pic>
    <xdr:clientData/>
  </xdr:twoCellAnchor>
  <xdr:twoCellAnchor editAs="oneCell">
    <xdr:from>
      <xdr:col>2</xdr:col>
      <xdr:colOff>38160</xdr:colOff>
      <xdr:row>26</xdr:row>
      <xdr:rowOff>175680</xdr:rowOff>
    </xdr:from>
    <xdr:to>
      <xdr:col>2</xdr:col>
      <xdr:colOff>1208880</xdr:colOff>
      <xdr:row>27</xdr:row>
      <xdr:rowOff>586080</xdr:rowOff>
    </xdr:to>
    <xdr:pic>
      <xdr:nvPicPr>
        <xdr:cNvPr id="151" name="图片 149" descr="11(2)"/>
        <xdr:cNvPicPr/>
      </xdr:nvPicPr>
      <xdr:blipFill>
        <a:blip r:embed="rId151"/>
        <a:stretch/>
      </xdr:blipFill>
      <xdr:spPr>
        <a:xfrm>
          <a:off x="5605920" y="21422880"/>
          <a:ext cx="1170720" cy="1172160"/>
        </a:xfrm>
        <a:prstGeom prst="rect">
          <a:avLst/>
        </a:prstGeom>
        <a:noFill/>
        <a:ln w="9525">
          <a:noFill/>
        </a:ln>
      </xdr:spPr>
    </xdr:pic>
    <xdr:clientData/>
  </xdr:twoCellAnchor>
  <xdr:twoCellAnchor editAs="oneCell">
    <xdr:from>
      <xdr:col>2</xdr:col>
      <xdr:colOff>38160</xdr:colOff>
      <xdr:row>28</xdr:row>
      <xdr:rowOff>174960</xdr:rowOff>
    </xdr:from>
    <xdr:to>
      <xdr:col>2</xdr:col>
      <xdr:colOff>1208880</xdr:colOff>
      <xdr:row>29</xdr:row>
      <xdr:rowOff>586080</xdr:rowOff>
    </xdr:to>
    <xdr:pic>
      <xdr:nvPicPr>
        <xdr:cNvPr id="152" name="图片 153" descr="11(3)"/>
        <xdr:cNvPicPr/>
      </xdr:nvPicPr>
      <xdr:blipFill>
        <a:blip r:embed="rId152"/>
        <a:stretch/>
      </xdr:blipFill>
      <xdr:spPr>
        <a:xfrm>
          <a:off x="5605920" y="22946040"/>
          <a:ext cx="1170720" cy="1173240"/>
        </a:xfrm>
        <a:prstGeom prst="rect">
          <a:avLst/>
        </a:prstGeom>
        <a:noFill/>
        <a:ln w="9525">
          <a:noFill/>
        </a:ln>
      </xdr:spPr>
    </xdr:pic>
    <xdr:clientData/>
  </xdr:twoCellAnchor>
  <xdr:twoCellAnchor editAs="oneCell">
    <xdr:from>
      <xdr:col>2</xdr:col>
      <xdr:colOff>38160</xdr:colOff>
      <xdr:row>30</xdr:row>
      <xdr:rowOff>174600</xdr:rowOff>
    </xdr:from>
    <xdr:to>
      <xdr:col>2</xdr:col>
      <xdr:colOff>1208880</xdr:colOff>
      <xdr:row>31</xdr:row>
      <xdr:rowOff>586080</xdr:rowOff>
    </xdr:to>
    <xdr:pic>
      <xdr:nvPicPr>
        <xdr:cNvPr id="153" name="图片 156" descr="11(4)"/>
        <xdr:cNvPicPr/>
      </xdr:nvPicPr>
      <xdr:blipFill>
        <a:blip r:embed="rId153"/>
        <a:stretch/>
      </xdr:blipFill>
      <xdr:spPr>
        <a:xfrm>
          <a:off x="5605920" y="24469560"/>
          <a:ext cx="1170720" cy="1173600"/>
        </a:xfrm>
        <a:prstGeom prst="rect">
          <a:avLst/>
        </a:prstGeom>
        <a:noFill/>
        <a:ln w="9525">
          <a:noFill/>
        </a:ln>
      </xdr:spPr>
    </xdr:pic>
    <xdr:clientData/>
  </xdr:twoCellAnchor>
  <xdr:twoCellAnchor editAs="oneCell">
    <xdr:from>
      <xdr:col>2</xdr:col>
      <xdr:colOff>38160</xdr:colOff>
      <xdr:row>22</xdr:row>
      <xdr:rowOff>176400</xdr:rowOff>
    </xdr:from>
    <xdr:to>
      <xdr:col>2</xdr:col>
      <xdr:colOff>1208880</xdr:colOff>
      <xdr:row>23</xdr:row>
      <xdr:rowOff>584640</xdr:rowOff>
    </xdr:to>
    <xdr:pic>
      <xdr:nvPicPr>
        <xdr:cNvPr id="154" name="图片 163" descr="11"/>
        <xdr:cNvPicPr/>
      </xdr:nvPicPr>
      <xdr:blipFill>
        <a:blip r:embed="rId154"/>
        <a:stretch/>
      </xdr:blipFill>
      <xdr:spPr>
        <a:xfrm>
          <a:off x="5605920" y="18375480"/>
          <a:ext cx="1170720" cy="1170360"/>
        </a:xfrm>
        <a:prstGeom prst="rect">
          <a:avLst/>
        </a:prstGeom>
        <a:noFill/>
        <a:ln w="9525">
          <a:noFill/>
        </a:ln>
      </xdr:spPr>
    </xdr:pic>
    <xdr:clientData/>
  </xdr:twoCellAnchor>
  <xdr:twoCellAnchor editAs="twoCell">
    <xdr:from>
      <xdr:col>0</xdr:col>
      <xdr:colOff>9360</xdr:colOff>
      <xdr:row>22</xdr:row>
      <xdr:rowOff>3240</xdr:rowOff>
    </xdr:from>
    <xdr:to>
      <xdr:col>0</xdr:col>
      <xdr:colOff>837360</xdr:colOff>
      <xdr:row>22</xdr:row>
      <xdr:rowOff>299880</xdr:rowOff>
    </xdr:to>
    <xdr:pic>
      <xdr:nvPicPr>
        <xdr:cNvPr id="155" name="图片 170" descr="快充"/>
        <xdr:cNvPicPr/>
      </xdr:nvPicPr>
      <xdr:blipFill>
        <a:blip r:embed="rId155"/>
        <a:stretch/>
      </xdr:blipFill>
      <xdr:spPr>
        <a:xfrm>
          <a:off x="9360" y="18202320"/>
          <a:ext cx="828000" cy="296640"/>
        </a:xfrm>
        <a:prstGeom prst="rect">
          <a:avLst/>
        </a:prstGeom>
        <a:noFill/>
        <a:ln w="9525">
          <a:noFill/>
        </a:ln>
      </xdr:spPr>
    </xdr:pic>
    <xdr:clientData/>
  </xdr:twoCellAnchor>
  <xdr:twoCellAnchor editAs="twoCell">
    <xdr:from>
      <xdr:col>0</xdr:col>
      <xdr:colOff>9360</xdr:colOff>
      <xdr:row>24</xdr:row>
      <xdr:rowOff>3240</xdr:rowOff>
    </xdr:from>
    <xdr:to>
      <xdr:col>0</xdr:col>
      <xdr:colOff>837360</xdr:colOff>
      <xdr:row>24</xdr:row>
      <xdr:rowOff>299880</xdr:rowOff>
    </xdr:to>
    <xdr:pic>
      <xdr:nvPicPr>
        <xdr:cNvPr id="156" name="图片 258" descr="快充"/>
        <xdr:cNvPicPr/>
      </xdr:nvPicPr>
      <xdr:blipFill>
        <a:blip r:embed="rId156"/>
        <a:stretch/>
      </xdr:blipFill>
      <xdr:spPr>
        <a:xfrm>
          <a:off x="9360" y="19726200"/>
          <a:ext cx="828000" cy="296640"/>
        </a:xfrm>
        <a:prstGeom prst="rect">
          <a:avLst/>
        </a:prstGeom>
        <a:noFill/>
        <a:ln w="9525">
          <a:noFill/>
        </a:ln>
      </xdr:spPr>
    </xdr:pic>
    <xdr:clientData/>
  </xdr:twoCellAnchor>
  <xdr:twoCellAnchor editAs="oneCell">
    <xdr:from>
      <xdr:col>1</xdr:col>
      <xdr:colOff>38160</xdr:colOff>
      <xdr:row>181</xdr:row>
      <xdr:rowOff>129960</xdr:rowOff>
    </xdr:from>
    <xdr:to>
      <xdr:col>1</xdr:col>
      <xdr:colOff>1208880</xdr:colOff>
      <xdr:row>181</xdr:row>
      <xdr:rowOff>1330200</xdr:rowOff>
    </xdr:to>
    <xdr:pic>
      <xdr:nvPicPr>
        <xdr:cNvPr id="157" name="图片 57" descr="C:/Users/Ray/AppData/Local/Temp/picturecompress_20211118150721/output_213.jpgoutput_213"/>
        <xdr:cNvPicPr/>
      </xdr:nvPicPr>
      <xdr:blipFill>
        <a:blip r:embed="rId157"/>
        <a:stretch/>
      </xdr:blipFill>
      <xdr:spPr>
        <a:xfrm>
          <a:off x="4039920" y="178695000"/>
          <a:ext cx="1170720" cy="1200240"/>
        </a:xfrm>
        <a:prstGeom prst="rect">
          <a:avLst/>
        </a:prstGeom>
        <a:noFill/>
        <a:ln w="9525">
          <a:noFill/>
        </a:ln>
      </xdr:spPr>
    </xdr:pic>
    <xdr:clientData/>
  </xdr:twoCellAnchor>
  <xdr:twoCellAnchor editAs="oneCell">
    <xdr:from>
      <xdr:col>2</xdr:col>
      <xdr:colOff>38160</xdr:colOff>
      <xdr:row>181</xdr:row>
      <xdr:rowOff>146880</xdr:rowOff>
    </xdr:from>
    <xdr:to>
      <xdr:col>2</xdr:col>
      <xdr:colOff>1208880</xdr:colOff>
      <xdr:row>181</xdr:row>
      <xdr:rowOff>1313280</xdr:rowOff>
    </xdr:to>
    <xdr:pic>
      <xdr:nvPicPr>
        <xdr:cNvPr id="158" name="图片 121" descr="12"/>
        <xdr:cNvPicPr/>
      </xdr:nvPicPr>
      <xdr:blipFill>
        <a:blip r:embed="rId158"/>
        <a:stretch/>
      </xdr:blipFill>
      <xdr:spPr>
        <a:xfrm>
          <a:off x="5605920" y="178711920"/>
          <a:ext cx="1170720" cy="1166400"/>
        </a:xfrm>
        <a:prstGeom prst="rect">
          <a:avLst/>
        </a:prstGeom>
        <a:noFill/>
        <a:ln w="9525">
          <a:noFill/>
        </a:ln>
      </xdr:spPr>
    </xdr:pic>
    <xdr:clientData/>
  </xdr:twoCellAnchor>
  <xdr:twoCellAnchor editAs="oneCell">
    <xdr:from>
      <xdr:col>1</xdr:col>
      <xdr:colOff>38160</xdr:colOff>
      <xdr:row>56</xdr:row>
      <xdr:rowOff>175320</xdr:rowOff>
    </xdr:from>
    <xdr:to>
      <xdr:col>1</xdr:col>
      <xdr:colOff>1208880</xdr:colOff>
      <xdr:row>57</xdr:row>
      <xdr:rowOff>586080</xdr:rowOff>
    </xdr:to>
    <xdr:pic>
      <xdr:nvPicPr>
        <xdr:cNvPr id="159" name="图片 66" descr="3"/>
        <xdr:cNvPicPr/>
      </xdr:nvPicPr>
      <xdr:blipFill>
        <a:blip r:embed="rId159"/>
        <a:stretch/>
      </xdr:blipFill>
      <xdr:spPr>
        <a:xfrm>
          <a:off x="4039920" y="54061560"/>
          <a:ext cx="1170720" cy="1172520"/>
        </a:xfrm>
        <a:prstGeom prst="rect">
          <a:avLst/>
        </a:prstGeom>
        <a:noFill/>
        <a:ln w="9525">
          <a:noFill/>
        </a:ln>
      </xdr:spPr>
    </xdr:pic>
    <xdr:clientData/>
  </xdr:twoCellAnchor>
  <xdr:twoCellAnchor editAs="oneCell">
    <xdr:from>
      <xdr:col>2</xdr:col>
      <xdr:colOff>38160</xdr:colOff>
      <xdr:row>56</xdr:row>
      <xdr:rowOff>176400</xdr:rowOff>
    </xdr:from>
    <xdr:to>
      <xdr:col>2</xdr:col>
      <xdr:colOff>1208880</xdr:colOff>
      <xdr:row>57</xdr:row>
      <xdr:rowOff>585000</xdr:rowOff>
    </xdr:to>
    <xdr:pic>
      <xdr:nvPicPr>
        <xdr:cNvPr id="160" name="图片 67" descr="11"/>
        <xdr:cNvPicPr/>
      </xdr:nvPicPr>
      <xdr:blipFill>
        <a:blip r:embed="rId160"/>
        <a:stretch/>
      </xdr:blipFill>
      <xdr:spPr>
        <a:xfrm>
          <a:off x="5605920" y="54062640"/>
          <a:ext cx="1170720" cy="1170360"/>
        </a:xfrm>
        <a:prstGeom prst="rect">
          <a:avLst/>
        </a:prstGeom>
        <a:noFill/>
        <a:ln w="9525">
          <a:noFill/>
        </a:ln>
      </xdr:spPr>
    </xdr:pic>
    <xdr:clientData/>
  </xdr:twoCellAnchor>
  <xdr:twoCellAnchor editAs="oneCell">
    <xdr:from>
      <xdr:col>1</xdr:col>
      <xdr:colOff>38160</xdr:colOff>
      <xdr:row>163</xdr:row>
      <xdr:rowOff>143640</xdr:rowOff>
    </xdr:from>
    <xdr:to>
      <xdr:col>1</xdr:col>
      <xdr:colOff>1208880</xdr:colOff>
      <xdr:row>163</xdr:row>
      <xdr:rowOff>1316160</xdr:rowOff>
    </xdr:to>
    <xdr:pic>
      <xdr:nvPicPr>
        <xdr:cNvPr id="161" name="图片 27" descr="3"/>
        <xdr:cNvPicPr/>
      </xdr:nvPicPr>
      <xdr:blipFill>
        <a:blip r:embed="rId161"/>
        <a:stretch/>
      </xdr:blipFill>
      <xdr:spPr>
        <a:xfrm>
          <a:off x="4039920" y="161436960"/>
          <a:ext cx="1170720" cy="1172520"/>
        </a:xfrm>
        <a:prstGeom prst="rect">
          <a:avLst/>
        </a:prstGeom>
        <a:noFill/>
        <a:ln w="9525">
          <a:noFill/>
        </a:ln>
      </xdr:spPr>
    </xdr:pic>
    <xdr:clientData/>
  </xdr:twoCellAnchor>
  <xdr:twoCellAnchor editAs="oneCell">
    <xdr:from>
      <xdr:col>2</xdr:col>
      <xdr:colOff>38160</xdr:colOff>
      <xdr:row>163</xdr:row>
      <xdr:rowOff>143280</xdr:rowOff>
    </xdr:from>
    <xdr:to>
      <xdr:col>2</xdr:col>
      <xdr:colOff>1208880</xdr:colOff>
      <xdr:row>163</xdr:row>
      <xdr:rowOff>1316520</xdr:rowOff>
    </xdr:to>
    <xdr:pic>
      <xdr:nvPicPr>
        <xdr:cNvPr id="162" name="图片 28" descr="12"/>
        <xdr:cNvPicPr/>
      </xdr:nvPicPr>
      <xdr:blipFill>
        <a:blip r:embed="rId162"/>
        <a:stretch/>
      </xdr:blipFill>
      <xdr:spPr>
        <a:xfrm>
          <a:off x="5605920" y="161436600"/>
          <a:ext cx="1170720" cy="1173240"/>
        </a:xfrm>
        <a:prstGeom prst="rect">
          <a:avLst/>
        </a:prstGeom>
        <a:noFill/>
        <a:ln w="9525">
          <a:noFill/>
        </a:ln>
      </xdr:spPr>
    </xdr:pic>
    <xdr:clientData/>
  </xdr:twoCellAnchor>
  <xdr:twoCellAnchor editAs="twoCell">
    <xdr:from>
      <xdr:col>0</xdr:col>
      <xdr:colOff>9360</xdr:colOff>
      <xdr:row>119</xdr:row>
      <xdr:rowOff>5760</xdr:rowOff>
    </xdr:from>
    <xdr:to>
      <xdr:col>0</xdr:col>
      <xdr:colOff>837360</xdr:colOff>
      <xdr:row>119</xdr:row>
      <xdr:rowOff>297000</xdr:rowOff>
    </xdr:to>
    <xdr:pic>
      <xdr:nvPicPr>
        <xdr:cNvPr id="163" name="图片 329" descr="快充"/>
        <xdr:cNvPicPr/>
      </xdr:nvPicPr>
      <xdr:blipFill>
        <a:blip r:embed="rId163"/>
        <a:stretch/>
      </xdr:blipFill>
      <xdr:spPr>
        <a:xfrm>
          <a:off x="9360" y="116595000"/>
          <a:ext cx="828000" cy="291240"/>
        </a:xfrm>
        <a:prstGeom prst="rect">
          <a:avLst/>
        </a:prstGeom>
        <a:noFill/>
        <a:ln w="9525">
          <a:noFill/>
        </a:ln>
      </xdr:spPr>
    </xdr:pic>
    <xdr:clientData/>
  </xdr:twoCellAnchor>
  <xdr:twoCellAnchor editAs="twoCell">
    <xdr:from>
      <xdr:col>0</xdr:col>
      <xdr:colOff>9360</xdr:colOff>
      <xdr:row>118</xdr:row>
      <xdr:rowOff>5760</xdr:rowOff>
    </xdr:from>
    <xdr:to>
      <xdr:col>0</xdr:col>
      <xdr:colOff>837360</xdr:colOff>
      <xdr:row>118</xdr:row>
      <xdr:rowOff>297000</xdr:rowOff>
    </xdr:to>
    <xdr:pic>
      <xdr:nvPicPr>
        <xdr:cNvPr id="164" name="图片 333" descr="快充"/>
        <xdr:cNvPicPr/>
      </xdr:nvPicPr>
      <xdr:blipFill>
        <a:blip r:embed="rId164"/>
        <a:stretch/>
      </xdr:blipFill>
      <xdr:spPr>
        <a:xfrm>
          <a:off x="9360" y="115134480"/>
          <a:ext cx="828000" cy="291240"/>
        </a:xfrm>
        <a:prstGeom prst="rect">
          <a:avLst/>
        </a:prstGeom>
        <a:noFill/>
        <a:ln w="9525">
          <a:noFill/>
        </a:ln>
      </xdr:spPr>
    </xdr:pic>
    <xdr:clientData/>
  </xdr:twoCellAnchor>
  <xdr:twoCellAnchor editAs="twoCell">
    <xdr:from>
      <xdr:col>0</xdr:col>
      <xdr:colOff>9360</xdr:colOff>
      <xdr:row>122</xdr:row>
      <xdr:rowOff>3240</xdr:rowOff>
    </xdr:from>
    <xdr:to>
      <xdr:col>0</xdr:col>
      <xdr:colOff>837360</xdr:colOff>
      <xdr:row>122</xdr:row>
      <xdr:rowOff>299880</xdr:rowOff>
    </xdr:to>
    <xdr:pic>
      <xdr:nvPicPr>
        <xdr:cNvPr id="165" name="图片 343" descr="快充"/>
        <xdr:cNvPicPr/>
      </xdr:nvPicPr>
      <xdr:blipFill>
        <a:blip r:embed="rId165"/>
        <a:stretch/>
      </xdr:blipFill>
      <xdr:spPr>
        <a:xfrm>
          <a:off x="9360" y="120974040"/>
          <a:ext cx="828000" cy="296640"/>
        </a:xfrm>
        <a:prstGeom prst="rect">
          <a:avLst/>
        </a:prstGeom>
        <a:noFill/>
        <a:ln w="9525">
          <a:noFill/>
        </a:ln>
      </xdr:spPr>
    </xdr:pic>
    <xdr:clientData/>
  </xdr:twoCellAnchor>
  <xdr:twoCellAnchor editAs="twoCell">
    <xdr:from>
      <xdr:col>0</xdr:col>
      <xdr:colOff>9360</xdr:colOff>
      <xdr:row>124</xdr:row>
      <xdr:rowOff>3240</xdr:rowOff>
    </xdr:from>
    <xdr:to>
      <xdr:col>0</xdr:col>
      <xdr:colOff>837360</xdr:colOff>
      <xdr:row>124</xdr:row>
      <xdr:rowOff>299880</xdr:rowOff>
    </xdr:to>
    <xdr:pic>
      <xdr:nvPicPr>
        <xdr:cNvPr id="166" name="图片 349" descr="快充"/>
        <xdr:cNvPicPr/>
      </xdr:nvPicPr>
      <xdr:blipFill>
        <a:blip r:embed="rId166"/>
        <a:stretch/>
      </xdr:blipFill>
      <xdr:spPr>
        <a:xfrm>
          <a:off x="9360" y="122497920"/>
          <a:ext cx="828000" cy="296640"/>
        </a:xfrm>
        <a:prstGeom prst="rect">
          <a:avLst/>
        </a:prstGeom>
        <a:noFill/>
        <a:ln w="9525">
          <a:noFill/>
        </a:ln>
      </xdr:spPr>
    </xdr:pic>
    <xdr:clientData/>
  </xdr:twoCellAnchor>
  <xdr:twoCellAnchor editAs="twoCell">
    <xdr:from>
      <xdr:col>0</xdr:col>
      <xdr:colOff>9360</xdr:colOff>
      <xdr:row>17</xdr:row>
      <xdr:rowOff>5760</xdr:rowOff>
    </xdr:from>
    <xdr:to>
      <xdr:col>0</xdr:col>
      <xdr:colOff>837360</xdr:colOff>
      <xdr:row>17</xdr:row>
      <xdr:rowOff>297000</xdr:rowOff>
    </xdr:to>
    <xdr:pic>
      <xdr:nvPicPr>
        <xdr:cNvPr id="167" name="图片 225" descr="快充"/>
        <xdr:cNvPicPr/>
      </xdr:nvPicPr>
      <xdr:blipFill>
        <a:blip r:embed="rId167"/>
        <a:stretch/>
      </xdr:blipFill>
      <xdr:spPr>
        <a:xfrm>
          <a:off x="9360" y="10902240"/>
          <a:ext cx="828000" cy="291240"/>
        </a:xfrm>
        <a:prstGeom prst="rect">
          <a:avLst/>
        </a:prstGeom>
        <a:noFill/>
        <a:ln w="9525">
          <a:noFill/>
        </a:ln>
      </xdr:spPr>
    </xdr:pic>
    <xdr:clientData/>
  </xdr:twoCellAnchor>
  <xdr:twoCellAnchor editAs="twoCell">
    <xdr:from>
      <xdr:col>0</xdr:col>
      <xdr:colOff>9360</xdr:colOff>
      <xdr:row>18</xdr:row>
      <xdr:rowOff>5760</xdr:rowOff>
    </xdr:from>
    <xdr:to>
      <xdr:col>0</xdr:col>
      <xdr:colOff>837360</xdr:colOff>
      <xdr:row>18</xdr:row>
      <xdr:rowOff>297000</xdr:rowOff>
    </xdr:to>
    <xdr:pic>
      <xdr:nvPicPr>
        <xdr:cNvPr id="168" name="图片 233" descr="快充"/>
        <xdr:cNvPicPr/>
      </xdr:nvPicPr>
      <xdr:blipFill>
        <a:blip r:embed="rId168"/>
        <a:stretch/>
      </xdr:blipFill>
      <xdr:spPr>
        <a:xfrm>
          <a:off x="9360" y="12362760"/>
          <a:ext cx="828000" cy="291240"/>
        </a:xfrm>
        <a:prstGeom prst="rect">
          <a:avLst/>
        </a:prstGeom>
        <a:noFill/>
        <a:ln w="9525">
          <a:noFill/>
        </a:ln>
      </xdr:spPr>
    </xdr:pic>
    <xdr:clientData/>
  </xdr:twoCellAnchor>
  <xdr:twoCellAnchor editAs="twoCell">
    <xdr:from>
      <xdr:col>0</xdr:col>
      <xdr:colOff>9360</xdr:colOff>
      <xdr:row>146</xdr:row>
      <xdr:rowOff>5760</xdr:rowOff>
    </xdr:from>
    <xdr:to>
      <xdr:col>0</xdr:col>
      <xdr:colOff>874800</xdr:colOff>
      <xdr:row>146</xdr:row>
      <xdr:rowOff>297000</xdr:rowOff>
    </xdr:to>
    <xdr:pic>
      <xdr:nvPicPr>
        <xdr:cNvPr id="169" name="图片 390" descr="快充"/>
        <xdr:cNvPicPr/>
      </xdr:nvPicPr>
      <xdr:blipFill>
        <a:blip r:embed="rId169"/>
        <a:stretch/>
      </xdr:blipFill>
      <xdr:spPr>
        <a:xfrm>
          <a:off x="9360" y="140661360"/>
          <a:ext cx="865440" cy="291240"/>
        </a:xfrm>
        <a:prstGeom prst="rect">
          <a:avLst/>
        </a:prstGeom>
        <a:noFill/>
        <a:ln w="9525">
          <a:noFill/>
        </a:ln>
      </xdr:spPr>
    </xdr:pic>
    <xdr:clientData/>
  </xdr:twoCellAnchor>
  <xdr:twoCellAnchor editAs="oneCell">
    <xdr:from>
      <xdr:col>1</xdr:col>
      <xdr:colOff>38160</xdr:colOff>
      <xdr:row>162</xdr:row>
      <xdr:rowOff>143280</xdr:rowOff>
    </xdr:from>
    <xdr:to>
      <xdr:col>1</xdr:col>
      <xdr:colOff>1208880</xdr:colOff>
      <xdr:row>162</xdr:row>
      <xdr:rowOff>1316520</xdr:rowOff>
    </xdr:to>
    <xdr:pic>
      <xdr:nvPicPr>
        <xdr:cNvPr id="170" name="图片 18" descr="3"/>
        <xdr:cNvPicPr/>
      </xdr:nvPicPr>
      <xdr:blipFill>
        <a:blip r:embed="rId170"/>
        <a:stretch/>
      </xdr:blipFill>
      <xdr:spPr>
        <a:xfrm>
          <a:off x="4039920" y="159976080"/>
          <a:ext cx="1170720" cy="1173240"/>
        </a:xfrm>
        <a:prstGeom prst="rect">
          <a:avLst/>
        </a:prstGeom>
        <a:noFill/>
        <a:ln w="9525">
          <a:noFill/>
        </a:ln>
      </xdr:spPr>
    </xdr:pic>
    <xdr:clientData/>
  </xdr:twoCellAnchor>
  <xdr:twoCellAnchor editAs="oneCell">
    <xdr:from>
      <xdr:col>1</xdr:col>
      <xdr:colOff>38160</xdr:colOff>
      <xdr:row>164</xdr:row>
      <xdr:rowOff>143280</xdr:rowOff>
    </xdr:from>
    <xdr:to>
      <xdr:col>1</xdr:col>
      <xdr:colOff>1208880</xdr:colOff>
      <xdr:row>164</xdr:row>
      <xdr:rowOff>1316520</xdr:rowOff>
    </xdr:to>
    <xdr:pic>
      <xdr:nvPicPr>
        <xdr:cNvPr id="171" name="图片 59" descr="3"/>
        <xdr:cNvPicPr/>
      </xdr:nvPicPr>
      <xdr:blipFill>
        <a:blip r:embed="rId171"/>
        <a:stretch/>
      </xdr:blipFill>
      <xdr:spPr>
        <a:xfrm>
          <a:off x="4039920" y="162897120"/>
          <a:ext cx="1170720" cy="1173240"/>
        </a:xfrm>
        <a:prstGeom prst="rect">
          <a:avLst/>
        </a:prstGeom>
        <a:noFill/>
        <a:ln w="9525">
          <a:noFill/>
        </a:ln>
      </xdr:spPr>
    </xdr:pic>
    <xdr:clientData/>
  </xdr:twoCellAnchor>
  <xdr:twoCellAnchor editAs="oneCell">
    <xdr:from>
      <xdr:col>2</xdr:col>
      <xdr:colOff>38160</xdr:colOff>
      <xdr:row>164</xdr:row>
      <xdr:rowOff>143280</xdr:rowOff>
    </xdr:from>
    <xdr:to>
      <xdr:col>2</xdr:col>
      <xdr:colOff>1208880</xdr:colOff>
      <xdr:row>164</xdr:row>
      <xdr:rowOff>1316520</xdr:rowOff>
    </xdr:to>
    <xdr:pic>
      <xdr:nvPicPr>
        <xdr:cNvPr id="172" name="图片 70" descr="8"/>
        <xdr:cNvPicPr/>
      </xdr:nvPicPr>
      <xdr:blipFill>
        <a:blip r:embed="rId172"/>
        <a:stretch/>
      </xdr:blipFill>
      <xdr:spPr>
        <a:xfrm>
          <a:off x="5605920" y="162897120"/>
          <a:ext cx="1170720" cy="1173240"/>
        </a:xfrm>
        <a:prstGeom prst="rect">
          <a:avLst/>
        </a:prstGeom>
        <a:noFill/>
        <a:ln w="9525">
          <a:noFill/>
        </a:ln>
      </xdr:spPr>
    </xdr:pic>
    <xdr:clientData/>
  </xdr:twoCellAnchor>
  <xdr:twoCellAnchor editAs="oneCell">
    <xdr:from>
      <xdr:col>2</xdr:col>
      <xdr:colOff>38160</xdr:colOff>
      <xdr:row>162</xdr:row>
      <xdr:rowOff>143280</xdr:rowOff>
    </xdr:from>
    <xdr:to>
      <xdr:col>2</xdr:col>
      <xdr:colOff>1208880</xdr:colOff>
      <xdr:row>162</xdr:row>
      <xdr:rowOff>1316520</xdr:rowOff>
    </xdr:to>
    <xdr:pic>
      <xdr:nvPicPr>
        <xdr:cNvPr id="173" name="图片 95" descr="8"/>
        <xdr:cNvPicPr/>
      </xdr:nvPicPr>
      <xdr:blipFill>
        <a:blip r:embed="rId173"/>
        <a:stretch/>
      </xdr:blipFill>
      <xdr:spPr>
        <a:xfrm>
          <a:off x="5605920" y="159976080"/>
          <a:ext cx="1170720" cy="1173240"/>
        </a:xfrm>
        <a:prstGeom prst="rect">
          <a:avLst/>
        </a:prstGeom>
        <a:noFill/>
        <a:ln w="9525">
          <a:noFill/>
        </a:ln>
      </xdr:spPr>
    </xdr:pic>
    <xdr:clientData/>
  </xdr:twoCellAnchor>
  <xdr:twoCellAnchor editAs="oneCell">
    <xdr:from>
      <xdr:col>1</xdr:col>
      <xdr:colOff>38160</xdr:colOff>
      <xdr:row>165</xdr:row>
      <xdr:rowOff>146880</xdr:rowOff>
    </xdr:from>
    <xdr:to>
      <xdr:col>1</xdr:col>
      <xdr:colOff>1208880</xdr:colOff>
      <xdr:row>165</xdr:row>
      <xdr:rowOff>1313280</xdr:rowOff>
    </xdr:to>
    <xdr:pic>
      <xdr:nvPicPr>
        <xdr:cNvPr id="174" name="图片 12" descr="3"/>
        <xdr:cNvPicPr/>
      </xdr:nvPicPr>
      <xdr:blipFill>
        <a:blip r:embed="rId174"/>
        <a:stretch/>
      </xdr:blipFill>
      <xdr:spPr>
        <a:xfrm>
          <a:off x="4039920" y="164360880"/>
          <a:ext cx="1170720" cy="1166400"/>
        </a:xfrm>
        <a:prstGeom prst="rect">
          <a:avLst/>
        </a:prstGeom>
        <a:noFill/>
        <a:ln w="9525">
          <a:noFill/>
        </a:ln>
      </xdr:spPr>
    </xdr:pic>
    <xdr:clientData/>
  </xdr:twoCellAnchor>
  <xdr:twoCellAnchor editAs="oneCell">
    <xdr:from>
      <xdr:col>2</xdr:col>
      <xdr:colOff>38160</xdr:colOff>
      <xdr:row>165</xdr:row>
      <xdr:rowOff>143280</xdr:rowOff>
    </xdr:from>
    <xdr:to>
      <xdr:col>2</xdr:col>
      <xdr:colOff>1208880</xdr:colOff>
      <xdr:row>165</xdr:row>
      <xdr:rowOff>1316520</xdr:rowOff>
    </xdr:to>
    <xdr:pic>
      <xdr:nvPicPr>
        <xdr:cNvPr id="175" name="图片 13" descr="12"/>
        <xdr:cNvPicPr/>
      </xdr:nvPicPr>
      <xdr:blipFill>
        <a:blip r:embed="rId175"/>
        <a:stretch/>
      </xdr:blipFill>
      <xdr:spPr>
        <a:xfrm>
          <a:off x="5605920" y="164357280"/>
          <a:ext cx="1170720" cy="1173240"/>
        </a:xfrm>
        <a:prstGeom prst="rect">
          <a:avLst/>
        </a:prstGeom>
        <a:noFill/>
        <a:ln w="9525">
          <a:noFill/>
        </a:ln>
      </xdr:spPr>
    </xdr:pic>
    <xdr:clientData/>
  </xdr:twoCellAnchor>
  <xdr:twoCellAnchor editAs="oneCell">
    <xdr:from>
      <xdr:col>1</xdr:col>
      <xdr:colOff>38160</xdr:colOff>
      <xdr:row>118</xdr:row>
      <xdr:rowOff>140760</xdr:rowOff>
    </xdr:from>
    <xdr:to>
      <xdr:col>1</xdr:col>
      <xdr:colOff>1208880</xdr:colOff>
      <xdr:row>118</xdr:row>
      <xdr:rowOff>1319040</xdr:rowOff>
    </xdr:to>
    <xdr:pic>
      <xdr:nvPicPr>
        <xdr:cNvPr id="176" name="图片 151" descr="4"/>
        <xdr:cNvPicPr/>
      </xdr:nvPicPr>
      <xdr:blipFill>
        <a:blip r:embed="rId176"/>
        <a:stretch/>
      </xdr:blipFill>
      <xdr:spPr>
        <a:xfrm>
          <a:off x="4039920" y="115269480"/>
          <a:ext cx="1170720" cy="1178280"/>
        </a:xfrm>
        <a:prstGeom prst="rect">
          <a:avLst/>
        </a:prstGeom>
        <a:noFill/>
        <a:ln w="9525">
          <a:noFill/>
        </a:ln>
      </xdr:spPr>
    </xdr:pic>
    <xdr:clientData/>
  </xdr:twoCellAnchor>
  <xdr:twoCellAnchor editAs="oneCell">
    <xdr:from>
      <xdr:col>2</xdr:col>
      <xdr:colOff>38160</xdr:colOff>
      <xdr:row>118</xdr:row>
      <xdr:rowOff>144000</xdr:rowOff>
    </xdr:from>
    <xdr:to>
      <xdr:col>2</xdr:col>
      <xdr:colOff>1208880</xdr:colOff>
      <xdr:row>118</xdr:row>
      <xdr:rowOff>1315440</xdr:rowOff>
    </xdr:to>
    <xdr:pic>
      <xdr:nvPicPr>
        <xdr:cNvPr id="177" name="图片 174" descr="12"/>
        <xdr:cNvPicPr/>
      </xdr:nvPicPr>
      <xdr:blipFill>
        <a:blip r:embed="rId177"/>
        <a:stretch/>
      </xdr:blipFill>
      <xdr:spPr>
        <a:xfrm>
          <a:off x="5605920" y="115272720"/>
          <a:ext cx="1170720" cy="1171440"/>
        </a:xfrm>
        <a:prstGeom prst="rect">
          <a:avLst/>
        </a:prstGeom>
        <a:noFill/>
        <a:ln w="9525">
          <a:noFill/>
        </a:ln>
      </xdr:spPr>
    </xdr:pic>
    <xdr:clientData/>
  </xdr:twoCellAnchor>
  <xdr:twoCellAnchor editAs="oneCell">
    <xdr:from>
      <xdr:col>1</xdr:col>
      <xdr:colOff>38160</xdr:colOff>
      <xdr:row>119</xdr:row>
      <xdr:rowOff>140760</xdr:rowOff>
    </xdr:from>
    <xdr:to>
      <xdr:col>1</xdr:col>
      <xdr:colOff>1208880</xdr:colOff>
      <xdr:row>119</xdr:row>
      <xdr:rowOff>1319040</xdr:rowOff>
    </xdr:to>
    <xdr:pic>
      <xdr:nvPicPr>
        <xdr:cNvPr id="178" name="图片 181" descr="4"/>
        <xdr:cNvPicPr/>
      </xdr:nvPicPr>
      <xdr:blipFill>
        <a:blip r:embed="rId178"/>
        <a:stretch/>
      </xdr:blipFill>
      <xdr:spPr>
        <a:xfrm>
          <a:off x="4039920" y="116730000"/>
          <a:ext cx="1170720" cy="1178280"/>
        </a:xfrm>
        <a:prstGeom prst="rect">
          <a:avLst/>
        </a:prstGeom>
        <a:noFill/>
        <a:ln w="9525">
          <a:noFill/>
        </a:ln>
      </xdr:spPr>
    </xdr:pic>
    <xdr:clientData/>
  </xdr:twoCellAnchor>
  <xdr:twoCellAnchor editAs="oneCell">
    <xdr:from>
      <xdr:col>2</xdr:col>
      <xdr:colOff>38160</xdr:colOff>
      <xdr:row>119</xdr:row>
      <xdr:rowOff>143280</xdr:rowOff>
    </xdr:from>
    <xdr:to>
      <xdr:col>2</xdr:col>
      <xdr:colOff>1208880</xdr:colOff>
      <xdr:row>119</xdr:row>
      <xdr:rowOff>1316520</xdr:rowOff>
    </xdr:to>
    <xdr:pic>
      <xdr:nvPicPr>
        <xdr:cNvPr id="179" name="图片 190" descr="12"/>
        <xdr:cNvPicPr/>
      </xdr:nvPicPr>
      <xdr:blipFill>
        <a:blip r:embed="rId179"/>
        <a:stretch/>
      </xdr:blipFill>
      <xdr:spPr>
        <a:xfrm>
          <a:off x="5605920" y="116732520"/>
          <a:ext cx="1170720" cy="1173240"/>
        </a:xfrm>
        <a:prstGeom prst="rect">
          <a:avLst/>
        </a:prstGeom>
        <a:noFill/>
        <a:ln w="9525">
          <a:noFill/>
        </a:ln>
      </xdr:spPr>
    </xdr:pic>
    <xdr:clientData/>
  </xdr:twoCellAnchor>
  <xdr:twoCellAnchor editAs="oneCell">
    <xdr:from>
      <xdr:col>1</xdr:col>
      <xdr:colOff>38160</xdr:colOff>
      <xdr:row>166</xdr:row>
      <xdr:rowOff>140760</xdr:rowOff>
    </xdr:from>
    <xdr:to>
      <xdr:col>1</xdr:col>
      <xdr:colOff>1208880</xdr:colOff>
      <xdr:row>166</xdr:row>
      <xdr:rowOff>1319040</xdr:rowOff>
    </xdr:to>
    <xdr:pic>
      <xdr:nvPicPr>
        <xdr:cNvPr id="180" name="图片 64" descr="3"/>
        <xdr:cNvPicPr/>
      </xdr:nvPicPr>
      <xdr:blipFill>
        <a:blip r:embed="rId180"/>
        <a:stretch/>
      </xdr:blipFill>
      <xdr:spPr>
        <a:xfrm>
          <a:off x="4039920" y="165815280"/>
          <a:ext cx="1170720" cy="1178280"/>
        </a:xfrm>
        <a:prstGeom prst="rect">
          <a:avLst/>
        </a:prstGeom>
        <a:noFill/>
        <a:ln w="9525">
          <a:noFill/>
        </a:ln>
      </xdr:spPr>
    </xdr:pic>
    <xdr:clientData/>
  </xdr:twoCellAnchor>
  <xdr:twoCellAnchor editAs="oneCell">
    <xdr:from>
      <xdr:col>2</xdr:col>
      <xdr:colOff>38160</xdr:colOff>
      <xdr:row>166</xdr:row>
      <xdr:rowOff>141480</xdr:rowOff>
    </xdr:from>
    <xdr:to>
      <xdr:col>2</xdr:col>
      <xdr:colOff>1208880</xdr:colOff>
      <xdr:row>166</xdr:row>
      <xdr:rowOff>1317960</xdr:rowOff>
    </xdr:to>
    <xdr:pic>
      <xdr:nvPicPr>
        <xdr:cNvPr id="181" name="图片 65" descr="8"/>
        <xdr:cNvPicPr/>
      </xdr:nvPicPr>
      <xdr:blipFill>
        <a:blip r:embed="rId181"/>
        <a:stretch/>
      </xdr:blipFill>
      <xdr:spPr>
        <a:xfrm>
          <a:off x="5605920" y="165816000"/>
          <a:ext cx="1170720" cy="1176480"/>
        </a:xfrm>
        <a:prstGeom prst="rect">
          <a:avLst/>
        </a:prstGeom>
        <a:noFill/>
        <a:ln w="9525">
          <a:noFill/>
        </a:ln>
      </xdr:spPr>
    </xdr:pic>
    <xdr:clientData/>
  </xdr:twoCellAnchor>
  <xdr:twoCellAnchor editAs="oneCell">
    <xdr:from>
      <xdr:col>1</xdr:col>
      <xdr:colOff>38160</xdr:colOff>
      <xdr:row>120</xdr:row>
      <xdr:rowOff>145800</xdr:rowOff>
    </xdr:from>
    <xdr:to>
      <xdr:col>1</xdr:col>
      <xdr:colOff>1208880</xdr:colOff>
      <xdr:row>120</xdr:row>
      <xdr:rowOff>1313640</xdr:rowOff>
    </xdr:to>
    <xdr:pic>
      <xdr:nvPicPr>
        <xdr:cNvPr id="182" name="图片 211" descr="4"/>
        <xdr:cNvPicPr/>
      </xdr:nvPicPr>
      <xdr:blipFill>
        <a:blip r:embed="rId182"/>
        <a:stretch/>
      </xdr:blipFill>
      <xdr:spPr>
        <a:xfrm>
          <a:off x="4039920" y="118195560"/>
          <a:ext cx="1170720" cy="1167840"/>
        </a:xfrm>
        <a:prstGeom prst="rect">
          <a:avLst/>
        </a:prstGeom>
        <a:noFill/>
        <a:ln w="9525">
          <a:noFill/>
        </a:ln>
      </xdr:spPr>
    </xdr:pic>
    <xdr:clientData/>
  </xdr:twoCellAnchor>
  <xdr:twoCellAnchor editAs="oneCell">
    <xdr:from>
      <xdr:col>2</xdr:col>
      <xdr:colOff>38160</xdr:colOff>
      <xdr:row>120</xdr:row>
      <xdr:rowOff>143280</xdr:rowOff>
    </xdr:from>
    <xdr:to>
      <xdr:col>2</xdr:col>
      <xdr:colOff>1208880</xdr:colOff>
      <xdr:row>120</xdr:row>
      <xdr:rowOff>1316520</xdr:rowOff>
    </xdr:to>
    <xdr:pic>
      <xdr:nvPicPr>
        <xdr:cNvPr id="183" name="图片 212" descr="12"/>
        <xdr:cNvPicPr/>
      </xdr:nvPicPr>
      <xdr:blipFill>
        <a:blip r:embed="rId183"/>
        <a:stretch/>
      </xdr:blipFill>
      <xdr:spPr>
        <a:xfrm>
          <a:off x="5605920" y="118193040"/>
          <a:ext cx="1170720" cy="1173240"/>
        </a:xfrm>
        <a:prstGeom prst="rect">
          <a:avLst/>
        </a:prstGeom>
        <a:noFill/>
        <a:ln w="9525">
          <a:noFill/>
        </a:ln>
      </xdr:spPr>
    </xdr:pic>
    <xdr:clientData/>
  </xdr:twoCellAnchor>
  <xdr:twoCellAnchor editAs="oneCell">
    <xdr:from>
      <xdr:col>1</xdr:col>
      <xdr:colOff>38160</xdr:colOff>
      <xdr:row>121</xdr:row>
      <xdr:rowOff>145800</xdr:rowOff>
    </xdr:from>
    <xdr:to>
      <xdr:col>1</xdr:col>
      <xdr:colOff>1208880</xdr:colOff>
      <xdr:row>121</xdr:row>
      <xdr:rowOff>1313640</xdr:rowOff>
    </xdr:to>
    <xdr:pic>
      <xdr:nvPicPr>
        <xdr:cNvPr id="184" name="图片 213" descr="4"/>
        <xdr:cNvPicPr/>
      </xdr:nvPicPr>
      <xdr:blipFill>
        <a:blip r:embed="rId184"/>
        <a:stretch/>
      </xdr:blipFill>
      <xdr:spPr>
        <a:xfrm>
          <a:off x="4039920" y="119656080"/>
          <a:ext cx="1170720" cy="1167840"/>
        </a:xfrm>
        <a:prstGeom prst="rect">
          <a:avLst/>
        </a:prstGeom>
        <a:noFill/>
        <a:ln w="9525">
          <a:noFill/>
        </a:ln>
      </xdr:spPr>
    </xdr:pic>
    <xdr:clientData/>
  </xdr:twoCellAnchor>
  <xdr:twoCellAnchor editAs="oneCell">
    <xdr:from>
      <xdr:col>2</xdr:col>
      <xdr:colOff>38160</xdr:colOff>
      <xdr:row>121</xdr:row>
      <xdr:rowOff>143280</xdr:rowOff>
    </xdr:from>
    <xdr:to>
      <xdr:col>2</xdr:col>
      <xdr:colOff>1208880</xdr:colOff>
      <xdr:row>121</xdr:row>
      <xdr:rowOff>1316520</xdr:rowOff>
    </xdr:to>
    <xdr:pic>
      <xdr:nvPicPr>
        <xdr:cNvPr id="185" name="图片 216" descr="12"/>
        <xdr:cNvPicPr/>
      </xdr:nvPicPr>
      <xdr:blipFill>
        <a:blip r:embed="rId185"/>
        <a:stretch/>
      </xdr:blipFill>
      <xdr:spPr>
        <a:xfrm>
          <a:off x="5605920" y="119653560"/>
          <a:ext cx="1170720" cy="1173240"/>
        </a:xfrm>
        <a:prstGeom prst="rect">
          <a:avLst/>
        </a:prstGeom>
        <a:noFill/>
        <a:ln w="9525">
          <a:noFill/>
        </a:ln>
      </xdr:spPr>
    </xdr:pic>
    <xdr:clientData/>
  </xdr:twoCellAnchor>
  <xdr:twoCellAnchor editAs="oneCell">
    <xdr:from>
      <xdr:col>1</xdr:col>
      <xdr:colOff>38160</xdr:colOff>
      <xdr:row>128</xdr:row>
      <xdr:rowOff>146880</xdr:rowOff>
    </xdr:from>
    <xdr:to>
      <xdr:col>1</xdr:col>
      <xdr:colOff>1208880</xdr:colOff>
      <xdr:row>128</xdr:row>
      <xdr:rowOff>1313280</xdr:rowOff>
    </xdr:to>
    <xdr:pic>
      <xdr:nvPicPr>
        <xdr:cNvPr id="186" name="图片 239" descr="3"/>
        <xdr:cNvPicPr/>
      </xdr:nvPicPr>
      <xdr:blipFill>
        <a:blip r:embed="rId186"/>
        <a:stretch/>
      </xdr:blipFill>
      <xdr:spPr>
        <a:xfrm>
          <a:off x="4039920" y="125689680"/>
          <a:ext cx="1170720" cy="1166400"/>
        </a:xfrm>
        <a:prstGeom prst="rect">
          <a:avLst/>
        </a:prstGeom>
        <a:noFill/>
        <a:ln w="9525">
          <a:noFill/>
        </a:ln>
      </xdr:spPr>
    </xdr:pic>
    <xdr:clientData/>
  </xdr:twoCellAnchor>
  <xdr:twoCellAnchor editAs="oneCell">
    <xdr:from>
      <xdr:col>1</xdr:col>
      <xdr:colOff>38160</xdr:colOff>
      <xdr:row>18</xdr:row>
      <xdr:rowOff>144000</xdr:rowOff>
    </xdr:from>
    <xdr:to>
      <xdr:col>1</xdr:col>
      <xdr:colOff>1208880</xdr:colOff>
      <xdr:row>18</xdr:row>
      <xdr:rowOff>1316160</xdr:rowOff>
    </xdr:to>
    <xdr:pic>
      <xdr:nvPicPr>
        <xdr:cNvPr id="187" name="图片 269" descr="2"/>
        <xdr:cNvPicPr/>
      </xdr:nvPicPr>
      <xdr:blipFill>
        <a:blip r:embed="rId187"/>
        <a:stretch/>
      </xdr:blipFill>
      <xdr:spPr>
        <a:xfrm>
          <a:off x="4039920" y="12501000"/>
          <a:ext cx="1170720" cy="1172160"/>
        </a:xfrm>
        <a:prstGeom prst="rect">
          <a:avLst/>
        </a:prstGeom>
        <a:noFill/>
        <a:ln w="9525">
          <a:noFill/>
        </a:ln>
      </xdr:spPr>
    </xdr:pic>
    <xdr:clientData/>
  </xdr:twoCellAnchor>
  <xdr:twoCellAnchor editAs="oneCell">
    <xdr:from>
      <xdr:col>2</xdr:col>
      <xdr:colOff>38160</xdr:colOff>
      <xdr:row>18</xdr:row>
      <xdr:rowOff>144720</xdr:rowOff>
    </xdr:from>
    <xdr:to>
      <xdr:col>2</xdr:col>
      <xdr:colOff>1208880</xdr:colOff>
      <xdr:row>18</xdr:row>
      <xdr:rowOff>1315080</xdr:rowOff>
    </xdr:to>
    <xdr:pic>
      <xdr:nvPicPr>
        <xdr:cNvPr id="188" name="图片 273" descr="11"/>
        <xdr:cNvPicPr/>
      </xdr:nvPicPr>
      <xdr:blipFill>
        <a:blip r:embed="rId188"/>
        <a:stretch/>
      </xdr:blipFill>
      <xdr:spPr>
        <a:xfrm>
          <a:off x="5605920" y="12501720"/>
          <a:ext cx="1170720" cy="1170360"/>
        </a:xfrm>
        <a:prstGeom prst="rect">
          <a:avLst/>
        </a:prstGeom>
        <a:noFill/>
        <a:ln w="9525">
          <a:noFill/>
        </a:ln>
      </xdr:spPr>
    </xdr:pic>
    <xdr:clientData/>
  </xdr:twoCellAnchor>
  <xdr:twoCellAnchor editAs="oneCell">
    <xdr:from>
      <xdr:col>1</xdr:col>
      <xdr:colOff>38160</xdr:colOff>
      <xdr:row>158</xdr:row>
      <xdr:rowOff>143280</xdr:rowOff>
    </xdr:from>
    <xdr:to>
      <xdr:col>1</xdr:col>
      <xdr:colOff>1208880</xdr:colOff>
      <xdr:row>158</xdr:row>
      <xdr:rowOff>1316520</xdr:rowOff>
    </xdr:to>
    <xdr:pic>
      <xdr:nvPicPr>
        <xdr:cNvPr id="189" name="图片 46" descr="2"/>
        <xdr:cNvPicPr/>
      </xdr:nvPicPr>
      <xdr:blipFill>
        <a:blip r:embed="rId189"/>
        <a:stretch/>
      </xdr:blipFill>
      <xdr:spPr>
        <a:xfrm>
          <a:off x="4039920" y="155530800"/>
          <a:ext cx="1170720" cy="1173240"/>
        </a:xfrm>
        <a:prstGeom prst="rect">
          <a:avLst/>
        </a:prstGeom>
        <a:noFill/>
        <a:ln w="9525">
          <a:noFill/>
        </a:ln>
      </xdr:spPr>
    </xdr:pic>
    <xdr:clientData/>
  </xdr:twoCellAnchor>
  <xdr:twoCellAnchor editAs="oneCell">
    <xdr:from>
      <xdr:col>2</xdr:col>
      <xdr:colOff>38160</xdr:colOff>
      <xdr:row>158</xdr:row>
      <xdr:rowOff>146880</xdr:rowOff>
    </xdr:from>
    <xdr:to>
      <xdr:col>2</xdr:col>
      <xdr:colOff>1208880</xdr:colOff>
      <xdr:row>158</xdr:row>
      <xdr:rowOff>1313280</xdr:rowOff>
    </xdr:to>
    <xdr:pic>
      <xdr:nvPicPr>
        <xdr:cNvPr id="190" name="图片 47" descr="9"/>
        <xdr:cNvPicPr/>
      </xdr:nvPicPr>
      <xdr:blipFill>
        <a:blip r:embed="rId190"/>
        <a:stretch/>
      </xdr:blipFill>
      <xdr:spPr>
        <a:xfrm>
          <a:off x="5605920" y="155534400"/>
          <a:ext cx="1170720" cy="1166400"/>
        </a:xfrm>
        <a:prstGeom prst="rect">
          <a:avLst/>
        </a:prstGeom>
        <a:noFill/>
        <a:ln w="9525">
          <a:noFill/>
        </a:ln>
      </xdr:spPr>
    </xdr:pic>
    <xdr:clientData/>
  </xdr:twoCellAnchor>
  <xdr:twoCellAnchor editAs="oneCell">
    <xdr:from>
      <xdr:col>1</xdr:col>
      <xdr:colOff>38160</xdr:colOff>
      <xdr:row>53</xdr:row>
      <xdr:rowOff>137880</xdr:rowOff>
    </xdr:from>
    <xdr:to>
      <xdr:col>1</xdr:col>
      <xdr:colOff>1208880</xdr:colOff>
      <xdr:row>53</xdr:row>
      <xdr:rowOff>1321920</xdr:rowOff>
    </xdr:to>
    <xdr:pic>
      <xdr:nvPicPr>
        <xdr:cNvPr id="191" name="图片 50" descr="2"/>
        <xdr:cNvPicPr/>
      </xdr:nvPicPr>
      <xdr:blipFill>
        <a:blip r:embed="rId191"/>
        <a:stretch/>
      </xdr:blipFill>
      <xdr:spPr>
        <a:xfrm>
          <a:off x="4039920" y="49642560"/>
          <a:ext cx="1170720" cy="1184040"/>
        </a:xfrm>
        <a:prstGeom prst="rect">
          <a:avLst/>
        </a:prstGeom>
        <a:noFill/>
        <a:ln w="9525">
          <a:noFill/>
        </a:ln>
      </xdr:spPr>
    </xdr:pic>
    <xdr:clientData/>
  </xdr:twoCellAnchor>
  <xdr:twoCellAnchor editAs="oneCell">
    <xdr:from>
      <xdr:col>2</xdr:col>
      <xdr:colOff>38160</xdr:colOff>
      <xdr:row>53</xdr:row>
      <xdr:rowOff>144000</xdr:rowOff>
    </xdr:from>
    <xdr:to>
      <xdr:col>2</xdr:col>
      <xdr:colOff>1208880</xdr:colOff>
      <xdr:row>53</xdr:row>
      <xdr:rowOff>1316160</xdr:rowOff>
    </xdr:to>
    <xdr:pic>
      <xdr:nvPicPr>
        <xdr:cNvPr id="192" name="图片 61" descr="9"/>
        <xdr:cNvPicPr/>
      </xdr:nvPicPr>
      <xdr:blipFill>
        <a:blip r:embed="rId192"/>
        <a:stretch/>
      </xdr:blipFill>
      <xdr:spPr>
        <a:xfrm>
          <a:off x="5605920" y="49648680"/>
          <a:ext cx="1170720" cy="1172160"/>
        </a:xfrm>
        <a:prstGeom prst="rect">
          <a:avLst/>
        </a:prstGeom>
        <a:noFill/>
        <a:ln w="9525">
          <a:noFill/>
        </a:ln>
      </xdr:spPr>
    </xdr:pic>
    <xdr:clientData/>
  </xdr:twoCellAnchor>
  <xdr:twoCellAnchor editAs="oneCell">
    <xdr:from>
      <xdr:col>1</xdr:col>
      <xdr:colOff>38160</xdr:colOff>
      <xdr:row>154</xdr:row>
      <xdr:rowOff>143280</xdr:rowOff>
    </xdr:from>
    <xdr:to>
      <xdr:col>1</xdr:col>
      <xdr:colOff>1208880</xdr:colOff>
      <xdr:row>154</xdr:row>
      <xdr:rowOff>1316520</xdr:rowOff>
    </xdr:to>
    <xdr:pic>
      <xdr:nvPicPr>
        <xdr:cNvPr id="193" name="图片 73" descr="2"/>
        <xdr:cNvPicPr/>
      </xdr:nvPicPr>
      <xdr:blipFill>
        <a:blip r:embed="rId193"/>
        <a:stretch/>
      </xdr:blipFill>
      <xdr:spPr>
        <a:xfrm>
          <a:off x="4039920" y="149689080"/>
          <a:ext cx="1170720" cy="1173240"/>
        </a:xfrm>
        <a:prstGeom prst="rect">
          <a:avLst/>
        </a:prstGeom>
        <a:noFill/>
        <a:ln w="9525">
          <a:noFill/>
        </a:ln>
      </xdr:spPr>
    </xdr:pic>
    <xdr:clientData/>
  </xdr:twoCellAnchor>
  <xdr:twoCellAnchor editAs="oneCell">
    <xdr:from>
      <xdr:col>2</xdr:col>
      <xdr:colOff>38160</xdr:colOff>
      <xdr:row>154</xdr:row>
      <xdr:rowOff>143640</xdr:rowOff>
    </xdr:from>
    <xdr:to>
      <xdr:col>2</xdr:col>
      <xdr:colOff>1208880</xdr:colOff>
      <xdr:row>154</xdr:row>
      <xdr:rowOff>1316160</xdr:rowOff>
    </xdr:to>
    <xdr:pic>
      <xdr:nvPicPr>
        <xdr:cNvPr id="194" name="图片 75" descr="9"/>
        <xdr:cNvPicPr/>
      </xdr:nvPicPr>
      <xdr:blipFill>
        <a:blip r:embed="rId194"/>
        <a:stretch/>
      </xdr:blipFill>
      <xdr:spPr>
        <a:xfrm>
          <a:off x="5605920" y="149689440"/>
          <a:ext cx="1170720" cy="1172520"/>
        </a:xfrm>
        <a:prstGeom prst="rect">
          <a:avLst/>
        </a:prstGeom>
        <a:noFill/>
        <a:ln w="9525">
          <a:noFill/>
        </a:ln>
      </xdr:spPr>
    </xdr:pic>
    <xdr:clientData/>
  </xdr:twoCellAnchor>
  <xdr:twoCellAnchor editAs="oneCell">
    <xdr:from>
      <xdr:col>1</xdr:col>
      <xdr:colOff>38160</xdr:colOff>
      <xdr:row>156</xdr:row>
      <xdr:rowOff>143280</xdr:rowOff>
    </xdr:from>
    <xdr:to>
      <xdr:col>1</xdr:col>
      <xdr:colOff>1208880</xdr:colOff>
      <xdr:row>156</xdr:row>
      <xdr:rowOff>1316520</xdr:rowOff>
    </xdr:to>
    <xdr:pic>
      <xdr:nvPicPr>
        <xdr:cNvPr id="195" name="图片 108" descr="2"/>
        <xdr:cNvPicPr/>
      </xdr:nvPicPr>
      <xdr:blipFill>
        <a:blip r:embed="rId195"/>
        <a:stretch/>
      </xdr:blipFill>
      <xdr:spPr>
        <a:xfrm>
          <a:off x="4039920" y="152610120"/>
          <a:ext cx="1170720" cy="1173240"/>
        </a:xfrm>
        <a:prstGeom prst="rect">
          <a:avLst/>
        </a:prstGeom>
        <a:noFill/>
        <a:ln w="9525">
          <a:noFill/>
        </a:ln>
      </xdr:spPr>
    </xdr:pic>
    <xdr:clientData/>
  </xdr:twoCellAnchor>
  <xdr:twoCellAnchor editAs="oneCell">
    <xdr:from>
      <xdr:col>1</xdr:col>
      <xdr:colOff>38160</xdr:colOff>
      <xdr:row>155</xdr:row>
      <xdr:rowOff>143640</xdr:rowOff>
    </xdr:from>
    <xdr:to>
      <xdr:col>1</xdr:col>
      <xdr:colOff>1208880</xdr:colOff>
      <xdr:row>155</xdr:row>
      <xdr:rowOff>1316160</xdr:rowOff>
    </xdr:to>
    <xdr:pic>
      <xdr:nvPicPr>
        <xdr:cNvPr id="196" name="图片 112" descr="2"/>
        <xdr:cNvPicPr/>
      </xdr:nvPicPr>
      <xdr:blipFill>
        <a:blip r:embed="rId196"/>
        <a:stretch/>
      </xdr:blipFill>
      <xdr:spPr>
        <a:xfrm>
          <a:off x="4039920" y="151149960"/>
          <a:ext cx="1170720" cy="1172520"/>
        </a:xfrm>
        <a:prstGeom prst="rect">
          <a:avLst/>
        </a:prstGeom>
        <a:noFill/>
        <a:ln w="9525">
          <a:noFill/>
        </a:ln>
      </xdr:spPr>
    </xdr:pic>
    <xdr:clientData/>
  </xdr:twoCellAnchor>
  <xdr:twoCellAnchor editAs="oneCell">
    <xdr:from>
      <xdr:col>2</xdr:col>
      <xdr:colOff>38160</xdr:colOff>
      <xdr:row>156</xdr:row>
      <xdr:rowOff>143280</xdr:rowOff>
    </xdr:from>
    <xdr:to>
      <xdr:col>2</xdr:col>
      <xdr:colOff>1208880</xdr:colOff>
      <xdr:row>156</xdr:row>
      <xdr:rowOff>1316520</xdr:rowOff>
    </xdr:to>
    <xdr:pic>
      <xdr:nvPicPr>
        <xdr:cNvPr id="197" name="图片 118" descr="9"/>
        <xdr:cNvPicPr/>
      </xdr:nvPicPr>
      <xdr:blipFill>
        <a:blip r:embed="rId197"/>
        <a:stretch/>
      </xdr:blipFill>
      <xdr:spPr>
        <a:xfrm>
          <a:off x="5605920" y="152610120"/>
          <a:ext cx="1170720" cy="1173240"/>
        </a:xfrm>
        <a:prstGeom prst="rect">
          <a:avLst/>
        </a:prstGeom>
        <a:noFill/>
        <a:ln w="9525">
          <a:noFill/>
        </a:ln>
      </xdr:spPr>
    </xdr:pic>
    <xdr:clientData/>
  </xdr:twoCellAnchor>
  <xdr:twoCellAnchor editAs="oneCell">
    <xdr:from>
      <xdr:col>2</xdr:col>
      <xdr:colOff>38160</xdr:colOff>
      <xdr:row>155</xdr:row>
      <xdr:rowOff>146880</xdr:rowOff>
    </xdr:from>
    <xdr:to>
      <xdr:col>2</xdr:col>
      <xdr:colOff>1208880</xdr:colOff>
      <xdr:row>155</xdr:row>
      <xdr:rowOff>1313280</xdr:rowOff>
    </xdr:to>
    <xdr:pic>
      <xdr:nvPicPr>
        <xdr:cNvPr id="198" name="图片 119" descr="9"/>
        <xdr:cNvPicPr/>
      </xdr:nvPicPr>
      <xdr:blipFill>
        <a:blip r:embed="rId198"/>
        <a:stretch/>
      </xdr:blipFill>
      <xdr:spPr>
        <a:xfrm>
          <a:off x="5605920" y="151153200"/>
          <a:ext cx="1170720" cy="1166400"/>
        </a:xfrm>
        <a:prstGeom prst="rect">
          <a:avLst/>
        </a:prstGeom>
        <a:noFill/>
        <a:ln w="9525">
          <a:noFill/>
        </a:ln>
      </xdr:spPr>
    </xdr:pic>
    <xdr:clientData/>
  </xdr:twoCellAnchor>
  <xdr:twoCellAnchor editAs="oneCell">
    <xdr:from>
      <xdr:col>1</xdr:col>
      <xdr:colOff>38160</xdr:colOff>
      <xdr:row>17</xdr:row>
      <xdr:rowOff>146160</xdr:rowOff>
    </xdr:from>
    <xdr:to>
      <xdr:col>1</xdr:col>
      <xdr:colOff>1208880</xdr:colOff>
      <xdr:row>17</xdr:row>
      <xdr:rowOff>1313640</xdr:rowOff>
    </xdr:to>
    <xdr:pic>
      <xdr:nvPicPr>
        <xdr:cNvPr id="199" name="图片 124" descr="2"/>
        <xdr:cNvPicPr/>
      </xdr:nvPicPr>
      <xdr:blipFill>
        <a:blip r:embed="rId199"/>
        <a:stretch/>
      </xdr:blipFill>
      <xdr:spPr>
        <a:xfrm>
          <a:off x="4039920" y="11042640"/>
          <a:ext cx="1170720" cy="1167480"/>
        </a:xfrm>
        <a:prstGeom prst="rect">
          <a:avLst/>
        </a:prstGeom>
        <a:noFill/>
        <a:ln w="9525">
          <a:noFill/>
        </a:ln>
      </xdr:spPr>
    </xdr:pic>
    <xdr:clientData/>
  </xdr:twoCellAnchor>
  <xdr:twoCellAnchor editAs="oneCell">
    <xdr:from>
      <xdr:col>2</xdr:col>
      <xdr:colOff>38160</xdr:colOff>
      <xdr:row>17</xdr:row>
      <xdr:rowOff>140760</xdr:rowOff>
    </xdr:from>
    <xdr:to>
      <xdr:col>2</xdr:col>
      <xdr:colOff>1208880</xdr:colOff>
      <xdr:row>17</xdr:row>
      <xdr:rowOff>1319040</xdr:rowOff>
    </xdr:to>
    <xdr:pic>
      <xdr:nvPicPr>
        <xdr:cNvPr id="200" name="图片 127" descr="11"/>
        <xdr:cNvPicPr/>
      </xdr:nvPicPr>
      <xdr:blipFill>
        <a:blip r:embed="rId200"/>
        <a:stretch/>
      </xdr:blipFill>
      <xdr:spPr>
        <a:xfrm>
          <a:off x="5605920" y="11037240"/>
          <a:ext cx="1170720" cy="1178280"/>
        </a:xfrm>
        <a:prstGeom prst="rect">
          <a:avLst/>
        </a:prstGeom>
        <a:noFill/>
        <a:ln w="9525">
          <a:noFill/>
        </a:ln>
      </xdr:spPr>
    </xdr:pic>
    <xdr:clientData/>
  </xdr:twoCellAnchor>
  <xdr:twoCellAnchor editAs="oneCell">
    <xdr:from>
      <xdr:col>1</xdr:col>
      <xdr:colOff>38160</xdr:colOff>
      <xdr:row>21</xdr:row>
      <xdr:rowOff>143280</xdr:rowOff>
    </xdr:from>
    <xdr:to>
      <xdr:col>1</xdr:col>
      <xdr:colOff>1208880</xdr:colOff>
      <xdr:row>21</xdr:row>
      <xdr:rowOff>1316520</xdr:rowOff>
    </xdr:to>
    <xdr:pic>
      <xdr:nvPicPr>
        <xdr:cNvPr id="201" name="图片 161" descr="2"/>
        <xdr:cNvPicPr/>
      </xdr:nvPicPr>
      <xdr:blipFill>
        <a:blip r:embed="rId201"/>
        <a:stretch/>
      </xdr:blipFill>
      <xdr:spPr>
        <a:xfrm>
          <a:off x="4039920" y="16881840"/>
          <a:ext cx="1170720" cy="1173240"/>
        </a:xfrm>
        <a:prstGeom prst="rect">
          <a:avLst/>
        </a:prstGeom>
        <a:noFill/>
        <a:ln w="9525">
          <a:noFill/>
        </a:ln>
      </xdr:spPr>
    </xdr:pic>
    <xdr:clientData/>
  </xdr:twoCellAnchor>
  <xdr:twoCellAnchor editAs="oneCell">
    <xdr:from>
      <xdr:col>2</xdr:col>
      <xdr:colOff>38160</xdr:colOff>
      <xdr:row>21</xdr:row>
      <xdr:rowOff>143640</xdr:rowOff>
    </xdr:from>
    <xdr:to>
      <xdr:col>2</xdr:col>
      <xdr:colOff>1208880</xdr:colOff>
      <xdr:row>21</xdr:row>
      <xdr:rowOff>1316160</xdr:rowOff>
    </xdr:to>
    <xdr:pic>
      <xdr:nvPicPr>
        <xdr:cNvPr id="202" name="图片 168" descr="11"/>
        <xdr:cNvPicPr/>
      </xdr:nvPicPr>
      <xdr:blipFill>
        <a:blip r:embed="rId202"/>
        <a:stretch/>
      </xdr:blipFill>
      <xdr:spPr>
        <a:xfrm>
          <a:off x="5605920" y="16882200"/>
          <a:ext cx="1170720" cy="1172520"/>
        </a:xfrm>
        <a:prstGeom prst="rect">
          <a:avLst/>
        </a:prstGeom>
        <a:noFill/>
        <a:ln w="9525">
          <a:noFill/>
        </a:ln>
      </xdr:spPr>
    </xdr:pic>
    <xdr:clientData/>
  </xdr:twoCellAnchor>
  <xdr:twoCellAnchor editAs="oneCell">
    <xdr:from>
      <xdr:col>1</xdr:col>
      <xdr:colOff>38160</xdr:colOff>
      <xdr:row>126</xdr:row>
      <xdr:rowOff>174960</xdr:rowOff>
    </xdr:from>
    <xdr:to>
      <xdr:col>1</xdr:col>
      <xdr:colOff>1208880</xdr:colOff>
      <xdr:row>127</xdr:row>
      <xdr:rowOff>586080</xdr:rowOff>
    </xdr:to>
    <xdr:pic>
      <xdr:nvPicPr>
        <xdr:cNvPr id="203" name="图片 205" descr="4"/>
        <xdr:cNvPicPr/>
      </xdr:nvPicPr>
      <xdr:blipFill>
        <a:blip r:embed="rId203"/>
        <a:stretch/>
      </xdr:blipFill>
      <xdr:spPr>
        <a:xfrm>
          <a:off x="4039920" y="124193520"/>
          <a:ext cx="1170720" cy="1173240"/>
        </a:xfrm>
        <a:prstGeom prst="rect">
          <a:avLst/>
        </a:prstGeom>
        <a:noFill/>
        <a:ln w="9525">
          <a:noFill/>
        </a:ln>
      </xdr:spPr>
    </xdr:pic>
    <xdr:clientData/>
  </xdr:twoCellAnchor>
  <xdr:twoCellAnchor editAs="oneCell">
    <xdr:from>
      <xdr:col>2</xdr:col>
      <xdr:colOff>38160</xdr:colOff>
      <xdr:row>126</xdr:row>
      <xdr:rowOff>88200</xdr:rowOff>
    </xdr:from>
    <xdr:to>
      <xdr:col>2</xdr:col>
      <xdr:colOff>1208880</xdr:colOff>
      <xdr:row>127</xdr:row>
      <xdr:rowOff>672840</xdr:rowOff>
    </xdr:to>
    <xdr:pic>
      <xdr:nvPicPr>
        <xdr:cNvPr id="204" name="图片 206" descr="10"/>
        <xdr:cNvPicPr/>
      </xdr:nvPicPr>
      <xdr:blipFill>
        <a:blip r:embed="rId204"/>
        <a:stretch/>
      </xdr:blipFill>
      <xdr:spPr>
        <a:xfrm>
          <a:off x="5605920" y="124106760"/>
          <a:ext cx="1170720" cy="1346760"/>
        </a:xfrm>
        <a:prstGeom prst="rect">
          <a:avLst/>
        </a:prstGeom>
        <a:noFill/>
        <a:ln w="9525">
          <a:noFill/>
        </a:ln>
      </xdr:spPr>
    </xdr:pic>
    <xdr:clientData/>
  </xdr:twoCellAnchor>
  <xdr:twoCellAnchor editAs="twoCell">
    <xdr:from>
      <xdr:col>0</xdr:col>
      <xdr:colOff>9360</xdr:colOff>
      <xdr:row>114</xdr:row>
      <xdr:rowOff>0</xdr:rowOff>
    </xdr:from>
    <xdr:to>
      <xdr:col>0</xdr:col>
      <xdr:colOff>837360</xdr:colOff>
      <xdr:row>114</xdr:row>
      <xdr:rowOff>297000</xdr:rowOff>
    </xdr:to>
    <xdr:pic>
      <xdr:nvPicPr>
        <xdr:cNvPr id="205" name="图片 271" descr="快充"/>
        <xdr:cNvPicPr/>
      </xdr:nvPicPr>
      <xdr:blipFill>
        <a:blip r:embed="rId205"/>
        <a:stretch/>
      </xdr:blipFill>
      <xdr:spPr>
        <a:xfrm>
          <a:off x="9360" y="109286640"/>
          <a:ext cx="828000" cy="297000"/>
        </a:xfrm>
        <a:prstGeom prst="rect">
          <a:avLst/>
        </a:prstGeom>
        <a:noFill/>
        <a:ln w="9525">
          <a:noFill/>
        </a:ln>
      </xdr:spPr>
    </xdr:pic>
    <xdr:clientData/>
  </xdr:twoCellAnchor>
  <xdr:twoCellAnchor editAs="twoCell">
    <xdr:from>
      <xdr:col>0</xdr:col>
      <xdr:colOff>9360</xdr:colOff>
      <xdr:row>113</xdr:row>
      <xdr:rowOff>0</xdr:rowOff>
    </xdr:from>
    <xdr:to>
      <xdr:col>0</xdr:col>
      <xdr:colOff>837360</xdr:colOff>
      <xdr:row>113</xdr:row>
      <xdr:rowOff>297000</xdr:rowOff>
    </xdr:to>
    <xdr:pic>
      <xdr:nvPicPr>
        <xdr:cNvPr id="206" name="图片 275" descr="快充"/>
        <xdr:cNvPicPr/>
      </xdr:nvPicPr>
      <xdr:blipFill>
        <a:blip r:embed="rId206"/>
        <a:stretch/>
      </xdr:blipFill>
      <xdr:spPr>
        <a:xfrm>
          <a:off x="9360" y="107826120"/>
          <a:ext cx="828000" cy="297000"/>
        </a:xfrm>
        <a:prstGeom prst="rect">
          <a:avLst/>
        </a:prstGeom>
        <a:noFill/>
        <a:ln w="9525">
          <a:noFill/>
        </a:ln>
      </xdr:spPr>
    </xdr:pic>
    <xdr:clientData/>
  </xdr:twoCellAnchor>
  <xdr:twoCellAnchor editAs="twoCell">
    <xdr:from>
      <xdr:col>0</xdr:col>
      <xdr:colOff>9360</xdr:colOff>
      <xdr:row>108</xdr:row>
      <xdr:rowOff>0</xdr:rowOff>
    </xdr:from>
    <xdr:to>
      <xdr:col>0</xdr:col>
      <xdr:colOff>837360</xdr:colOff>
      <xdr:row>108</xdr:row>
      <xdr:rowOff>297000</xdr:rowOff>
    </xdr:to>
    <xdr:pic>
      <xdr:nvPicPr>
        <xdr:cNvPr id="207" name="图片 279" descr="快充"/>
        <xdr:cNvPicPr/>
      </xdr:nvPicPr>
      <xdr:blipFill>
        <a:blip r:embed="rId207"/>
        <a:stretch/>
      </xdr:blipFill>
      <xdr:spPr>
        <a:xfrm>
          <a:off x="9360" y="100523520"/>
          <a:ext cx="828000" cy="297000"/>
        </a:xfrm>
        <a:prstGeom prst="rect">
          <a:avLst/>
        </a:prstGeom>
        <a:noFill/>
        <a:ln w="9525">
          <a:noFill/>
        </a:ln>
      </xdr:spPr>
    </xdr:pic>
    <xdr:clientData/>
  </xdr:twoCellAnchor>
  <xdr:twoCellAnchor editAs="twoCell">
    <xdr:from>
      <xdr:col>0</xdr:col>
      <xdr:colOff>9360</xdr:colOff>
      <xdr:row>109</xdr:row>
      <xdr:rowOff>0</xdr:rowOff>
    </xdr:from>
    <xdr:to>
      <xdr:col>0</xdr:col>
      <xdr:colOff>837360</xdr:colOff>
      <xdr:row>109</xdr:row>
      <xdr:rowOff>297000</xdr:rowOff>
    </xdr:to>
    <xdr:pic>
      <xdr:nvPicPr>
        <xdr:cNvPr id="208" name="图片 282" descr="快充"/>
        <xdr:cNvPicPr/>
      </xdr:nvPicPr>
      <xdr:blipFill>
        <a:blip r:embed="rId208"/>
        <a:stretch/>
      </xdr:blipFill>
      <xdr:spPr>
        <a:xfrm>
          <a:off x="9360" y="101984040"/>
          <a:ext cx="828000" cy="297000"/>
        </a:xfrm>
        <a:prstGeom prst="rect">
          <a:avLst/>
        </a:prstGeom>
        <a:noFill/>
        <a:ln w="9525">
          <a:noFill/>
        </a:ln>
      </xdr:spPr>
    </xdr:pic>
    <xdr:clientData/>
  </xdr:twoCellAnchor>
  <xdr:twoCellAnchor editAs="oneCell">
    <xdr:from>
      <xdr:col>1</xdr:col>
      <xdr:colOff>38160</xdr:colOff>
      <xdr:row>90</xdr:row>
      <xdr:rowOff>172080</xdr:rowOff>
    </xdr:from>
    <xdr:to>
      <xdr:col>1</xdr:col>
      <xdr:colOff>1208880</xdr:colOff>
      <xdr:row>91</xdr:row>
      <xdr:rowOff>589320</xdr:rowOff>
    </xdr:to>
    <xdr:pic>
      <xdr:nvPicPr>
        <xdr:cNvPr id="209" name="图片 38" descr="4(3)"/>
        <xdr:cNvPicPr/>
      </xdr:nvPicPr>
      <xdr:blipFill>
        <a:blip r:embed="rId209"/>
        <a:stretch/>
      </xdr:blipFill>
      <xdr:spPr>
        <a:xfrm>
          <a:off x="4039920" y="86979600"/>
          <a:ext cx="1170720" cy="1179360"/>
        </a:xfrm>
        <a:prstGeom prst="rect">
          <a:avLst/>
        </a:prstGeom>
        <a:noFill/>
        <a:ln w="9525">
          <a:noFill/>
        </a:ln>
      </xdr:spPr>
    </xdr:pic>
    <xdr:clientData/>
  </xdr:twoCellAnchor>
  <xdr:twoCellAnchor editAs="oneCell">
    <xdr:from>
      <xdr:col>1</xdr:col>
      <xdr:colOff>38160</xdr:colOff>
      <xdr:row>88</xdr:row>
      <xdr:rowOff>171000</xdr:rowOff>
    </xdr:from>
    <xdr:to>
      <xdr:col>1</xdr:col>
      <xdr:colOff>1208880</xdr:colOff>
      <xdr:row>89</xdr:row>
      <xdr:rowOff>590040</xdr:rowOff>
    </xdr:to>
    <xdr:pic>
      <xdr:nvPicPr>
        <xdr:cNvPr id="210" name="图片 114" descr="4(4)"/>
        <xdr:cNvPicPr/>
      </xdr:nvPicPr>
      <xdr:blipFill>
        <a:blip r:embed="rId210"/>
        <a:stretch/>
      </xdr:blipFill>
      <xdr:spPr>
        <a:xfrm>
          <a:off x="4039920" y="85454640"/>
          <a:ext cx="1170720" cy="1181160"/>
        </a:xfrm>
        <a:prstGeom prst="rect">
          <a:avLst/>
        </a:prstGeom>
        <a:noFill/>
        <a:ln w="9525">
          <a:noFill/>
        </a:ln>
      </xdr:spPr>
    </xdr:pic>
    <xdr:clientData/>
  </xdr:twoCellAnchor>
  <xdr:twoCellAnchor editAs="oneCell">
    <xdr:from>
      <xdr:col>1</xdr:col>
      <xdr:colOff>38160</xdr:colOff>
      <xdr:row>92</xdr:row>
      <xdr:rowOff>169920</xdr:rowOff>
    </xdr:from>
    <xdr:to>
      <xdr:col>1</xdr:col>
      <xdr:colOff>1208880</xdr:colOff>
      <xdr:row>93</xdr:row>
      <xdr:rowOff>591480</xdr:rowOff>
    </xdr:to>
    <xdr:pic>
      <xdr:nvPicPr>
        <xdr:cNvPr id="211" name="图片 235" descr="4(5)"/>
        <xdr:cNvPicPr/>
      </xdr:nvPicPr>
      <xdr:blipFill>
        <a:blip r:embed="rId211"/>
        <a:stretch/>
      </xdr:blipFill>
      <xdr:spPr>
        <a:xfrm>
          <a:off x="4039920" y="88501680"/>
          <a:ext cx="1170720" cy="1183320"/>
        </a:xfrm>
        <a:prstGeom prst="rect">
          <a:avLst/>
        </a:prstGeom>
        <a:noFill/>
        <a:ln w="9525">
          <a:noFill/>
        </a:ln>
      </xdr:spPr>
    </xdr:pic>
    <xdr:clientData/>
  </xdr:twoCellAnchor>
  <xdr:twoCellAnchor editAs="oneCell">
    <xdr:from>
      <xdr:col>1</xdr:col>
      <xdr:colOff>38160</xdr:colOff>
      <xdr:row>94</xdr:row>
      <xdr:rowOff>173520</xdr:rowOff>
    </xdr:from>
    <xdr:to>
      <xdr:col>1</xdr:col>
      <xdr:colOff>1208880</xdr:colOff>
      <xdr:row>95</xdr:row>
      <xdr:rowOff>587880</xdr:rowOff>
    </xdr:to>
    <xdr:pic>
      <xdr:nvPicPr>
        <xdr:cNvPr id="212" name="图片 236" descr="4(6)"/>
        <xdr:cNvPicPr/>
      </xdr:nvPicPr>
      <xdr:blipFill>
        <a:blip r:embed="rId212"/>
        <a:stretch/>
      </xdr:blipFill>
      <xdr:spPr>
        <a:xfrm>
          <a:off x="4039920" y="90029160"/>
          <a:ext cx="1170720" cy="1176480"/>
        </a:xfrm>
        <a:prstGeom prst="rect">
          <a:avLst/>
        </a:prstGeom>
        <a:noFill/>
        <a:ln w="9525">
          <a:noFill/>
        </a:ln>
      </xdr:spPr>
    </xdr:pic>
    <xdr:clientData/>
  </xdr:twoCellAnchor>
  <xdr:twoCellAnchor editAs="oneCell">
    <xdr:from>
      <xdr:col>1</xdr:col>
      <xdr:colOff>38160</xdr:colOff>
      <xdr:row>96</xdr:row>
      <xdr:rowOff>172440</xdr:rowOff>
    </xdr:from>
    <xdr:to>
      <xdr:col>1</xdr:col>
      <xdr:colOff>1208880</xdr:colOff>
      <xdr:row>97</xdr:row>
      <xdr:rowOff>588600</xdr:rowOff>
    </xdr:to>
    <xdr:pic>
      <xdr:nvPicPr>
        <xdr:cNvPr id="213" name="图片 237" descr="4(7)"/>
        <xdr:cNvPicPr/>
      </xdr:nvPicPr>
      <xdr:blipFill>
        <a:blip r:embed="rId213"/>
        <a:stretch/>
      </xdr:blipFill>
      <xdr:spPr>
        <a:xfrm>
          <a:off x="4039920" y="91551960"/>
          <a:ext cx="1170720" cy="1178280"/>
        </a:xfrm>
        <a:prstGeom prst="rect">
          <a:avLst/>
        </a:prstGeom>
        <a:noFill/>
        <a:ln w="9525">
          <a:noFill/>
        </a:ln>
      </xdr:spPr>
    </xdr:pic>
    <xdr:clientData/>
  </xdr:twoCellAnchor>
  <xdr:twoCellAnchor editAs="oneCell">
    <xdr:from>
      <xdr:col>2</xdr:col>
      <xdr:colOff>38160</xdr:colOff>
      <xdr:row>90</xdr:row>
      <xdr:rowOff>174960</xdr:rowOff>
    </xdr:from>
    <xdr:to>
      <xdr:col>2</xdr:col>
      <xdr:colOff>1208880</xdr:colOff>
      <xdr:row>91</xdr:row>
      <xdr:rowOff>586080</xdr:rowOff>
    </xdr:to>
    <xdr:pic>
      <xdr:nvPicPr>
        <xdr:cNvPr id="214" name="图片 238" descr="9(2)"/>
        <xdr:cNvPicPr/>
      </xdr:nvPicPr>
      <xdr:blipFill>
        <a:blip r:embed="rId214"/>
        <a:stretch/>
      </xdr:blipFill>
      <xdr:spPr>
        <a:xfrm>
          <a:off x="5605920" y="86982480"/>
          <a:ext cx="1170720" cy="1173240"/>
        </a:xfrm>
        <a:prstGeom prst="rect">
          <a:avLst/>
        </a:prstGeom>
        <a:noFill/>
        <a:ln w="9525">
          <a:noFill/>
        </a:ln>
      </xdr:spPr>
    </xdr:pic>
    <xdr:clientData/>
  </xdr:twoCellAnchor>
  <xdr:twoCellAnchor editAs="oneCell">
    <xdr:from>
      <xdr:col>2</xdr:col>
      <xdr:colOff>38160</xdr:colOff>
      <xdr:row>88</xdr:row>
      <xdr:rowOff>173880</xdr:rowOff>
    </xdr:from>
    <xdr:to>
      <xdr:col>2</xdr:col>
      <xdr:colOff>1208880</xdr:colOff>
      <xdr:row>89</xdr:row>
      <xdr:rowOff>587160</xdr:rowOff>
    </xdr:to>
    <xdr:pic>
      <xdr:nvPicPr>
        <xdr:cNvPr id="215" name="图片 243" descr="9(3)"/>
        <xdr:cNvPicPr/>
      </xdr:nvPicPr>
      <xdr:blipFill>
        <a:blip r:embed="rId215"/>
        <a:stretch/>
      </xdr:blipFill>
      <xdr:spPr>
        <a:xfrm>
          <a:off x="5605920" y="85457520"/>
          <a:ext cx="1170720" cy="1175400"/>
        </a:xfrm>
        <a:prstGeom prst="rect">
          <a:avLst/>
        </a:prstGeom>
        <a:noFill/>
        <a:ln w="9525">
          <a:noFill/>
        </a:ln>
      </xdr:spPr>
    </xdr:pic>
    <xdr:clientData/>
  </xdr:twoCellAnchor>
  <xdr:twoCellAnchor editAs="oneCell">
    <xdr:from>
      <xdr:col>2</xdr:col>
      <xdr:colOff>38160</xdr:colOff>
      <xdr:row>92</xdr:row>
      <xdr:rowOff>173880</xdr:rowOff>
    </xdr:from>
    <xdr:to>
      <xdr:col>2</xdr:col>
      <xdr:colOff>1208880</xdr:colOff>
      <xdr:row>93</xdr:row>
      <xdr:rowOff>587520</xdr:rowOff>
    </xdr:to>
    <xdr:pic>
      <xdr:nvPicPr>
        <xdr:cNvPr id="216" name="图片 248" descr="9(4)"/>
        <xdr:cNvPicPr/>
      </xdr:nvPicPr>
      <xdr:blipFill>
        <a:blip r:embed="rId216"/>
        <a:stretch/>
      </xdr:blipFill>
      <xdr:spPr>
        <a:xfrm>
          <a:off x="5605920" y="88505640"/>
          <a:ext cx="1170720" cy="1175400"/>
        </a:xfrm>
        <a:prstGeom prst="rect">
          <a:avLst/>
        </a:prstGeom>
        <a:noFill/>
        <a:ln w="9525">
          <a:noFill/>
        </a:ln>
      </xdr:spPr>
    </xdr:pic>
    <xdr:clientData/>
  </xdr:twoCellAnchor>
  <xdr:twoCellAnchor editAs="oneCell">
    <xdr:from>
      <xdr:col>2</xdr:col>
      <xdr:colOff>38160</xdr:colOff>
      <xdr:row>94</xdr:row>
      <xdr:rowOff>173880</xdr:rowOff>
    </xdr:from>
    <xdr:to>
      <xdr:col>2</xdr:col>
      <xdr:colOff>1208880</xdr:colOff>
      <xdr:row>95</xdr:row>
      <xdr:rowOff>587160</xdr:rowOff>
    </xdr:to>
    <xdr:pic>
      <xdr:nvPicPr>
        <xdr:cNvPr id="217" name="图片 250" descr="9(5)"/>
        <xdr:cNvPicPr/>
      </xdr:nvPicPr>
      <xdr:blipFill>
        <a:blip r:embed="rId217"/>
        <a:stretch/>
      </xdr:blipFill>
      <xdr:spPr>
        <a:xfrm>
          <a:off x="5605920" y="90029520"/>
          <a:ext cx="1170720" cy="1175400"/>
        </a:xfrm>
        <a:prstGeom prst="rect">
          <a:avLst/>
        </a:prstGeom>
        <a:noFill/>
        <a:ln w="9525">
          <a:noFill/>
        </a:ln>
      </xdr:spPr>
    </xdr:pic>
    <xdr:clientData/>
  </xdr:twoCellAnchor>
  <xdr:twoCellAnchor editAs="oneCell">
    <xdr:from>
      <xdr:col>2</xdr:col>
      <xdr:colOff>38160</xdr:colOff>
      <xdr:row>96</xdr:row>
      <xdr:rowOff>173520</xdr:rowOff>
    </xdr:from>
    <xdr:to>
      <xdr:col>2</xdr:col>
      <xdr:colOff>1208880</xdr:colOff>
      <xdr:row>97</xdr:row>
      <xdr:rowOff>587520</xdr:rowOff>
    </xdr:to>
    <xdr:pic>
      <xdr:nvPicPr>
        <xdr:cNvPr id="218" name="图片 253" descr="9(6)"/>
        <xdr:cNvPicPr/>
      </xdr:nvPicPr>
      <xdr:blipFill>
        <a:blip r:embed="rId218"/>
        <a:stretch/>
      </xdr:blipFill>
      <xdr:spPr>
        <a:xfrm>
          <a:off x="5605920" y="91553040"/>
          <a:ext cx="1170720" cy="1176120"/>
        </a:xfrm>
        <a:prstGeom prst="rect">
          <a:avLst/>
        </a:prstGeom>
        <a:noFill/>
        <a:ln w="9525">
          <a:noFill/>
        </a:ln>
      </xdr:spPr>
    </xdr:pic>
    <xdr:clientData/>
  </xdr:twoCellAnchor>
  <xdr:twoCellAnchor editAs="oneCell">
    <xdr:from>
      <xdr:col>1</xdr:col>
      <xdr:colOff>38160</xdr:colOff>
      <xdr:row>100</xdr:row>
      <xdr:rowOff>171360</xdr:rowOff>
    </xdr:from>
    <xdr:to>
      <xdr:col>1</xdr:col>
      <xdr:colOff>1208880</xdr:colOff>
      <xdr:row>101</xdr:row>
      <xdr:rowOff>589680</xdr:rowOff>
    </xdr:to>
    <xdr:pic>
      <xdr:nvPicPr>
        <xdr:cNvPr id="219" name="图片 259" descr="4(3)"/>
        <xdr:cNvPicPr/>
      </xdr:nvPicPr>
      <xdr:blipFill>
        <a:blip r:embed="rId219"/>
        <a:stretch/>
      </xdr:blipFill>
      <xdr:spPr>
        <a:xfrm>
          <a:off x="4039920" y="94599000"/>
          <a:ext cx="1170720" cy="1180440"/>
        </a:xfrm>
        <a:prstGeom prst="rect">
          <a:avLst/>
        </a:prstGeom>
        <a:noFill/>
        <a:ln w="9525">
          <a:noFill/>
        </a:ln>
      </xdr:spPr>
    </xdr:pic>
    <xdr:clientData/>
  </xdr:twoCellAnchor>
  <xdr:twoCellAnchor editAs="oneCell">
    <xdr:from>
      <xdr:col>1</xdr:col>
      <xdr:colOff>38160</xdr:colOff>
      <xdr:row>98</xdr:row>
      <xdr:rowOff>171000</xdr:rowOff>
    </xdr:from>
    <xdr:to>
      <xdr:col>1</xdr:col>
      <xdr:colOff>1208880</xdr:colOff>
      <xdr:row>99</xdr:row>
      <xdr:rowOff>590400</xdr:rowOff>
    </xdr:to>
    <xdr:pic>
      <xdr:nvPicPr>
        <xdr:cNvPr id="220" name="图片 262" descr="4(4)"/>
        <xdr:cNvPicPr/>
      </xdr:nvPicPr>
      <xdr:blipFill>
        <a:blip r:embed="rId220"/>
        <a:stretch/>
      </xdr:blipFill>
      <xdr:spPr>
        <a:xfrm>
          <a:off x="4039920" y="93074760"/>
          <a:ext cx="1170720" cy="1181160"/>
        </a:xfrm>
        <a:prstGeom prst="rect">
          <a:avLst/>
        </a:prstGeom>
        <a:noFill/>
        <a:ln w="9525">
          <a:noFill/>
        </a:ln>
      </xdr:spPr>
    </xdr:pic>
    <xdr:clientData/>
  </xdr:twoCellAnchor>
  <xdr:twoCellAnchor editAs="oneCell">
    <xdr:from>
      <xdr:col>1</xdr:col>
      <xdr:colOff>38160</xdr:colOff>
      <xdr:row>102</xdr:row>
      <xdr:rowOff>172080</xdr:rowOff>
    </xdr:from>
    <xdr:to>
      <xdr:col>1</xdr:col>
      <xdr:colOff>1208880</xdr:colOff>
      <xdr:row>103</xdr:row>
      <xdr:rowOff>589320</xdr:rowOff>
    </xdr:to>
    <xdr:pic>
      <xdr:nvPicPr>
        <xdr:cNvPr id="221" name="图片 266" descr="4(5)"/>
        <xdr:cNvPicPr/>
      </xdr:nvPicPr>
      <xdr:blipFill>
        <a:blip r:embed="rId221"/>
        <a:stretch/>
      </xdr:blipFill>
      <xdr:spPr>
        <a:xfrm>
          <a:off x="4039920" y="96123600"/>
          <a:ext cx="1170720" cy="1179360"/>
        </a:xfrm>
        <a:prstGeom prst="rect">
          <a:avLst/>
        </a:prstGeom>
        <a:noFill/>
        <a:ln w="9525">
          <a:noFill/>
        </a:ln>
      </xdr:spPr>
    </xdr:pic>
    <xdr:clientData/>
  </xdr:twoCellAnchor>
  <xdr:twoCellAnchor editAs="oneCell">
    <xdr:from>
      <xdr:col>1</xdr:col>
      <xdr:colOff>38160</xdr:colOff>
      <xdr:row>104</xdr:row>
      <xdr:rowOff>172440</xdr:rowOff>
    </xdr:from>
    <xdr:to>
      <xdr:col>1</xdr:col>
      <xdr:colOff>1208880</xdr:colOff>
      <xdr:row>105</xdr:row>
      <xdr:rowOff>588960</xdr:rowOff>
    </xdr:to>
    <xdr:pic>
      <xdr:nvPicPr>
        <xdr:cNvPr id="222" name="图片 267" descr="4(6)"/>
        <xdr:cNvPicPr/>
      </xdr:nvPicPr>
      <xdr:blipFill>
        <a:blip r:embed="rId222"/>
        <a:stretch/>
      </xdr:blipFill>
      <xdr:spPr>
        <a:xfrm>
          <a:off x="4039920" y="97648200"/>
          <a:ext cx="1170720" cy="1178280"/>
        </a:xfrm>
        <a:prstGeom prst="rect">
          <a:avLst/>
        </a:prstGeom>
        <a:noFill/>
        <a:ln w="9525">
          <a:noFill/>
        </a:ln>
      </xdr:spPr>
    </xdr:pic>
    <xdr:clientData/>
  </xdr:twoCellAnchor>
  <xdr:twoCellAnchor editAs="oneCell">
    <xdr:from>
      <xdr:col>1</xdr:col>
      <xdr:colOff>38160</xdr:colOff>
      <xdr:row>106</xdr:row>
      <xdr:rowOff>173520</xdr:rowOff>
    </xdr:from>
    <xdr:to>
      <xdr:col>1</xdr:col>
      <xdr:colOff>1208880</xdr:colOff>
      <xdr:row>107</xdr:row>
      <xdr:rowOff>587520</xdr:rowOff>
    </xdr:to>
    <xdr:pic>
      <xdr:nvPicPr>
        <xdr:cNvPr id="223" name="图片 299" descr="4(7)"/>
        <xdr:cNvPicPr/>
      </xdr:nvPicPr>
      <xdr:blipFill>
        <a:blip r:embed="rId223"/>
        <a:stretch/>
      </xdr:blipFill>
      <xdr:spPr>
        <a:xfrm>
          <a:off x="4039920" y="99173160"/>
          <a:ext cx="1170720" cy="1176120"/>
        </a:xfrm>
        <a:prstGeom prst="rect">
          <a:avLst/>
        </a:prstGeom>
        <a:noFill/>
        <a:ln w="9525">
          <a:noFill/>
        </a:ln>
      </xdr:spPr>
    </xdr:pic>
    <xdr:clientData/>
  </xdr:twoCellAnchor>
  <xdr:twoCellAnchor editAs="oneCell">
    <xdr:from>
      <xdr:col>2</xdr:col>
      <xdr:colOff>38160</xdr:colOff>
      <xdr:row>100</xdr:row>
      <xdr:rowOff>174960</xdr:rowOff>
    </xdr:from>
    <xdr:to>
      <xdr:col>2</xdr:col>
      <xdr:colOff>1208880</xdr:colOff>
      <xdr:row>101</xdr:row>
      <xdr:rowOff>586080</xdr:rowOff>
    </xdr:to>
    <xdr:pic>
      <xdr:nvPicPr>
        <xdr:cNvPr id="224" name="图片 300" descr="9(2)"/>
        <xdr:cNvPicPr/>
      </xdr:nvPicPr>
      <xdr:blipFill>
        <a:blip r:embed="rId224"/>
        <a:stretch/>
      </xdr:blipFill>
      <xdr:spPr>
        <a:xfrm>
          <a:off x="5605920" y="94602600"/>
          <a:ext cx="1170720" cy="1173240"/>
        </a:xfrm>
        <a:prstGeom prst="rect">
          <a:avLst/>
        </a:prstGeom>
        <a:noFill/>
        <a:ln w="9525">
          <a:noFill/>
        </a:ln>
      </xdr:spPr>
    </xdr:pic>
    <xdr:clientData/>
  </xdr:twoCellAnchor>
  <xdr:twoCellAnchor editAs="oneCell">
    <xdr:from>
      <xdr:col>2</xdr:col>
      <xdr:colOff>38160</xdr:colOff>
      <xdr:row>98</xdr:row>
      <xdr:rowOff>174600</xdr:rowOff>
    </xdr:from>
    <xdr:to>
      <xdr:col>2</xdr:col>
      <xdr:colOff>1208880</xdr:colOff>
      <xdr:row>99</xdr:row>
      <xdr:rowOff>587160</xdr:rowOff>
    </xdr:to>
    <xdr:pic>
      <xdr:nvPicPr>
        <xdr:cNvPr id="225" name="图片 301" descr="9(3)"/>
        <xdr:cNvPicPr/>
      </xdr:nvPicPr>
      <xdr:blipFill>
        <a:blip r:embed="rId225"/>
        <a:stretch/>
      </xdr:blipFill>
      <xdr:spPr>
        <a:xfrm>
          <a:off x="5605920" y="93078360"/>
          <a:ext cx="1170720" cy="1174320"/>
        </a:xfrm>
        <a:prstGeom prst="rect">
          <a:avLst/>
        </a:prstGeom>
        <a:noFill/>
        <a:ln w="9525">
          <a:noFill/>
        </a:ln>
      </xdr:spPr>
    </xdr:pic>
    <xdr:clientData/>
  </xdr:twoCellAnchor>
  <xdr:twoCellAnchor editAs="oneCell">
    <xdr:from>
      <xdr:col>2</xdr:col>
      <xdr:colOff>38160</xdr:colOff>
      <xdr:row>102</xdr:row>
      <xdr:rowOff>173160</xdr:rowOff>
    </xdr:from>
    <xdr:to>
      <xdr:col>2</xdr:col>
      <xdr:colOff>1208880</xdr:colOff>
      <xdr:row>103</xdr:row>
      <xdr:rowOff>588240</xdr:rowOff>
    </xdr:to>
    <xdr:pic>
      <xdr:nvPicPr>
        <xdr:cNvPr id="226" name="图片 302" descr="9(4)"/>
        <xdr:cNvPicPr/>
      </xdr:nvPicPr>
      <xdr:blipFill>
        <a:blip r:embed="rId226"/>
        <a:stretch/>
      </xdr:blipFill>
      <xdr:spPr>
        <a:xfrm>
          <a:off x="5605920" y="96124680"/>
          <a:ext cx="1170720" cy="1177200"/>
        </a:xfrm>
        <a:prstGeom prst="rect">
          <a:avLst/>
        </a:prstGeom>
        <a:noFill/>
        <a:ln w="9525">
          <a:noFill/>
        </a:ln>
      </xdr:spPr>
    </xdr:pic>
    <xdr:clientData/>
  </xdr:twoCellAnchor>
  <xdr:twoCellAnchor editAs="oneCell">
    <xdr:from>
      <xdr:col>2</xdr:col>
      <xdr:colOff>38160</xdr:colOff>
      <xdr:row>104</xdr:row>
      <xdr:rowOff>173880</xdr:rowOff>
    </xdr:from>
    <xdr:to>
      <xdr:col>2</xdr:col>
      <xdr:colOff>1208880</xdr:colOff>
      <xdr:row>105</xdr:row>
      <xdr:rowOff>587520</xdr:rowOff>
    </xdr:to>
    <xdr:pic>
      <xdr:nvPicPr>
        <xdr:cNvPr id="227" name="图片 308" descr="9(5)"/>
        <xdr:cNvPicPr/>
      </xdr:nvPicPr>
      <xdr:blipFill>
        <a:blip r:embed="rId227"/>
        <a:stretch/>
      </xdr:blipFill>
      <xdr:spPr>
        <a:xfrm>
          <a:off x="5605920" y="97649640"/>
          <a:ext cx="1170720" cy="1175400"/>
        </a:xfrm>
        <a:prstGeom prst="rect">
          <a:avLst/>
        </a:prstGeom>
        <a:noFill/>
        <a:ln w="9525">
          <a:noFill/>
        </a:ln>
      </xdr:spPr>
    </xdr:pic>
    <xdr:clientData/>
  </xdr:twoCellAnchor>
  <xdr:twoCellAnchor editAs="oneCell">
    <xdr:from>
      <xdr:col>2</xdr:col>
      <xdr:colOff>38160</xdr:colOff>
      <xdr:row>106</xdr:row>
      <xdr:rowOff>174600</xdr:rowOff>
    </xdr:from>
    <xdr:to>
      <xdr:col>2</xdr:col>
      <xdr:colOff>1208880</xdr:colOff>
      <xdr:row>107</xdr:row>
      <xdr:rowOff>586800</xdr:rowOff>
    </xdr:to>
    <xdr:pic>
      <xdr:nvPicPr>
        <xdr:cNvPr id="228" name="图片 309" descr="9(6)"/>
        <xdr:cNvPicPr/>
      </xdr:nvPicPr>
      <xdr:blipFill>
        <a:blip r:embed="rId228"/>
        <a:stretch/>
      </xdr:blipFill>
      <xdr:spPr>
        <a:xfrm>
          <a:off x="5605920" y="99174240"/>
          <a:ext cx="1170720" cy="1174320"/>
        </a:xfrm>
        <a:prstGeom prst="rect">
          <a:avLst/>
        </a:prstGeom>
        <a:noFill/>
        <a:ln w="9525">
          <a:noFill/>
        </a:ln>
      </xdr:spPr>
    </xdr:pic>
    <xdr:clientData/>
  </xdr:twoCellAnchor>
  <xdr:twoCellAnchor editAs="twoCell">
    <xdr:from>
      <xdr:col>0</xdr:col>
      <xdr:colOff>9360</xdr:colOff>
      <xdr:row>88</xdr:row>
      <xdr:rowOff>0</xdr:rowOff>
    </xdr:from>
    <xdr:to>
      <xdr:col>0</xdr:col>
      <xdr:colOff>837360</xdr:colOff>
      <xdr:row>88</xdr:row>
      <xdr:rowOff>297000</xdr:rowOff>
    </xdr:to>
    <xdr:pic>
      <xdr:nvPicPr>
        <xdr:cNvPr id="229" name="图片 334" descr="快充"/>
        <xdr:cNvPicPr/>
      </xdr:nvPicPr>
      <xdr:blipFill>
        <a:blip r:embed="rId229"/>
        <a:stretch/>
      </xdr:blipFill>
      <xdr:spPr>
        <a:xfrm>
          <a:off x="9360" y="85283640"/>
          <a:ext cx="828000" cy="297000"/>
        </a:xfrm>
        <a:prstGeom prst="rect">
          <a:avLst/>
        </a:prstGeom>
        <a:noFill/>
        <a:ln w="9525">
          <a:noFill/>
        </a:ln>
      </xdr:spPr>
    </xdr:pic>
    <xdr:clientData/>
  </xdr:twoCellAnchor>
  <xdr:twoCellAnchor editAs="twoCell">
    <xdr:from>
      <xdr:col>0</xdr:col>
      <xdr:colOff>9360</xdr:colOff>
      <xdr:row>90</xdr:row>
      <xdr:rowOff>0</xdr:rowOff>
    </xdr:from>
    <xdr:to>
      <xdr:col>0</xdr:col>
      <xdr:colOff>837360</xdr:colOff>
      <xdr:row>90</xdr:row>
      <xdr:rowOff>297000</xdr:rowOff>
    </xdr:to>
    <xdr:pic>
      <xdr:nvPicPr>
        <xdr:cNvPr id="230" name="图片 337" descr="快充"/>
        <xdr:cNvPicPr/>
      </xdr:nvPicPr>
      <xdr:blipFill>
        <a:blip r:embed="rId230"/>
        <a:stretch/>
      </xdr:blipFill>
      <xdr:spPr>
        <a:xfrm>
          <a:off x="9360" y="86807520"/>
          <a:ext cx="828000" cy="297000"/>
        </a:xfrm>
        <a:prstGeom prst="rect">
          <a:avLst/>
        </a:prstGeom>
        <a:noFill/>
        <a:ln w="9525">
          <a:noFill/>
        </a:ln>
      </xdr:spPr>
    </xdr:pic>
    <xdr:clientData/>
  </xdr:twoCellAnchor>
  <xdr:twoCellAnchor editAs="twoCell">
    <xdr:from>
      <xdr:col>0</xdr:col>
      <xdr:colOff>9360</xdr:colOff>
      <xdr:row>98</xdr:row>
      <xdr:rowOff>0</xdr:rowOff>
    </xdr:from>
    <xdr:to>
      <xdr:col>0</xdr:col>
      <xdr:colOff>837360</xdr:colOff>
      <xdr:row>98</xdr:row>
      <xdr:rowOff>297000</xdr:rowOff>
    </xdr:to>
    <xdr:pic>
      <xdr:nvPicPr>
        <xdr:cNvPr id="231" name="图片 339" descr="快充"/>
        <xdr:cNvPicPr/>
      </xdr:nvPicPr>
      <xdr:blipFill>
        <a:blip r:embed="rId231"/>
        <a:stretch/>
      </xdr:blipFill>
      <xdr:spPr>
        <a:xfrm>
          <a:off x="9360" y="92903760"/>
          <a:ext cx="828000" cy="297000"/>
        </a:xfrm>
        <a:prstGeom prst="rect">
          <a:avLst/>
        </a:prstGeom>
        <a:noFill/>
        <a:ln w="9525">
          <a:noFill/>
        </a:ln>
      </xdr:spPr>
    </xdr:pic>
    <xdr:clientData/>
  </xdr:twoCellAnchor>
  <xdr:twoCellAnchor editAs="twoCell">
    <xdr:from>
      <xdr:col>0</xdr:col>
      <xdr:colOff>9360</xdr:colOff>
      <xdr:row>100</xdr:row>
      <xdr:rowOff>0</xdr:rowOff>
    </xdr:from>
    <xdr:to>
      <xdr:col>0</xdr:col>
      <xdr:colOff>837360</xdr:colOff>
      <xdr:row>100</xdr:row>
      <xdr:rowOff>297000</xdr:rowOff>
    </xdr:to>
    <xdr:pic>
      <xdr:nvPicPr>
        <xdr:cNvPr id="232" name="图片 341" descr="快充"/>
        <xdr:cNvPicPr/>
      </xdr:nvPicPr>
      <xdr:blipFill>
        <a:blip r:embed="rId232"/>
        <a:stretch/>
      </xdr:blipFill>
      <xdr:spPr>
        <a:xfrm>
          <a:off x="9360" y="94427640"/>
          <a:ext cx="828000" cy="297000"/>
        </a:xfrm>
        <a:prstGeom prst="rect">
          <a:avLst/>
        </a:prstGeom>
        <a:noFill/>
        <a:ln w="9525">
          <a:noFill/>
        </a:ln>
      </xdr:spPr>
    </xdr:pic>
    <xdr:clientData/>
  </xdr:twoCellAnchor>
  <xdr:twoCellAnchor editAs="oneCell">
    <xdr:from>
      <xdr:col>2</xdr:col>
      <xdr:colOff>38160</xdr:colOff>
      <xdr:row>19</xdr:row>
      <xdr:rowOff>143640</xdr:rowOff>
    </xdr:from>
    <xdr:to>
      <xdr:col>2</xdr:col>
      <xdr:colOff>1208880</xdr:colOff>
      <xdr:row>19</xdr:row>
      <xdr:rowOff>1316160</xdr:rowOff>
    </xdr:to>
    <xdr:pic>
      <xdr:nvPicPr>
        <xdr:cNvPr id="233" name="图片 39" descr="11"/>
        <xdr:cNvPicPr/>
      </xdr:nvPicPr>
      <xdr:blipFill>
        <a:blip r:embed="rId233"/>
        <a:stretch/>
      </xdr:blipFill>
      <xdr:spPr>
        <a:xfrm>
          <a:off x="5605920" y="13961160"/>
          <a:ext cx="1170720" cy="1172520"/>
        </a:xfrm>
        <a:prstGeom prst="rect">
          <a:avLst/>
        </a:prstGeom>
        <a:noFill/>
        <a:ln w="9525">
          <a:noFill/>
        </a:ln>
      </xdr:spPr>
    </xdr:pic>
    <xdr:clientData/>
  </xdr:twoCellAnchor>
  <xdr:twoCellAnchor editAs="oneCell">
    <xdr:from>
      <xdr:col>1</xdr:col>
      <xdr:colOff>38160</xdr:colOff>
      <xdr:row>20</xdr:row>
      <xdr:rowOff>144000</xdr:rowOff>
    </xdr:from>
    <xdr:to>
      <xdr:col>1</xdr:col>
      <xdr:colOff>1208880</xdr:colOff>
      <xdr:row>20</xdr:row>
      <xdr:rowOff>1316160</xdr:rowOff>
    </xdr:to>
    <xdr:pic>
      <xdr:nvPicPr>
        <xdr:cNvPr id="234" name="图片 53" descr="2(1)"/>
        <xdr:cNvPicPr/>
      </xdr:nvPicPr>
      <xdr:blipFill>
        <a:blip r:embed="rId234"/>
        <a:stretch/>
      </xdr:blipFill>
      <xdr:spPr>
        <a:xfrm>
          <a:off x="4039920" y="15422040"/>
          <a:ext cx="1170720" cy="1172160"/>
        </a:xfrm>
        <a:prstGeom prst="rect">
          <a:avLst/>
        </a:prstGeom>
        <a:noFill/>
        <a:ln w="9525">
          <a:noFill/>
        </a:ln>
      </xdr:spPr>
    </xdr:pic>
    <xdr:clientData/>
  </xdr:twoCellAnchor>
  <xdr:twoCellAnchor editAs="oneCell">
    <xdr:from>
      <xdr:col>1</xdr:col>
      <xdr:colOff>38160</xdr:colOff>
      <xdr:row>19</xdr:row>
      <xdr:rowOff>143280</xdr:rowOff>
    </xdr:from>
    <xdr:to>
      <xdr:col>1</xdr:col>
      <xdr:colOff>1208880</xdr:colOff>
      <xdr:row>19</xdr:row>
      <xdr:rowOff>1316520</xdr:rowOff>
    </xdr:to>
    <xdr:pic>
      <xdr:nvPicPr>
        <xdr:cNvPr id="235" name="图片 76" descr="2"/>
        <xdr:cNvPicPr/>
      </xdr:nvPicPr>
      <xdr:blipFill>
        <a:blip r:embed="rId235"/>
        <a:stretch/>
      </xdr:blipFill>
      <xdr:spPr>
        <a:xfrm>
          <a:off x="4039920" y="13960800"/>
          <a:ext cx="1170720" cy="1173240"/>
        </a:xfrm>
        <a:prstGeom prst="rect">
          <a:avLst/>
        </a:prstGeom>
        <a:noFill/>
        <a:ln w="9525">
          <a:noFill/>
        </a:ln>
      </xdr:spPr>
    </xdr:pic>
    <xdr:clientData/>
  </xdr:twoCellAnchor>
  <xdr:twoCellAnchor editAs="oneCell">
    <xdr:from>
      <xdr:col>2</xdr:col>
      <xdr:colOff>38160</xdr:colOff>
      <xdr:row>20</xdr:row>
      <xdr:rowOff>144360</xdr:rowOff>
    </xdr:from>
    <xdr:to>
      <xdr:col>2</xdr:col>
      <xdr:colOff>1208880</xdr:colOff>
      <xdr:row>20</xdr:row>
      <xdr:rowOff>1315080</xdr:rowOff>
    </xdr:to>
    <xdr:pic>
      <xdr:nvPicPr>
        <xdr:cNvPr id="236" name="图片 80" descr="11"/>
        <xdr:cNvPicPr/>
      </xdr:nvPicPr>
      <xdr:blipFill>
        <a:blip r:embed="rId236"/>
        <a:stretch/>
      </xdr:blipFill>
      <xdr:spPr>
        <a:xfrm>
          <a:off x="5605920" y="15422400"/>
          <a:ext cx="1170720" cy="1170720"/>
        </a:xfrm>
        <a:prstGeom prst="rect">
          <a:avLst/>
        </a:prstGeom>
        <a:noFill/>
        <a:ln w="9525">
          <a:noFill/>
        </a:ln>
      </xdr:spPr>
    </xdr:pic>
    <xdr:clientData/>
  </xdr:twoCellAnchor>
  <xdr:twoCellAnchor editAs="oneCell">
    <xdr:from>
      <xdr:col>1</xdr:col>
      <xdr:colOff>38160</xdr:colOff>
      <xdr:row>55</xdr:row>
      <xdr:rowOff>143640</xdr:rowOff>
    </xdr:from>
    <xdr:to>
      <xdr:col>1</xdr:col>
      <xdr:colOff>1208880</xdr:colOff>
      <xdr:row>55</xdr:row>
      <xdr:rowOff>1316160</xdr:rowOff>
    </xdr:to>
    <xdr:pic>
      <xdr:nvPicPr>
        <xdr:cNvPr id="237" name="图片 26" descr="2"/>
        <xdr:cNvPicPr/>
      </xdr:nvPicPr>
      <xdr:blipFill>
        <a:blip r:embed="rId237"/>
        <a:stretch/>
      </xdr:blipFill>
      <xdr:spPr>
        <a:xfrm>
          <a:off x="4039920" y="52569360"/>
          <a:ext cx="1170720" cy="1172520"/>
        </a:xfrm>
        <a:prstGeom prst="rect">
          <a:avLst/>
        </a:prstGeom>
        <a:noFill/>
        <a:ln w="9525">
          <a:noFill/>
        </a:ln>
      </xdr:spPr>
    </xdr:pic>
    <xdr:clientData/>
  </xdr:twoCellAnchor>
  <xdr:twoCellAnchor editAs="oneCell">
    <xdr:from>
      <xdr:col>2</xdr:col>
      <xdr:colOff>38160</xdr:colOff>
      <xdr:row>55</xdr:row>
      <xdr:rowOff>143640</xdr:rowOff>
    </xdr:from>
    <xdr:to>
      <xdr:col>2</xdr:col>
      <xdr:colOff>1208880</xdr:colOff>
      <xdr:row>55</xdr:row>
      <xdr:rowOff>1316160</xdr:rowOff>
    </xdr:to>
    <xdr:pic>
      <xdr:nvPicPr>
        <xdr:cNvPr id="238" name="图片 29" descr="10"/>
        <xdr:cNvPicPr/>
      </xdr:nvPicPr>
      <xdr:blipFill>
        <a:blip r:embed="rId238"/>
        <a:stretch/>
      </xdr:blipFill>
      <xdr:spPr>
        <a:xfrm>
          <a:off x="5605920" y="52569360"/>
          <a:ext cx="1170720" cy="1172520"/>
        </a:xfrm>
        <a:prstGeom prst="rect">
          <a:avLst/>
        </a:prstGeom>
        <a:noFill/>
        <a:ln w="9525">
          <a:noFill/>
        </a:ln>
      </xdr:spPr>
    </xdr:pic>
    <xdr:clientData/>
  </xdr:twoCellAnchor>
  <xdr:twoCellAnchor editAs="oneCell">
    <xdr:from>
      <xdr:col>1</xdr:col>
      <xdr:colOff>38160</xdr:colOff>
      <xdr:row>147</xdr:row>
      <xdr:rowOff>146160</xdr:rowOff>
    </xdr:from>
    <xdr:to>
      <xdr:col>1</xdr:col>
      <xdr:colOff>1208880</xdr:colOff>
      <xdr:row>147</xdr:row>
      <xdr:rowOff>1313640</xdr:rowOff>
    </xdr:to>
    <xdr:pic>
      <xdr:nvPicPr>
        <xdr:cNvPr id="239" name="图片 2" descr="3"/>
        <xdr:cNvPicPr/>
      </xdr:nvPicPr>
      <xdr:blipFill>
        <a:blip r:embed="rId239"/>
        <a:stretch/>
      </xdr:blipFill>
      <xdr:spPr>
        <a:xfrm>
          <a:off x="4039920" y="142262280"/>
          <a:ext cx="1170720" cy="1167480"/>
        </a:xfrm>
        <a:prstGeom prst="rect">
          <a:avLst/>
        </a:prstGeom>
        <a:noFill/>
        <a:ln w="9525">
          <a:noFill/>
        </a:ln>
      </xdr:spPr>
    </xdr:pic>
    <xdr:clientData/>
  </xdr:twoCellAnchor>
  <xdr:twoCellAnchor editAs="oneCell">
    <xdr:from>
      <xdr:col>2</xdr:col>
      <xdr:colOff>38160</xdr:colOff>
      <xdr:row>147</xdr:row>
      <xdr:rowOff>144000</xdr:rowOff>
    </xdr:from>
    <xdr:to>
      <xdr:col>2</xdr:col>
      <xdr:colOff>1208880</xdr:colOff>
      <xdr:row>147</xdr:row>
      <xdr:rowOff>1315440</xdr:rowOff>
    </xdr:to>
    <xdr:pic>
      <xdr:nvPicPr>
        <xdr:cNvPr id="240" name="图片 5" descr="10"/>
        <xdr:cNvPicPr/>
      </xdr:nvPicPr>
      <xdr:blipFill>
        <a:blip r:embed="rId240"/>
        <a:stretch/>
      </xdr:blipFill>
      <xdr:spPr>
        <a:xfrm>
          <a:off x="5605920" y="142260120"/>
          <a:ext cx="1170720" cy="1171440"/>
        </a:xfrm>
        <a:prstGeom prst="rect">
          <a:avLst/>
        </a:prstGeom>
        <a:noFill/>
        <a:ln w="9525">
          <a:noFill/>
        </a:ln>
      </xdr:spPr>
    </xdr:pic>
    <xdr:clientData/>
  </xdr:twoCellAnchor>
  <xdr:twoCellAnchor editAs="oneCell">
    <xdr:from>
      <xdr:col>1</xdr:col>
      <xdr:colOff>38160</xdr:colOff>
      <xdr:row>157</xdr:row>
      <xdr:rowOff>143280</xdr:rowOff>
    </xdr:from>
    <xdr:to>
      <xdr:col>1</xdr:col>
      <xdr:colOff>1208880</xdr:colOff>
      <xdr:row>157</xdr:row>
      <xdr:rowOff>1316520</xdr:rowOff>
    </xdr:to>
    <xdr:pic>
      <xdr:nvPicPr>
        <xdr:cNvPr id="241" name="图片 9" descr="2"/>
        <xdr:cNvPicPr/>
      </xdr:nvPicPr>
      <xdr:blipFill>
        <a:blip r:embed="rId241"/>
        <a:stretch/>
      </xdr:blipFill>
      <xdr:spPr>
        <a:xfrm>
          <a:off x="4039920" y="154070280"/>
          <a:ext cx="1170720" cy="1173240"/>
        </a:xfrm>
        <a:prstGeom prst="rect">
          <a:avLst/>
        </a:prstGeom>
        <a:noFill/>
        <a:ln w="9525">
          <a:noFill/>
        </a:ln>
      </xdr:spPr>
    </xdr:pic>
    <xdr:clientData/>
  </xdr:twoCellAnchor>
  <xdr:twoCellAnchor editAs="oneCell">
    <xdr:from>
      <xdr:col>2</xdr:col>
      <xdr:colOff>38160</xdr:colOff>
      <xdr:row>157</xdr:row>
      <xdr:rowOff>143280</xdr:rowOff>
    </xdr:from>
    <xdr:to>
      <xdr:col>2</xdr:col>
      <xdr:colOff>1208880</xdr:colOff>
      <xdr:row>157</xdr:row>
      <xdr:rowOff>1316520</xdr:rowOff>
    </xdr:to>
    <xdr:pic>
      <xdr:nvPicPr>
        <xdr:cNvPr id="242" name="图片 15" descr="9"/>
        <xdr:cNvPicPr/>
      </xdr:nvPicPr>
      <xdr:blipFill>
        <a:blip r:embed="rId242"/>
        <a:stretch/>
      </xdr:blipFill>
      <xdr:spPr>
        <a:xfrm>
          <a:off x="5605920" y="154070280"/>
          <a:ext cx="1170720" cy="1173240"/>
        </a:xfrm>
        <a:prstGeom prst="rect">
          <a:avLst/>
        </a:prstGeom>
        <a:noFill/>
        <a:ln w="9525">
          <a:noFill/>
        </a:ln>
      </xdr:spPr>
    </xdr:pic>
    <xdr:clientData/>
  </xdr:twoCellAnchor>
  <xdr:twoCellAnchor editAs="oneCell">
    <xdr:from>
      <xdr:col>1</xdr:col>
      <xdr:colOff>38160</xdr:colOff>
      <xdr:row>122</xdr:row>
      <xdr:rowOff>176400</xdr:rowOff>
    </xdr:from>
    <xdr:to>
      <xdr:col>1</xdr:col>
      <xdr:colOff>1208880</xdr:colOff>
      <xdr:row>123</xdr:row>
      <xdr:rowOff>585000</xdr:rowOff>
    </xdr:to>
    <xdr:pic>
      <xdr:nvPicPr>
        <xdr:cNvPr id="243" name="图片 6" descr="4"/>
        <xdr:cNvPicPr/>
      </xdr:nvPicPr>
      <xdr:blipFill>
        <a:blip r:embed="rId243"/>
        <a:stretch/>
      </xdr:blipFill>
      <xdr:spPr>
        <a:xfrm>
          <a:off x="4039920" y="121147200"/>
          <a:ext cx="1170720" cy="1170360"/>
        </a:xfrm>
        <a:prstGeom prst="rect">
          <a:avLst/>
        </a:prstGeom>
        <a:noFill/>
        <a:ln w="9525">
          <a:noFill/>
        </a:ln>
      </xdr:spPr>
    </xdr:pic>
    <xdr:clientData/>
  </xdr:twoCellAnchor>
  <xdr:twoCellAnchor editAs="oneCell">
    <xdr:from>
      <xdr:col>2</xdr:col>
      <xdr:colOff>38160</xdr:colOff>
      <xdr:row>122</xdr:row>
      <xdr:rowOff>58320</xdr:rowOff>
    </xdr:from>
    <xdr:to>
      <xdr:col>2</xdr:col>
      <xdr:colOff>1208880</xdr:colOff>
      <xdr:row>123</xdr:row>
      <xdr:rowOff>703080</xdr:rowOff>
    </xdr:to>
    <xdr:pic>
      <xdr:nvPicPr>
        <xdr:cNvPr id="244" name="图片 7" descr="10"/>
        <xdr:cNvPicPr/>
      </xdr:nvPicPr>
      <xdr:blipFill>
        <a:blip r:embed="rId244"/>
        <a:stretch/>
      </xdr:blipFill>
      <xdr:spPr>
        <a:xfrm>
          <a:off x="5605920" y="121029120"/>
          <a:ext cx="1170720" cy="1406520"/>
        </a:xfrm>
        <a:prstGeom prst="rect">
          <a:avLst/>
        </a:prstGeom>
        <a:noFill/>
        <a:ln w="9525">
          <a:noFill/>
        </a:ln>
      </xdr:spPr>
    </xdr:pic>
    <xdr:clientData/>
  </xdr:twoCellAnchor>
  <xdr:twoCellAnchor editAs="oneCell">
    <xdr:from>
      <xdr:col>1</xdr:col>
      <xdr:colOff>38160</xdr:colOff>
      <xdr:row>124</xdr:row>
      <xdr:rowOff>175320</xdr:rowOff>
    </xdr:from>
    <xdr:to>
      <xdr:col>1</xdr:col>
      <xdr:colOff>1208880</xdr:colOff>
      <xdr:row>125</xdr:row>
      <xdr:rowOff>585720</xdr:rowOff>
    </xdr:to>
    <xdr:pic>
      <xdr:nvPicPr>
        <xdr:cNvPr id="245" name="图片 8" descr="4"/>
        <xdr:cNvPicPr/>
      </xdr:nvPicPr>
      <xdr:blipFill>
        <a:blip r:embed="rId245"/>
        <a:stretch/>
      </xdr:blipFill>
      <xdr:spPr>
        <a:xfrm>
          <a:off x="4039920" y="122670000"/>
          <a:ext cx="1170720" cy="1172520"/>
        </a:xfrm>
        <a:prstGeom prst="rect">
          <a:avLst/>
        </a:prstGeom>
        <a:noFill/>
        <a:ln w="9525">
          <a:noFill/>
        </a:ln>
      </xdr:spPr>
    </xdr:pic>
    <xdr:clientData/>
  </xdr:twoCellAnchor>
  <xdr:twoCellAnchor editAs="oneCell">
    <xdr:from>
      <xdr:col>2</xdr:col>
      <xdr:colOff>38160</xdr:colOff>
      <xdr:row>124</xdr:row>
      <xdr:rowOff>65880</xdr:rowOff>
    </xdr:from>
    <xdr:to>
      <xdr:col>2</xdr:col>
      <xdr:colOff>1208880</xdr:colOff>
      <xdr:row>125</xdr:row>
      <xdr:rowOff>695520</xdr:rowOff>
    </xdr:to>
    <xdr:pic>
      <xdr:nvPicPr>
        <xdr:cNvPr id="246" name="图片 16" descr="10"/>
        <xdr:cNvPicPr/>
      </xdr:nvPicPr>
      <xdr:blipFill>
        <a:blip r:embed="rId246"/>
        <a:stretch/>
      </xdr:blipFill>
      <xdr:spPr>
        <a:xfrm>
          <a:off x="5605920" y="122560560"/>
          <a:ext cx="1170720" cy="1391760"/>
        </a:xfrm>
        <a:prstGeom prst="rect">
          <a:avLst/>
        </a:prstGeom>
        <a:noFill/>
        <a:ln w="9525">
          <a:noFill/>
        </a:ln>
      </xdr:spPr>
    </xdr:pic>
    <xdr:clientData/>
  </xdr:twoCellAnchor>
  <xdr:twoCellAnchor editAs="oneCell">
    <xdr:from>
      <xdr:col>1</xdr:col>
      <xdr:colOff>38160</xdr:colOff>
      <xdr:row>148</xdr:row>
      <xdr:rowOff>143640</xdr:rowOff>
    </xdr:from>
    <xdr:to>
      <xdr:col>1</xdr:col>
      <xdr:colOff>1208880</xdr:colOff>
      <xdr:row>148</xdr:row>
      <xdr:rowOff>1316160</xdr:rowOff>
    </xdr:to>
    <xdr:pic>
      <xdr:nvPicPr>
        <xdr:cNvPr id="247" name="图片 36" descr="3"/>
        <xdr:cNvPicPr/>
      </xdr:nvPicPr>
      <xdr:blipFill>
        <a:blip r:embed="rId247"/>
        <a:stretch/>
      </xdr:blipFill>
      <xdr:spPr>
        <a:xfrm>
          <a:off x="4039920" y="143720280"/>
          <a:ext cx="1170720" cy="1172520"/>
        </a:xfrm>
        <a:prstGeom prst="rect">
          <a:avLst/>
        </a:prstGeom>
        <a:noFill/>
        <a:ln w="9525">
          <a:noFill/>
        </a:ln>
      </xdr:spPr>
    </xdr:pic>
    <xdr:clientData/>
  </xdr:twoCellAnchor>
  <xdr:twoCellAnchor editAs="oneCell">
    <xdr:from>
      <xdr:col>2</xdr:col>
      <xdr:colOff>38160</xdr:colOff>
      <xdr:row>148</xdr:row>
      <xdr:rowOff>143280</xdr:rowOff>
    </xdr:from>
    <xdr:to>
      <xdr:col>2</xdr:col>
      <xdr:colOff>1208880</xdr:colOff>
      <xdr:row>148</xdr:row>
      <xdr:rowOff>1316520</xdr:rowOff>
    </xdr:to>
    <xdr:pic>
      <xdr:nvPicPr>
        <xdr:cNvPr id="248" name="图片 40" descr="10"/>
        <xdr:cNvPicPr/>
      </xdr:nvPicPr>
      <xdr:blipFill>
        <a:blip r:embed="rId248"/>
        <a:stretch/>
      </xdr:blipFill>
      <xdr:spPr>
        <a:xfrm>
          <a:off x="5605920" y="143719920"/>
          <a:ext cx="1170720" cy="1173240"/>
        </a:xfrm>
        <a:prstGeom prst="rect">
          <a:avLst/>
        </a:prstGeom>
        <a:noFill/>
        <a:ln w="9525">
          <a:noFill/>
        </a:ln>
      </xdr:spPr>
    </xdr:pic>
    <xdr:clientData/>
  </xdr:twoCellAnchor>
  <xdr:twoCellAnchor editAs="oneCell">
    <xdr:from>
      <xdr:col>1</xdr:col>
      <xdr:colOff>38160</xdr:colOff>
      <xdr:row>146</xdr:row>
      <xdr:rowOff>146880</xdr:rowOff>
    </xdr:from>
    <xdr:to>
      <xdr:col>1</xdr:col>
      <xdr:colOff>1208880</xdr:colOff>
      <xdr:row>146</xdr:row>
      <xdr:rowOff>1313280</xdr:rowOff>
    </xdr:to>
    <xdr:pic>
      <xdr:nvPicPr>
        <xdr:cNvPr id="249" name="图片 22" descr="5"/>
        <xdr:cNvPicPr/>
      </xdr:nvPicPr>
      <xdr:blipFill>
        <a:blip r:embed="rId249"/>
        <a:stretch/>
      </xdr:blipFill>
      <xdr:spPr>
        <a:xfrm>
          <a:off x="4039920" y="140802480"/>
          <a:ext cx="1170720" cy="1166400"/>
        </a:xfrm>
        <a:prstGeom prst="rect">
          <a:avLst/>
        </a:prstGeom>
        <a:noFill/>
        <a:ln w="9525">
          <a:noFill/>
        </a:ln>
      </xdr:spPr>
    </xdr:pic>
    <xdr:clientData/>
  </xdr:twoCellAnchor>
  <xdr:twoCellAnchor editAs="oneCell">
    <xdr:from>
      <xdr:col>2</xdr:col>
      <xdr:colOff>38160</xdr:colOff>
      <xdr:row>146</xdr:row>
      <xdr:rowOff>146880</xdr:rowOff>
    </xdr:from>
    <xdr:to>
      <xdr:col>2</xdr:col>
      <xdr:colOff>1208880</xdr:colOff>
      <xdr:row>146</xdr:row>
      <xdr:rowOff>1313280</xdr:rowOff>
    </xdr:to>
    <xdr:pic>
      <xdr:nvPicPr>
        <xdr:cNvPr id="250" name="图片 24" descr="2"/>
        <xdr:cNvPicPr/>
      </xdr:nvPicPr>
      <xdr:blipFill>
        <a:blip r:embed="rId250"/>
        <a:stretch/>
      </xdr:blipFill>
      <xdr:spPr>
        <a:xfrm>
          <a:off x="5605920" y="140802480"/>
          <a:ext cx="1170720" cy="1166400"/>
        </a:xfrm>
        <a:prstGeom prst="rect">
          <a:avLst/>
        </a:prstGeom>
        <a:noFill/>
        <a:ln w="9525">
          <a:noFill/>
        </a:ln>
      </xdr:spPr>
    </xdr:pic>
    <xdr:clientData/>
  </xdr:twoCellAnchor>
  <xdr:twoCellAnchor editAs="oneCell">
    <xdr:from>
      <xdr:col>1</xdr:col>
      <xdr:colOff>38160</xdr:colOff>
      <xdr:row>108</xdr:row>
      <xdr:rowOff>145800</xdr:rowOff>
    </xdr:from>
    <xdr:to>
      <xdr:col>1</xdr:col>
      <xdr:colOff>1208880</xdr:colOff>
      <xdr:row>108</xdr:row>
      <xdr:rowOff>1313640</xdr:rowOff>
    </xdr:to>
    <xdr:pic>
      <xdr:nvPicPr>
        <xdr:cNvPr id="251" name="图片 31" descr="3"/>
        <xdr:cNvPicPr/>
      </xdr:nvPicPr>
      <xdr:blipFill>
        <a:blip r:embed="rId251"/>
        <a:stretch/>
      </xdr:blipFill>
      <xdr:spPr>
        <a:xfrm>
          <a:off x="4039920" y="100669320"/>
          <a:ext cx="1170720" cy="1167840"/>
        </a:xfrm>
        <a:prstGeom prst="rect">
          <a:avLst/>
        </a:prstGeom>
        <a:noFill/>
        <a:ln w="9525">
          <a:noFill/>
        </a:ln>
      </xdr:spPr>
    </xdr:pic>
    <xdr:clientData/>
  </xdr:twoCellAnchor>
  <xdr:twoCellAnchor editAs="oneCell">
    <xdr:from>
      <xdr:col>2</xdr:col>
      <xdr:colOff>38160</xdr:colOff>
      <xdr:row>108</xdr:row>
      <xdr:rowOff>144000</xdr:rowOff>
    </xdr:from>
    <xdr:to>
      <xdr:col>2</xdr:col>
      <xdr:colOff>1208880</xdr:colOff>
      <xdr:row>108</xdr:row>
      <xdr:rowOff>1315440</xdr:rowOff>
    </xdr:to>
    <xdr:pic>
      <xdr:nvPicPr>
        <xdr:cNvPr id="252" name="图片 35" descr="10"/>
        <xdr:cNvPicPr/>
      </xdr:nvPicPr>
      <xdr:blipFill>
        <a:blip r:embed="rId252"/>
        <a:stretch/>
      </xdr:blipFill>
      <xdr:spPr>
        <a:xfrm>
          <a:off x="5605920" y="100667520"/>
          <a:ext cx="1170720" cy="1171440"/>
        </a:xfrm>
        <a:prstGeom prst="rect">
          <a:avLst/>
        </a:prstGeom>
        <a:noFill/>
        <a:ln w="9525">
          <a:noFill/>
        </a:ln>
      </xdr:spPr>
    </xdr:pic>
    <xdr:clientData/>
  </xdr:twoCellAnchor>
  <xdr:twoCellAnchor editAs="oneCell">
    <xdr:from>
      <xdr:col>1</xdr:col>
      <xdr:colOff>38160</xdr:colOff>
      <xdr:row>109</xdr:row>
      <xdr:rowOff>145800</xdr:rowOff>
    </xdr:from>
    <xdr:to>
      <xdr:col>1</xdr:col>
      <xdr:colOff>1208880</xdr:colOff>
      <xdr:row>109</xdr:row>
      <xdr:rowOff>1313640</xdr:rowOff>
    </xdr:to>
    <xdr:pic>
      <xdr:nvPicPr>
        <xdr:cNvPr id="253" name="图片 58" descr="3"/>
        <xdr:cNvPicPr/>
      </xdr:nvPicPr>
      <xdr:blipFill>
        <a:blip r:embed="rId253"/>
        <a:stretch/>
      </xdr:blipFill>
      <xdr:spPr>
        <a:xfrm>
          <a:off x="4039920" y="102129840"/>
          <a:ext cx="1170720" cy="1167840"/>
        </a:xfrm>
        <a:prstGeom prst="rect">
          <a:avLst/>
        </a:prstGeom>
        <a:noFill/>
        <a:ln w="9525">
          <a:noFill/>
        </a:ln>
      </xdr:spPr>
    </xdr:pic>
    <xdr:clientData/>
  </xdr:twoCellAnchor>
  <xdr:twoCellAnchor editAs="oneCell">
    <xdr:from>
      <xdr:col>2</xdr:col>
      <xdr:colOff>38160</xdr:colOff>
      <xdr:row>109</xdr:row>
      <xdr:rowOff>144000</xdr:rowOff>
    </xdr:from>
    <xdr:to>
      <xdr:col>2</xdr:col>
      <xdr:colOff>1208880</xdr:colOff>
      <xdr:row>109</xdr:row>
      <xdr:rowOff>1315440</xdr:rowOff>
    </xdr:to>
    <xdr:pic>
      <xdr:nvPicPr>
        <xdr:cNvPr id="254" name="图片 82" descr="10"/>
        <xdr:cNvPicPr/>
      </xdr:nvPicPr>
      <xdr:blipFill>
        <a:blip r:embed="rId254"/>
        <a:stretch/>
      </xdr:blipFill>
      <xdr:spPr>
        <a:xfrm>
          <a:off x="5605920" y="102128040"/>
          <a:ext cx="1170720" cy="1171440"/>
        </a:xfrm>
        <a:prstGeom prst="rect">
          <a:avLst/>
        </a:prstGeom>
        <a:noFill/>
        <a:ln w="9525">
          <a:noFill/>
        </a:ln>
      </xdr:spPr>
    </xdr:pic>
    <xdr:clientData/>
  </xdr:twoCellAnchor>
  <xdr:twoCellAnchor editAs="oneCell">
    <xdr:from>
      <xdr:col>1</xdr:col>
      <xdr:colOff>38160</xdr:colOff>
      <xdr:row>110</xdr:row>
      <xdr:rowOff>143280</xdr:rowOff>
    </xdr:from>
    <xdr:to>
      <xdr:col>1</xdr:col>
      <xdr:colOff>1208880</xdr:colOff>
      <xdr:row>110</xdr:row>
      <xdr:rowOff>1316520</xdr:rowOff>
    </xdr:to>
    <xdr:pic>
      <xdr:nvPicPr>
        <xdr:cNvPr id="255" name="图片 14" descr="3"/>
        <xdr:cNvPicPr/>
      </xdr:nvPicPr>
      <xdr:blipFill>
        <a:blip r:embed="rId255"/>
        <a:stretch/>
      </xdr:blipFill>
      <xdr:spPr>
        <a:xfrm>
          <a:off x="4039920" y="103587840"/>
          <a:ext cx="1170720" cy="1173240"/>
        </a:xfrm>
        <a:prstGeom prst="rect">
          <a:avLst/>
        </a:prstGeom>
        <a:noFill/>
        <a:ln w="9525">
          <a:noFill/>
        </a:ln>
      </xdr:spPr>
    </xdr:pic>
    <xdr:clientData/>
  </xdr:twoCellAnchor>
  <xdr:twoCellAnchor editAs="oneCell">
    <xdr:from>
      <xdr:col>2</xdr:col>
      <xdr:colOff>38160</xdr:colOff>
      <xdr:row>110</xdr:row>
      <xdr:rowOff>143280</xdr:rowOff>
    </xdr:from>
    <xdr:to>
      <xdr:col>2</xdr:col>
      <xdr:colOff>1208880</xdr:colOff>
      <xdr:row>110</xdr:row>
      <xdr:rowOff>1316520</xdr:rowOff>
    </xdr:to>
    <xdr:pic>
      <xdr:nvPicPr>
        <xdr:cNvPr id="256" name="图片 19" descr="10"/>
        <xdr:cNvPicPr/>
      </xdr:nvPicPr>
      <xdr:blipFill>
        <a:blip r:embed="rId256"/>
        <a:stretch/>
      </xdr:blipFill>
      <xdr:spPr>
        <a:xfrm>
          <a:off x="5605920" y="103587840"/>
          <a:ext cx="1170720" cy="1173240"/>
        </a:xfrm>
        <a:prstGeom prst="rect">
          <a:avLst/>
        </a:prstGeom>
        <a:noFill/>
        <a:ln w="9525">
          <a:noFill/>
        </a:ln>
      </xdr:spPr>
    </xdr:pic>
    <xdr:clientData/>
  </xdr:twoCellAnchor>
  <xdr:twoCellAnchor editAs="oneCell">
    <xdr:from>
      <xdr:col>1</xdr:col>
      <xdr:colOff>38160</xdr:colOff>
      <xdr:row>9</xdr:row>
      <xdr:rowOff>171000</xdr:rowOff>
    </xdr:from>
    <xdr:to>
      <xdr:col>1</xdr:col>
      <xdr:colOff>1208880</xdr:colOff>
      <xdr:row>10</xdr:row>
      <xdr:rowOff>590040</xdr:rowOff>
    </xdr:to>
    <xdr:pic>
      <xdr:nvPicPr>
        <xdr:cNvPr id="257" name="图片 30" descr="3"/>
        <xdr:cNvPicPr/>
      </xdr:nvPicPr>
      <xdr:blipFill>
        <a:blip r:embed="rId257"/>
        <a:stretch/>
      </xdr:blipFill>
      <xdr:spPr>
        <a:xfrm>
          <a:off x="4039920" y="4971600"/>
          <a:ext cx="1170720" cy="1181160"/>
        </a:xfrm>
        <a:prstGeom prst="rect">
          <a:avLst/>
        </a:prstGeom>
        <a:noFill/>
        <a:ln w="9525">
          <a:noFill/>
        </a:ln>
      </xdr:spPr>
    </xdr:pic>
    <xdr:clientData/>
  </xdr:twoCellAnchor>
  <xdr:twoCellAnchor editAs="oneCell">
    <xdr:from>
      <xdr:col>2</xdr:col>
      <xdr:colOff>38160</xdr:colOff>
      <xdr:row>9</xdr:row>
      <xdr:rowOff>174600</xdr:rowOff>
    </xdr:from>
    <xdr:to>
      <xdr:col>2</xdr:col>
      <xdr:colOff>1208880</xdr:colOff>
      <xdr:row>10</xdr:row>
      <xdr:rowOff>586800</xdr:rowOff>
    </xdr:to>
    <xdr:pic>
      <xdr:nvPicPr>
        <xdr:cNvPr id="258" name="图片 62" descr="11"/>
        <xdr:cNvPicPr/>
      </xdr:nvPicPr>
      <xdr:blipFill>
        <a:blip r:embed="rId258"/>
        <a:stretch/>
      </xdr:blipFill>
      <xdr:spPr>
        <a:xfrm>
          <a:off x="5605920" y="4975200"/>
          <a:ext cx="1170720" cy="1174320"/>
        </a:xfrm>
        <a:prstGeom prst="rect">
          <a:avLst/>
        </a:prstGeom>
        <a:noFill/>
        <a:ln w="9525">
          <a:noFill/>
        </a:ln>
      </xdr:spPr>
    </xdr:pic>
    <xdr:clientData/>
  </xdr:twoCellAnchor>
  <xdr:twoCellAnchor editAs="oneCell">
    <xdr:from>
      <xdr:col>1</xdr:col>
      <xdr:colOff>38160</xdr:colOff>
      <xdr:row>11</xdr:row>
      <xdr:rowOff>171000</xdr:rowOff>
    </xdr:from>
    <xdr:to>
      <xdr:col>1</xdr:col>
      <xdr:colOff>1208880</xdr:colOff>
      <xdr:row>12</xdr:row>
      <xdr:rowOff>590040</xdr:rowOff>
    </xdr:to>
    <xdr:pic>
      <xdr:nvPicPr>
        <xdr:cNvPr id="259" name="图片 63" descr="3"/>
        <xdr:cNvPicPr/>
      </xdr:nvPicPr>
      <xdr:blipFill>
        <a:blip r:embed="rId259"/>
        <a:stretch/>
      </xdr:blipFill>
      <xdr:spPr>
        <a:xfrm>
          <a:off x="4039920" y="6495480"/>
          <a:ext cx="1170720" cy="1181160"/>
        </a:xfrm>
        <a:prstGeom prst="rect">
          <a:avLst/>
        </a:prstGeom>
        <a:noFill/>
        <a:ln w="9525">
          <a:noFill/>
        </a:ln>
      </xdr:spPr>
    </xdr:pic>
    <xdr:clientData/>
  </xdr:twoCellAnchor>
  <xdr:twoCellAnchor editAs="oneCell">
    <xdr:from>
      <xdr:col>2</xdr:col>
      <xdr:colOff>38160</xdr:colOff>
      <xdr:row>11</xdr:row>
      <xdr:rowOff>174600</xdr:rowOff>
    </xdr:from>
    <xdr:to>
      <xdr:col>2</xdr:col>
      <xdr:colOff>1208880</xdr:colOff>
      <xdr:row>12</xdr:row>
      <xdr:rowOff>586080</xdr:rowOff>
    </xdr:to>
    <xdr:pic>
      <xdr:nvPicPr>
        <xdr:cNvPr id="260" name="图片 71" descr="11"/>
        <xdr:cNvPicPr/>
      </xdr:nvPicPr>
      <xdr:blipFill>
        <a:blip r:embed="rId260"/>
        <a:stretch/>
      </xdr:blipFill>
      <xdr:spPr>
        <a:xfrm>
          <a:off x="5605920" y="6499080"/>
          <a:ext cx="1170720" cy="1173600"/>
        </a:xfrm>
        <a:prstGeom prst="rect">
          <a:avLst/>
        </a:prstGeom>
        <a:noFill/>
        <a:ln w="9525">
          <a:noFill/>
        </a:ln>
      </xdr:spPr>
    </xdr:pic>
    <xdr:clientData/>
  </xdr:twoCellAnchor>
  <xdr:twoCellAnchor editAs="oneCell">
    <xdr:from>
      <xdr:col>1</xdr:col>
      <xdr:colOff>38160</xdr:colOff>
      <xdr:row>13</xdr:row>
      <xdr:rowOff>171000</xdr:rowOff>
    </xdr:from>
    <xdr:to>
      <xdr:col>1</xdr:col>
      <xdr:colOff>1208880</xdr:colOff>
      <xdr:row>14</xdr:row>
      <xdr:rowOff>590400</xdr:rowOff>
    </xdr:to>
    <xdr:pic>
      <xdr:nvPicPr>
        <xdr:cNvPr id="261" name="图片 84" descr="3"/>
        <xdr:cNvPicPr/>
      </xdr:nvPicPr>
      <xdr:blipFill>
        <a:blip r:embed="rId261"/>
        <a:stretch/>
      </xdr:blipFill>
      <xdr:spPr>
        <a:xfrm>
          <a:off x="4039920" y="8019720"/>
          <a:ext cx="1170720" cy="1181160"/>
        </a:xfrm>
        <a:prstGeom prst="rect">
          <a:avLst/>
        </a:prstGeom>
        <a:noFill/>
        <a:ln w="9525">
          <a:noFill/>
        </a:ln>
      </xdr:spPr>
    </xdr:pic>
    <xdr:clientData/>
  </xdr:twoCellAnchor>
  <xdr:twoCellAnchor editAs="oneCell">
    <xdr:from>
      <xdr:col>2</xdr:col>
      <xdr:colOff>38160</xdr:colOff>
      <xdr:row>13</xdr:row>
      <xdr:rowOff>174600</xdr:rowOff>
    </xdr:from>
    <xdr:to>
      <xdr:col>2</xdr:col>
      <xdr:colOff>1208880</xdr:colOff>
      <xdr:row>14</xdr:row>
      <xdr:rowOff>586440</xdr:rowOff>
    </xdr:to>
    <xdr:pic>
      <xdr:nvPicPr>
        <xdr:cNvPr id="262" name="图片 85" descr="11"/>
        <xdr:cNvPicPr/>
      </xdr:nvPicPr>
      <xdr:blipFill>
        <a:blip r:embed="rId262"/>
        <a:stretch/>
      </xdr:blipFill>
      <xdr:spPr>
        <a:xfrm>
          <a:off x="5605920" y="8023320"/>
          <a:ext cx="1170720" cy="1173600"/>
        </a:xfrm>
        <a:prstGeom prst="rect">
          <a:avLst/>
        </a:prstGeom>
        <a:noFill/>
        <a:ln w="9525">
          <a:noFill/>
        </a:ln>
      </xdr:spPr>
    </xdr:pic>
    <xdr:clientData/>
  </xdr:twoCellAnchor>
  <xdr:twoCellAnchor editAs="oneCell">
    <xdr:from>
      <xdr:col>1</xdr:col>
      <xdr:colOff>38160</xdr:colOff>
      <xdr:row>15</xdr:row>
      <xdr:rowOff>172440</xdr:rowOff>
    </xdr:from>
    <xdr:to>
      <xdr:col>1</xdr:col>
      <xdr:colOff>1208880</xdr:colOff>
      <xdr:row>16</xdr:row>
      <xdr:rowOff>588600</xdr:rowOff>
    </xdr:to>
    <xdr:pic>
      <xdr:nvPicPr>
        <xdr:cNvPr id="263" name="图片 86" descr="3"/>
        <xdr:cNvPicPr/>
      </xdr:nvPicPr>
      <xdr:blipFill>
        <a:blip r:embed="rId263"/>
        <a:stretch/>
      </xdr:blipFill>
      <xdr:spPr>
        <a:xfrm>
          <a:off x="4039920" y="9545040"/>
          <a:ext cx="1170720" cy="1178280"/>
        </a:xfrm>
        <a:prstGeom prst="rect">
          <a:avLst/>
        </a:prstGeom>
        <a:noFill/>
        <a:ln w="9525">
          <a:noFill/>
        </a:ln>
      </xdr:spPr>
    </xdr:pic>
    <xdr:clientData/>
  </xdr:twoCellAnchor>
  <xdr:twoCellAnchor editAs="oneCell">
    <xdr:from>
      <xdr:col>2</xdr:col>
      <xdr:colOff>38160</xdr:colOff>
      <xdr:row>15</xdr:row>
      <xdr:rowOff>173520</xdr:rowOff>
    </xdr:from>
    <xdr:to>
      <xdr:col>2</xdr:col>
      <xdr:colOff>1208880</xdr:colOff>
      <xdr:row>16</xdr:row>
      <xdr:rowOff>587880</xdr:rowOff>
    </xdr:to>
    <xdr:pic>
      <xdr:nvPicPr>
        <xdr:cNvPr id="264" name="图片 87" descr="11"/>
        <xdr:cNvPicPr/>
      </xdr:nvPicPr>
      <xdr:blipFill>
        <a:blip r:embed="rId264"/>
        <a:stretch/>
      </xdr:blipFill>
      <xdr:spPr>
        <a:xfrm>
          <a:off x="5605920" y="9546120"/>
          <a:ext cx="1170720" cy="1176480"/>
        </a:xfrm>
        <a:prstGeom prst="rect">
          <a:avLst/>
        </a:prstGeom>
        <a:noFill/>
        <a:ln w="9525">
          <a:noFill/>
        </a:ln>
      </xdr:spPr>
    </xdr:pic>
    <xdr:clientData/>
  </xdr:twoCellAnchor>
  <xdr:twoCellAnchor editAs="twoCell">
    <xdr:from>
      <xdr:col>0</xdr:col>
      <xdr:colOff>9360</xdr:colOff>
      <xdr:row>9</xdr:row>
      <xdr:rowOff>12240</xdr:rowOff>
    </xdr:from>
    <xdr:to>
      <xdr:col>0</xdr:col>
      <xdr:colOff>824760</xdr:colOff>
      <xdr:row>9</xdr:row>
      <xdr:rowOff>309240</xdr:rowOff>
    </xdr:to>
    <xdr:pic>
      <xdr:nvPicPr>
        <xdr:cNvPr id="265" name="图片 96" descr="快充"/>
        <xdr:cNvPicPr/>
      </xdr:nvPicPr>
      <xdr:blipFill>
        <a:blip r:embed="rId265"/>
        <a:stretch/>
      </xdr:blipFill>
      <xdr:spPr>
        <a:xfrm>
          <a:off x="9360" y="4812840"/>
          <a:ext cx="815400" cy="297000"/>
        </a:xfrm>
        <a:prstGeom prst="rect">
          <a:avLst/>
        </a:prstGeom>
        <a:noFill/>
        <a:ln w="9525">
          <a:noFill/>
        </a:ln>
      </xdr:spPr>
    </xdr:pic>
    <xdr:clientData/>
  </xdr:twoCellAnchor>
  <xdr:twoCellAnchor editAs="twoCell">
    <xdr:from>
      <xdr:col>0</xdr:col>
      <xdr:colOff>9360</xdr:colOff>
      <xdr:row>11</xdr:row>
      <xdr:rowOff>12240</xdr:rowOff>
    </xdr:from>
    <xdr:to>
      <xdr:col>0</xdr:col>
      <xdr:colOff>824760</xdr:colOff>
      <xdr:row>11</xdr:row>
      <xdr:rowOff>309240</xdr:rowOff>
    </xdr:to>
    <xdr:pic>
      <xdr:nvPicPr>
        <xdr:cNvPr id="266" name="图片 97" descr="快充"/>
        <xdr:cNvPicPr/>
      </xdr:nvPicPr>
      <xdr:blipFill>
        <a:blip r:embed="rId266"/>
        <a:stretch/>
      </xdr:blipFill>
      <xdr:spPr>
        <a:xfrm>
          <a:off x="9360" y="6336720"/>
          <a:ext cx="815400" cy="297000"/>
        </a:xfrm>
        <a:prstGeom prst="rect">
          <a:avLst/>
        </a:prstGeom>
        <a:noFill/>
        <a:ln w="9525">
          <a:noFill/>
        </a:ln>
      </xdr:spPr>
    </xdr:pic>
    <xdr:clientData/>
  </xdr:twoCellAnchor>
  <xdr:twoCellAnchor editAs="oneCell">
    <xdr:from>
      <xdr:col>1</xdr:col>
      <xdr:colOff>38160</xdr:colOff>
      <xdr:row>131</xdr:row>
      <xdr:rowOff>143280</xdr:rowOff>
    </xdr:from>
    <xdr:to>
      <xdr:col>1</xdr:col>
      <xdr:colOff>1208880</xdr:colOff>
      <xdr:row>131</xdr:row>
      <xdr:rowOff>1316520</xdr:rowOff>
    </xdr:to>
    <xdr:pic>
      <xdr:nvPicPr>
        <xdr:cNvPr id="267" name="图片 92" descr="2"/>
        <xdr:cNvPicPr/>
      </xdr:nvPicPr>
      <xdr:blipFill>
        <a:blip r:embed="rId267"/>
        <a:stretch/>
      </xdr:blipFill>
      <xdr:spPr>
        <a:xfrm>
          <a:off x="4039920" y="128670480"/>
          <a:ext cx="1170720" cy="1173240"/>
        </a:xfrm>
        <a:prstGeom prst="rect">
          <a:avLst/>
        </a:prstGeom>
        <a:noFill/>
        <a:ln w="9525">
          <a:noFill/>
        </a:ln>
      </xdr:spPr>
    </xdr:pic>
    <xdr:clientData/>
  </xdr:twoCellAnchor>
  <xdr:twoCellAnchor editAs="oneCell">
    <xdr:from>
      <xdr:col>2</xdr:col>
      <xdr:colOff>38160</xdr:colOff>
      <xdr:row>131</xdr:row>
      <xdr:rowOff>146880</xdr:rowOff>
    </xdr:from>
    <xdr:to>
      <xdr:col>2</xdr:col>
      <xdr:colOff>1208880</xdr:colOff>
      <xdr:row>131</xdr:row>
      <xdr:rowOff>1313280</xdr:rowOff>
    </xdr:to>
    <xdr:pic>
      <xdr:nvPicPr>
        <xdr:cNvPr id="268" name="图片 94" descr="9"/>
        <xdr:cNvPicPr/>
      </xdr:nvPicPr>
      <xdr:blipFill>
        <a:blip r:embed="rId268"/>
        <a:stretch/>
      </xdr:blipFill>
      <xdr:spPr>
        <a:xfrm>
          <a:off x="5605920" y="128674080"/>
          <a:ext cx="1170720" cy="1166400"/>
        </a:xfrm>
        <a:prstGeom prst="rect">
          <a:avLst/>
        </a:prstGeom>
        <a:noFill/>
        <a:ln w="9525">
          <a:noFill/>
        </a:ln>
      </xdr:spPr>
    </xdr:pic>
    <xdr:clientData/>
  </xdr:twoCellAnchor>
  <xdr:twoCellAnchor editAs="oneCell">
    <xdr:from>
      <xdr:col>1</xdr:col>
      <xdr:colOff>38160</xdr:colOff>
      <xdr:row>115</xdr:row>
      <xdr:rowOff>145800</xdr:rowOff>
    </xdr:from>
    <xdr:to>
      <xdr:col>1</xdr:col>
      <xdr:colOff>1208880</xdr:colOff>
      <xdr:row>115</xdr:row>
      <xdr:rowOff>1313640</xdr:rowOff>
    </xdr:to>
    <xdr:pic>
      <xdr:nvPicPr>
        <xdr:cNvPr id="269" name="图片 45" descr="3"/>
        <xdr:cNvPicPr/>
      </xdr:nvPicPr>
      <xdr:blipFill>
        <a:blip r:embed="rId269"/>
        <a:stretch/>
      </xdr:blipFill>
      <xdr:spPr>
        <a:xfrm>
          <a:off x="4039920" y="110892960"/>
          <a:ext cx="1170720" cy="1167840"/>
        </a:xfrm>
        <a:prstGeom prst="rect">
          <a:avLst/>
        </a:prstGeom>
        <a:noFill/>
        <a:ln w="9525">
          <a:noFill/>
        </a:ln>
      </xdr:spPr>
    </xdr:pic>
    <xdr:clientData/>
  </xdr:twoCellAnchor>
  <xdr:twoCellAnchor editAs="oneCell">
    <xdr:from>
      <xdr:col>2</xdr:col>
      <xdr:colOff>38160</xdr:colOff>
      <xdr:row>115</xdr:row>
      <xdr:rowOff>143280</xdr:rowOff>
    </xdr:from>
    <xdr:to>
      <xdr:col>2</xdr:col>
      <xdr:colOff>1208880</xdr:colOff>
      <xdr:row>115</xdr:row>
      <xdr:rowOff>1316520</xdr:rowOff>
    </xdr:to>
    <xdr:pic>
      <xdr:nvPicPr>
        <xdr:cNvPr id="270" name="图片 49" descr="10"/>
        <xdr:cNvPicPr/>
      </xdr:nvPicPr>
      <xdr:blipFill>
        <a:blip r:embed="rId270"/>
        <a:stretch/>
      </xdr:blipFill>
      <xdr:spPr>
        <a:xfrm>
          <a:off x="5605920" y="110890440"/>
          <a:ext cx="1170720" cy="1173240"/>
        </a:xfrm>
        <a:prstGeom prst="rect">
          <a:avLst/>
        </a:prstGeom>
        <a:noFill/>
        <a:ln w="9525">
          <a:noFill/>
        </a:ln>
      </xdr:spPr>
    </xdr:pic>
    <xdr:clientData/>
  </xdr:twoCellAnchor>
  <xdr:twoCellAnchor editAs="oneCell">
    <xdr:from>
      <xdr:col>1</xdr:col>
      <xdr:colOff>38160</xdr:colOff>
      <xdr:row>86</xdr:row>
      <xdr:rowOff>140760</xdr:rowOff>
    </xdr:from>
    <xdr:to>
      <xdr:col>1</xdr:col>
      <xdr:colOff>1208880</xdr:colOff>
      <xdr:row>86</xdr:row>
      <xdr:rowOff>1319040</xdr:rowOff>
    </xdr:to>
    <xdr:pic>
      <xdr:nvPicPr>
        <xdr:cNvPr id="271" name="图片 100" descr="1"/>
        <xdr:cNvPicPr/>
      </xdr:nvPicPr>
      <xdr:blipFill>
        <a:blip r:embed="rId271"/>
        <a:stretch/>
      </xdr:blipFill>
      <xdr:spPr>
        <a:xfrm>
          <a:off x="4039920" y="82503360"/>
          <a:ext cx="1170720" cy="1178280"/>
        </a:xfrm>
        <a:prstGeom prst="rect">
          <a:avLst/>
        </a:prstGeom>
        <a:noFill/>
        <a:ln w="9525">
          <a:noFill/>
        </a:ln>
      </xdr:spPr>
    </xdr:pic>
    <xdr:clientData/>
  </xdr:twoCellAnchor>
  <xdr:twoCellAnchor editAs="oneCell">
    <xdr:from>
      <xdr:col>2</xdr:col>
      <xdr:colOff>38160</xdr:colOff>
      <xdr:row>86</xdr:row>
      <xdr:rowOff>141480</xdr:rowOff>
    </xdr:from>
    <xdr:to>
      <xdr:col>2</xdr:col>
      <xdr:colOff>1208880</xdr:colOff>
      <xdr:row>86</xdr:row>
      <xdr:rowOff>1318680</xdr:rowOff>
    </xdr:to>
    <xdr:pic>
      <xdr:nvPicPr>
        <xdr:cNvPr id="272" name="图片 102" descr="8"/>
        <xdr:cNvPicPr/>
      </xdr:nvPicPr>
      <xdr:blipFill>
        <a:blip r:embed="rId272"/>
        <a:stretch/>
      </xdr:blipFill>
      <xdr:spPr>
        <a:xfrm>
          <a:off x="5605920" y="82504080"/>
          <a:ext cx="1170720" cy="1177200"/>
        </a:xfrm>
        <a:prstGeom prst="rect">
          <a:avLst/>
        </a:prstGeom>
        <a:noFill/>
        <a:ln w="9525">
          <a:noFill/>
        </a:ln>
      </xdr:spPr>
    </xdr:pic>
    <xdr:clientData/>
  </xdr:twoCellAnchor>
  <xdr:twoCellAnchor editAs="oneCell">
    <xdr:from>
      <xdr:col>1</xdr:col>
      <xdr:colOff>38160</xdr:colOff>
      <xdr:row>87</xdr:row>
      <xdr:rowOff>140760</xdr:rowOff>
    </xdr:from>
    <xdr:to>
      <xdr:col>1</xdr:col>
      <xdr:colOff>1208880</xdr:colOff>
      <xdr:row>87</xdr:row>
      <xdr:rowOff>1319040</xdr:rowOff>
    </xdr:to>
    <xdr:pic>
      <xdr:nvPicPr>
        <xdr:cNvPr id="273" name="图片 103" descr="1"/>
        <xdr:cNvPicPr/>
      </xdr:nvPicPr>
      <xdr:blipFill>
        <a:blip r:embed="rId273"/>
        <a:stretch/>
      </xdr:blipFill>
      <xdr:spPr>
        <a:xfrm>
          <a:off x="4039920" y="83963880"/>
          <a:ext cx="1170720" cy="1178280"/>
        </a:xfrm>
        <a:prstGeom prst="rect">
          <a:avLst/>
        </a:prstGeom>
        <a:noFill/>
        <a:ln w="9525">
          <a:noFill/>
        </a:ln>
      </xdr:spPr>
    </xdr:pic>
    <xdr:clientData/>
  </xdr:twoCellAnchor>
  <xdr:twoCellAnchor editAs="oneCell">
    <xdr:from>
      <xdr:col>2</xdr:col>
      <xdr:colOff>38160</xdr:colOff>
      <xdr:row>87</xdr:row>
      <xdr:rowOff>141480</xdr:rowOff>
    </xdr:from>
    <xdr:to>
      <xdr:col>2</xdr:col>
      <xdr:colOff>1208880</xdr:colOff>
      <xdr:row>87</xdr:row>
      <xdr:rowOff>1318680</xdr:rowOff>
    </xdr:to>
    <xdr:pic>
      <xdr:nvPicPr>
        <xdr:cNvPr id="274" name="图片 104" descr="8"/>
        <xdr:cNvPicPr/>
      </xdr:nvPicPr>
      <xdr:blipFill>
        <a:blip r:embed="rId274"/>
        <a:stretch/>
      </xdr:blipFill>
      <xdr:spPr>
        <a:xfrm>
          <a:off x="5605920" y="83964600"/>
          <a:ext cx="1170720" cy="1177200"/>
        </a:xfrm>
        <a:prstGeom prst="rect">
          <a:avLst/>
        </a:prstGeom>
        <a:noFill/>
        <a:ln w="9525">
          <a:noFill/>
        </a:ln>
      </xdr:spPr>
    </xdr:pic>
    <xdr:clientData/>
  </xdr:twoCellAnchor>
  <xdr:twoCellAnchor editAs="twoCell">
    <xdr:from>
      <xdr:col>0</xdr:col>
      <xdr:colOff>9360</xdr:colOff>
      <xdr:row>86</xdr:row>
      <xdr:rowOff>12240</xdr:rowOff>
    </xdr:from>
    <xdr:to>
      <xdr:col>0</xdr:col>
      <xdr:colOff>837360</xdr:colOff>
      <xdr:row>86</xdr:row>
      <xdr:rowOff>309240</xdr:rowOff>
    </xdr:to>
    <xdr:pic>
      <xdr:nvPicPr>
        <xdr:cNvPr id="275" name="图片 109" descr="快充"/>
        <xdr:cNvPicPr/>
      </xdr:nvPicPr>
      <xdr:blipFill>
        <a:blip r:embed="rId275"/>
        <a:stretch/>
      </xdr:blipFill>
      <xdr:spPr>
        <a:xfrm>
          <a:off x="9360" y="82374840"/>
          <a:ext cx="828000" cy="297000"/>
        </a:xfrm>
        <a:prstGeom prst="rect">
          <a:avLst/>
        </a:prstGeom>
        <a:noFill/>
        <a:ln w="9525">
          <a:noFill/>
        </a:ln>
      </xdr:spPr>
    </xdr:pic>
    <xdr:clientData/>
  </xdr:twoCellAnchor>
  <xdr:twoCellAnchor editAs="twoCell">
    <xdr:from>
      <xdr:col>0</xdr:col>
      <xdr:colOff>9360</xdr:colOff>
      <xdr:row>87</xdr:row>
      <xdr:rowOff>12240</xdr:rowOff>
    </xdr:from>
    <xdr:to>
      <xdr:col>0</xdr:col>
      <xdr:colOff>837360</xdr:colOff>
      <xdr:row>87</xdr:row>
      <xdr:rowOff>309240</xdr:rowOff>
    </xdr:to>
    <xdr:pic>
      <xdr:nvPicPr>
        <xdr:cNvPr id="276" name="图片 110" descr="快充"/>
        <xdr:cNvPicPr/>
      </xdr:nvPicPr>
      <xdr:blipFill>
        <a:blip r:embed="rId276"/>
        <a:stretch/>
      </xdr:blipFill>
      <xdr:spPr>
        <a:xfrm>
          <a:off x="9360" y="83835360"/>
          <a:ext cx="828000" cy="297000"/>
        </a:xfrm>
        <a:prstGeom prst="rect">
          <a:avLst/>
        </a:prstGeom>
        <a:noFill/>
        <a:ln w="9525">
          <a:noFill/>
        </a:ln>
      </xdr:spPr>
    </xdr:pic>
    <xdr:clientData/>
  </xdr:twoCellAnchor>
  <xdr:twoCellAnchor editAs="oneCell">
    <xdr:from>
      <xdr:col>1</xdr:col>
      <xdr:colOff>38160</xdr:colOff>
      <xdr:row>116</xdr:row>
      <xdr:rowOff>144000</xdr:rowOff>
    </xdr:from>
    <xdr:to>
      <xdr:col>1</xdr:col>
      <xdr:colOff>1208880</xdr:colOff>
      <xdr:row>116</xdr:row>
      <xdr:rowOff>1315440</xdr:rowOff>
    </xdr:to>
    <xdr:pic>
      <xdr:nvPicPr>
        <xdr:cNvPr id="277" name="图片 113" descr="3"/>
        <xdr:cNvPicPr/>
      </xdr:nvPicPr>
      <xdr:blipFill>
        <a:blip r:embed="rId277"/>
        <a:stretch/>
      </xdr:blipFill>
      <xdr:spPr>
        <a:xfrm>
          <a:off x="4039920" y="112351680"/>
          <a:ext cx="1170720" cy="1171440"/>
        </a:xfrm>
        <a:prstGeom prst="rect">
          <a:avLst/>
        </a:prstGeom>
        <a:noFill/>
        <a:ln w="9525">
          <a:noFill/>
        </a:ln>
      </xdr:spPr>
    </xdr:pic>
    <xdr:clientData/>
  </xdr:twoCellAnchor>
  <xdr:twoCellAnchor editAs="oneCell">
    <xdr:from>
      <xdr:col>2</xdr:col>
      <xdr:colOff>38160</xdr:colOff>
      <xdr:row>116</xdr:row>
      <xdr:rowOff>144000</xdr:rowOff>
    </xdr:from>
    <xdr:to>
      <xdr:col>2</xdr:col>
      <xdr:colOff>1208880</xdr:colOff>
      <xdr:row>116</xdr:row>
      <xdr:rowOff>1316160</xdr:rowOff>
    </xdr:to>
    <xdr:pic>
      <xdr:nvPicPr>
        <xdr:cNvPr id="278" name="图片 117" descr="10"/>
        <xdr:cNvPicPr/>
      </xdr:nvPicPr>
      <xdr:blipFill>
        <a:blip r:embed="rId278"/>
        <a:stretch/>
      </xdr:blipFill>
      <xdr:spPr>
        <a:xfrm>
          <a:off x="5605920" y="112351680"/>
          <a:ext cx="1170720" cy="1172160"/>
        </a:xfrm>
        <a:prstGeom prst="rect">
          <a:avLst/>
        </a:prstGeom>
        <a:noFill/>
        <a:ln w="9525">
          <a:noFill/>
        </a:ln>
      </xdr:spPr>
    </xdr:pic>
    <xdr:clientData/>
  </xdr:twoCellAnchor>
  <xdr:twoCellAnchor editAs="oneCell">
    <xdr:from>
      <xdr:col>1</xdr:col>
      <xdr:colOff>38160</xdr:colOff>
      <xdr:row>153</xdr:row>
      <xdr:rowOff>143640</xdr:rowOff>
    </xdr:from>
    <xdr:to>
      <xdr:col>1</xdr:col>
      <xdr:colOff>1208880</xdr:colOff>
      <xdr:row>153</xdr:row>
      <xdr:rowOff>1316160</xdr:rowOff>
    </xdr:to>
    <xdr:pic>
      <xdr:nvPicPr>
        <xdr:cNvPr id="279" name="图片 25" descr="3"/>
        <xdr:cNvPicPr/>
      </xdr:nvPicPr>
      <xdr:blipFill>
        <a:blip r:embed="rId279"/>
        <a:stretch/>
      </xdr:blipFill>
      <xdr:spPr>
        <a:xfrm>
          <a:off x="4039920" y="148228920"/>
          <a:ext cx="1170720" cy="1172520"/>
        </a:xfrm>
        <a:prstGeom prst="rect">
          <a:avLst/>
        </a:prstGeom>
        <a:noFill/>
        <a:ln w="9525">
          <a:noFill/>
        </a:ln>
      </xdr:spPr>
    </xdr:pic>
    <xdr:clientData/>
  </xdr:twoCellAnchor>
  <xdr:twoCellAnchor editAs="oneCell">
    <xdr:from>
      <xdr:col>2</xdr:col>
      <xdr:colOff>38160</xdr:colOff>
      <xdr:row>153</xdr:row>
      <xdr:rowOff>143640</xdr:rowOff>
    </xdr:from>
    <xdr:to>
      <xdr:col>2</xdr:col>
      <xdr:colOff>1208880</xdr:colOff>
      <xdr:row>153</xdr:row>
      <xdr:rowOff>1316160</xdr:rowOff>
    </xdr:to>
    <xdr:pic>
      <xdr:nvPicPr>
        <xdr:cNvPr id="280" name="图片 41" descr="11"/>
        <xdr:cNvPicPr/>
      </xdr:nvPicPr>
      <xdr:blipFill>
        <a:blip r:embed="rId280"/>
        <a:stretch/>
      </xdr:blipFill>
      <xdr:spPr>
        <a:xfrm>
          <a:off x="5605920" y="148228920"/>
          <a:ext cx="1170720" cy="1172520"/>
        </a:xfrm>
        <a:prstGeom prst="rect">
          <a:avLst/>
        </a:prstGeom>
        <a:noFill/>
        <a:ln w="9525">
          <a:noFill/>
        </a:ln>
      </xdr:spPr>
    </xdr:pic>
    <xdr:clientData/>
  </xdr:twoCellAnchor>
  <xdr:twoCellAnchor editAs="oneCell">
    <xdr:from>
      <xdr:col>1</xdr:col>
      <xdr:colOff>38160</xdr:colOff>
      <xdr:row>113</xdr:row>
      <xdr:rowOff>146880</xdr:rowOff>
    </xdr:from>
    <xdr:to>
      <xdr:col>1</xdr:col>
      <xdr:colOff>1208880</xdr:colOff>
      <xdr:row>113</xdr:row>
      <xdr:rowOff>1313280</xdr:rowOff>
    </xdr:to>
    <xdr:pic>
      <xdr:nvPicPr>
        <xdr:cNvPr id="281" name="图片 128" descr="3"/>
        <xdr:cNvPicPr/>
      </xdr:nvPicPr>
      <xdr:blipFill>
        <a:blip r:embed="rId281"/>
        <a:stretch/>
      </xdr:blipFill>
      <xdr:spPr>
        <a:xfrm>
          <a:off x="4039920" y="107973000"/>
          <a:ext cx="1170720" cy="1166400"/>
        </a:xfrm>
        <a:prstGeom prst="rect">
          <a:avLst/>
        </a:prstGeom>
        <a:noFill/>
        <a:ln w="9525">
          <a:noFill/>
        </a:ln>
      </xdr:spPr>
    </xdr:pic>
    <xdr:clientData/>
  </xdr:twoCellAnchor>
  <xdr:twoCellAnchor editAs="oneCell">
    <xdr:from>
      <xdr:col>2</xdr:col>
      <xdr:colOff>38160</xdr:colOff>
      <xdr:row>113</xdr:row>
      <xdr:rowOff>146520</xdr:rowOff>
    </xdr:from>
    <xdr:to>
      <xdr:col>2</xdr:col>
      <xdr:colOff>1208880</xdr:colOff>
      <xdr:row>113</xdr:row>
      <xdr:rowOff>1313280</xdr:rowOff>
    </xdr:to>
    <xdr:pic>
      <xdr:nvPicPr>
        <xdr:cNvPr id="282" name="图片 131" descr="10"/>
        <xdr:cNvPicPr/>
      </xdr:nvPicPr>
      <xdr:blipFill>
        <a:blip r:embed="rId282"/>
        <a:stretch/>
      </xdr:blipFill>
      <xdr:spPr>
        <a:xfrm>
          <a:off x="5605920" y="107972640"/>
          <a:ext cx="1170720" cy="1166760"/>
        </a:xfrm>
        <a:prstGeom prst="rect">
          <a:avLst/>
        </a:prstGeom>
        <a:noFill/>
        <a:ln w="9525">
          <a:noFill/>
        </a:ln>
      </xdr:spPr>
    </xdr:pic>
    <xdr:clientData/>
  </xdr:twoCellAnchor>
  <xdr:twoCellAnchor editAs="oneCell">
    <xdr:from>
      <xdr:col>1</xdr:col>
      <xdr:colOff>38160</xdr:colOff>
      <xdr:row>84</xdr:row>
      <xdr:rowOff>140760</xdr:rowOff>
    </xdr:from>
    <xdr:to>
      <xdr:col>1</xdr:col>
      <xdr:colOff>1208880</xdr:colOff>
      <xdr:row>84</xdr:row>
      <xdr:rowOff>1319040</xdr:rowOff>
    </xdr:to>
    <xdr:pic>
      <xdr:nvPicPr>
        <xdr:cNvPr id="283" name="图片 140" descr="2"/>
        <xdr:cNvPicPr/>
      </xdr:nvPicPr>
      <xdr:blipFill>
        <a:blip r:embed="rId283"/>
        <a:stretch/>
      </xdr:blipFill>
      <xdr:spPr>
        <a:xfrm>
          <a:off x="4039920" y="79582320"/>
          <a:ext cx="1170720" cy="1178280"/>
        </a:xfrm>
        <a:prstGeom prst="rect">
          <a:avLst/>
        </a:prstGeom>
        <a:noFill/>
        <a:ln w="9525">
          <a:noFill/>
        </a:ln>
      </xdr:spPr>
    </xdr:pic>
    <xdr:clientData/>
  </xdr:twoCellAnchor>
  <xdr:twoCellAnchor editAs="oneCell">
    <xdr:from>
      <xdr:col>2</xdr:col>
      <xdr:colOff>38160</xdr:colOff>
      <xdr:row>84</xdr:row>
      <xdr:rowOff>144000</xdr:rowOff>
    </xdr:from>
    <xdr:to>
      <xdr:col>2</xdr:col>
      <xdr:colOff>1208880</xdr:colOff>
      <xdr:row>84</xdr:row>
      <xdr:rowOff>1315440</xdr:rowOff>
    </xdr:to>
    <xdr:pic>
      <xdr:nvPicPr>
        <xdr:cNvPr id="284" name="图片 141" descr="9"/>
        <xdr:cNvPicPr/>
      </xdr:nvPicPr>
      <xdr:blipFill>
        <a:blip r:embed="rId284"/>
        <a:stretch/>
      </xdr:blipFill>
      <xdr:spPr>
        <a:xfrm>
          <a:off x="5605920" y="79585560"/>
          <a:ext cx="1170720" cy="1171440"/>
        </a:xfrm>
        <a:prstGeom prst="rect">
          <a:avLst/>
        </a:prstGeom>
        <a:noFill/>
        <a:ln w="9525">
          <a:noFill/>
        </a:ln>
      </xdr:spPr>
    </xdr:pic>
    <xdr:clientData/>
  </xdr:twoCellAnchor>
  <xdr:twoCellAnchor editAs="oneCell">
    <xdr:from>
      <xdr:col>1</xdr:col>
      <xdr:colOff>38160</xdr:colOff>
      <xdr:row>85</xdr:row>
      <xdr:rowOff>140400</xdr:rowOff>
    </xdr:from>
    <xdr:to>
      <xdr:col>1</xdr:col>
      <xdr:colOff>1208880</xdr:colOff>
      <xdr:row>85</xdr:row>
      <xdr:rowOff>1319400</xdr:rowOff>
    </xdr:to>
    <xdr:pic>
      <xdr:nvPicPr>
        <xdr:cNvPr id="285" name="图片 150" descr="2"/>
        <xdr:cNvPicPr/>
      </xdr:nvPicPr>
      <xdr:blipFill>
        <a:blip r:embed="rId285"/>
        <a:stretch/>
      </xdr:blipFill>
      <xdr:spPr>
        <a:xfrm>
          <a:off x="4039920" y="81042480"/>
          <a:ext cx="1170720" cy="1179000"/>
        </a:xfrm>
        <a:prstGeom prst="rect">
          <a:avLst/>
        </a:prstGeom>
        <a:noFill/>
        <a:ln w="9525">
          <a:noFill/>
        </a:ln>
      </xdr:spPr>
    </xdr:pic>
    <xdr:clientData/>
  </xdr:twoCellAnchor>
  <xdr:twoCellAnchor editAs="oneCell">
    <xdr:from>
      <xdr:col>2</xdr:col>
      <xdr:colOff>38160</xdr:colOff>
      <xdr:row>85</xdr:row>
      <xdr:rowOff>146880</xdr:rowOff>
    </xdr:from>
    <xdr:to>
      <xdr:col>2</xdr:col>
      <xdr:colOff>1208880</xdr:colOff>
      <xdr:row>85</xdr:row>
      <xdr:rowOff>1312560</xdr:rowOff>
    </xdr:to>
    <xdr:pic>
      <xdr:nvPicPr>
        <xdr:cNvPr id="286" name="图片 155" descr="9"/>
        <xdr:cNvPicPr/>
      </xdr:nvPicPr>
      <xdr:blipFill>
        <a:blip r:embed="rId286"/>
        <a:stretch/>
      </xdr:blipFill>
      <xdr:spPr>
        <a:xfrm>
          <a:off x="5605920" y="81048960"/>
          <a:ext cx="1170720" cy="1165680"/>
        </a:xfrm>
        <a:prstGeom prst="rect">
          <a:avLst/>
        </a:prstGeom>
        <a:noFill/>
        <a:ln w="9525">
          <a:noFill/>
        </a:ln>
      </xdr:spPr>
    </xdr:pic>
    <xdr:clientData/>
  </xdr:twoCellAnchor>
  <xdr:twoCellAnchor editAs="twoCell">
    <xdr:from>
      <xdr:col>0</xdr:col>
      <xdr:colOff>9360</xdr:colOff>
      <xdr:row>84</xdr:row>
      <xdr:rowOff>12240</xdr:rowOff>
    </xdr:from>
    <xdr:to>
      <xdr:col>0</xdr:col>
      <xdr:colOff>837360</xdr:colOff>
      <xdr:row>84</xdr:row>
      <xdr:rowOff>309240</xdr:rowOff>
    </xdr:to>
    <xdr:pic>
      <xdr:nvPicPr>
        <xdr:cNvPr id="287" name="图片 160" descr="快充"/>
        <xdr:cNvPicPr/>
      </xdr:nvPicPr>
      <xdr:blipFill>
        <a:blip r:embed="rId287"/>
        <a:stretch/>
      </xdr:blipFill>
      <xdr:spPr>
        <a:xfrm>
          <a:off x="9360" y="79453800"/>
          <a:ext cx="828000" cy="297000"/>
        </a:xfrm>
        <a:prstGeom prst="rect">
          <a:avLst/>
        </a:prstGeom>
        <a:noFill/>
        <a:ln w="9525">
          <a:noFill/>
        </a:ln>
      </xdr:spPr>
    </xdr:pic>
    <xdr:clientData/>
  </xdr:twoCellAnchor>
  <xdr:twoCellAnchor editAs="twoCell">
    <xdr:from>
      <xdr:col>0</xdr:col>
      <xdr:colOff>9360</xdr:colOff>
      <xdr:row>85</xdr:row>
      <xdr:rowOff>12240</xdr:rowOff>
    </xdr:from>
    <xdr:to>
      <xdr:col>0</xdr:col>
      <xdr:colOff>837360</xdr:colOff>
      <xdr:row>85</xdr:row>
      <xdr:rowOff>309240</xdr:rowOff>
    </xdr:to>
    <xdr:pic>
      <xdr:nvPicPr>
        <xdr:cNvPr id="288" name="图片 162" descr="快充"/>
        <xdr:cNvPicPr/>
      </xdr:nvPicPr>
      <xdr:blipFill>
        <a:blip r:embed="rId288"/>
        <a:stretch/>
      </xdr:blipFill>
      <xdr:spPr>
        <a:xfrm>
          <a:off x="9360" y="80914320"/>
          <a:ext cx="828000" cy="297000"/>
        </a:xfrm>
        <a:prstGeom prst="rect">
          <a:avLst/>
        </a:prstGeom>
        <a:noFill/>
        <a:ln w="9525">
          <a:noFill/>
        </a:ln>
      </xdr:spPr>
    </xdr:pic>
    <xdr:clientData/>
  </xdr:twoCellAnchor>
  <xdr:twoCellAnchor editAs="oneCell">
    <xdr:from>
      <xdr:col>1</xdr:col>
      <xdr:colOff>38160</xdr:colOff>
      <xdr:row>117</xdr:row>
      <xdr:rowOff>146880</xdr:rowOff>
    </xdr:from>
    <xdr:to>
      <xdr:col>1</xdr:col>
      <xdr:colOff>1208880</xdr:colOff>
      <xdr:row>117</xdr:row>
      <xdr:rowOff>1313280</xdr:rowOff>
    </xdr:to>
    <xdr:pic>
      <xdr:nvPicPr>
        <xdr:cNvPr id="289" name="图片 1" descr="3"/>
        <xdr:cNvPicPr/>
      </xdr:nvPicPr>
      <xdr:blipFill>
        <a:blip r:embed="rId289"/>
        <a:stretch/>
      </xdr:blipFill>
      <xdr:spPr>
        <a:xfrm>
          <a:off x="4039920" y="113815080"/>
          <a:ext cx="1170720" cy="1166400"/>
        </a:xfrm>
        <a:prstGeom prst="rect">
          <a:avLst/>
        </a:prstGeom>
        <a:noFill/>
        <a:ln w="9525">
          <a:noFill/>
        </a:ln>
      </xdr:spPr>
    </xdr:pic>
    <xdr:clientData/>
  </xdr:twoCellAnchor>
  <xdr:twoCellAnchor editAs="oneCell">
    <xdr:from>
      <xdr:col>2</xdr:col>
      <xdr:colOff>38160</xdr:colOff>
      <xdr:row>117</xdr:row>
      <xdr:rowOff>143280</xdr:rowOff>
    </xdr:from>
    <xdr:to>
      <xdr:col>2</xdr:col>
      <xdr:colOff>1208880</xdr:colOff>
      <xdr:row>117</xdr:row>
      <xdr:rowOff>1316520</xdr:rowOff>
    </xdr:to>
    <xdr:pic>
      <xdr:nvPicPr>
        <xdr:cNvPr id="290" name="图片 51" descr="10"/>
        <xdr:cNvPicPr/>
      </xdr:nvPicPr>
      <xdr:blipFill>
        <a:blip r:embed="rId290"/>
        <a:stretch/>
      </xdr:blipFill>
      <xdr:spPr>
        <a:xfrm>
          <a:off x="5605920" y="113811480"/>
          <a:ext cx="1170720" cy="1173240"/>
        </a:xfrm>
        <a:prstGeom prst="rect">
          <a:avLst/>
        </a:prstGeom>
        <a:noFill/>
        <a:ln w="9525">
          <a:noFill/>
        </a:ln>
      </xdr:spPr>
    </xdr:pic>
    <xdr:clientData/>
  </xdr:twoCellAnchor>
  <xdr:twoCellAnchor editAs="oneCell">
    <xdr:from>
      <xdr:col>1</xdr:col>
      <xdr:colOff>38160</xdr:colOff>
      <xdr:row>114</xdr:row>
      <xdr:rowOff>146880</xdr:rowOff>
    </xdr:from>
    <xdr:to>
      <xdr:col>1</xdr:col>
      <xdr:colOff>1208880</xdr:colOff>
      <xdr:row>114</xdr:row>
      <xdr:rowOff>1313280</xdr:rowOff>
    </xdr:to>
    <xdr:pic>
      <xdr:nvPicPr>
        <xdr:cNvPr id="291" name="图片 52" descr="3"/>
        <xdr:cNvPicPr/>
      </xdr:nvPicPr>
      <xdr:blipFill>
        <a:blip r:embed="rId291"/>
        <a:stretch/>
      </xdr:blipFill>
      <xdr:spPr>
        <a:xfrm>
          <a:off x="4039920" y="109433520"/>
          <a:ext cx="1170720" cy="1166400"/>
        </a:xfrm>
        <a:prstGeom prst="rect">
          <a:avLst/>
        </a:prstGeom>
        <a:noFill/>
        <a:ln w="9525">
          <a:noFill/>
        </a:ln>
      </xdr:spPr>
    </xdr:pic>
    <xdr:clientData/>
  </xdr:twoCellAnchor>
  <xdr:twoCellAnchor editAs="oneCell">
    <xdr:from>
      <xdr:col>2</xdr:col>
      <xdr:colOff>38160</xdr:colOff>
      <xdr:row>114</xdr:row>
      <xdr:rowOff>143640</xdr:rowOff>
    </xdr:from>
    <xdr:to>
      <xdr:col>2</xdr:col>
      <xdr:colOff>1208880</xdr:colOff>
      <xdr:row>114</xdr:row>
      <xdr:rowOff>1316160</xdr:rowOff>
    </xdr:to>
    <xdr:pic>
      <xdr:nvPicPr>
        <xdr:cNvPr id="292" name="图片 77" descr="10"/>
        <xdr:cNvPicPr/>
      </xdr:nvPicPr>
      <xdr:blipFill>
        <a:blip r:embed="rId292"/>
        <a:stretch/>
      </xdr:blipFill>
      <xdr:spPr>
        <a:xfrm>
          <a:off x="5605920" y="109430280"/>
          <a:ext cx="1170720" cy="1172520"/>
        </a:xfrm>
        <a:prstGeom prst="rect">
          <a:avLst/>
        </a:prstGeom>
        <a:noFill/>
        <a:ln w="9525">
          <a:noFill/>
        </a:ln>
      </xdr:spPr>
    </xdr:pic>
    <xdr:clientData/>
  </xdr:twoCellAnchor>
  <xdr:twoCellAnchor editAs="oneCell">
    <xdr:from>
      <xdr:col>1</xdr:col>
      <xdr:colOff>38160</xdr:colOff>
      <xdr:row>82</xdr:row>
      <xdr:rowOff>141840</xdr:rowOff>
    </xdr:from>
    <xdr:to>
      <xdr:col>1</xdr:col>
      <xdr:colOff>1208880</xdr:colOff>
      <xdr:row>82</xdr:row>
      <xdr:rowOff>1317960</xdr:rowOff>
    </xdr:to>
    <xdr:pic>
      <xdr:nvPicPr>
        <xdr:cNvPr id="293" name="图片 5" descr="3"/>
        <xdr:cNvPicPr/>
      </xdr:nvPicPr>
      <xdr:blipFill>
        <a:blip r:embed="rId293"/>
        <a:stretch/>
      </xdr:blipFill>
      <xdr:spPr>
        <a:xfrm>
          <a:off x="4039920" y="76662360"/>
          <a:ext cx="1170720" cy="1176120"/>
        </a:xfrm>
        <a:prstGeom prst="rect">
          <a:avLst/>
        </a:prstGeom>
        <a:noFill/>
        <a:ln w="0">
          <a:noFill/>
        </a:ln>
      </xdr:spPr>
    </xdr:pic>
    <xdr:clientData/>
  </xdr:twoCellAnchor>
  <xdr:twoCellAnchor editAs="oneCell">
    <xdr:from>
      <xdr:col>2</xdr:col>
      <xdr:colOff>38160</xdr:colOff>
      <xdr:row>82</xdr:row>
      <xdr:rowOff>144000</xdr:rowOff>
    </xdr:from>
    <xdr:to>
      <xdr:col>2</xdr:col>
      <xdr:colOff>1208880</xdr:colOff>
      <xdr:row>82</xdr:row>
      <xdr:rowOff>1315440</xdr:rowOff>
    </xdr:to>
    <xdr:pic>
      <xdr:nvPicPr>
        <xdr:cNvPr id="294" name="图片 6" descr="8"/>
        <xdr:cNvPicPr/>
      </xdr:nvPicPr>
      <xdr:blipFill>
        <a:blip r:embed="rId294"/>
        <a:stretch/>
      </xdr:blipFill>
      <xdr:spPr>
        <a:xfrm>
          <a:off x="5605920" y="76664520"/>
          <a:ext cx="1170720" cy="1171440"/>
        </a:xfrm>
        <a:prstGeom prst="rect">
          <a:avLst/>
        </a:prstGeom>
        <a:noFill/>
        <a:ln w="0">
          <a:noFill/>
        </a:ln>
      </xdr:spPr>
    </xdr:pic>
    <xdr:clientData/>
  </xdr:twoCellAnchor>
  <xdr:twoCellAnchor editAs="oneCell">
    <xdr:from>
      <xdr:col>1</xdr:col>
      <xdr:colOff>38160</xdr:colOff>
      <xdr:row>83</xdr:row>
      <xdr:rowOff>142200</xdr:rowOff>
    </xdr:from>
    <xdr:to>
      <xdr:col>1</xdr:col>
      <xdr:colOff>1208880</xdr:colOff>
      <xdr:row>83</xdr:row>
      <xdr:rowOff>1317600</xdr:rowOff>
    </xdr:to>
    <xdr:pic>
      <xdr:nvPicPr>
        <xdr:cNvPr id="295" name="图片 7" descr="3"/>
        <xdr:cNvPicPr/>
      </xdr:nvPicPr>
      <xdr:blipFill>
        <a:blip r:embed="rId295"/>
        <a:stretch/>
      </xdr:blipFill>
      <xdr:spPr>
        <a:xfrm>
          <a:off x="4039920" y="78123240"/>
          <a:ext cx="1170720" cy="1175400"/>
        </a:xfrm>
        <a:prstGeom prst="rect">
          <a:avLst/>
        </a:prstGeom>
        <a:noFill/>
        <a:ln w="0">
          <a:noFill/>
        </a:ln>
      </xdr:spPr>
    </xdr:pic>
    <xdr:clientData/>
  </xdr:twoCellAnchor>
  <xdr:twoCellAnchor editAs="oneCell">
    <xdr:from>
      <xdr:col>2</xdr:col>
      <xdr:colOff>38160</xdr:colOff>
      <xdr:row>83</xdr:row>
      <xdr:rowOff>144000</xdr:rowOff>
    </xdr:from>
    <xdr:to>
      <xdr:col>2</xdr:col>
      <xdr:colOff>1208880</xdr:colOff>
      <xdr:row>83</xdr:row>
      <xdr:rowOff>1315440</xdr:rowOff>
    </xdr:to>
    <xdr:pic>
      <xdr:nvPicPr>
        <xdr:cNvPr id="296" name="图片 8" descr="8"/>
        <xdr:cNvPicPr/>
      </xdr:nvPicPr>
      <xdr:blipFill>
        <a:blip r:embed="rId296"/>
        <a:stretch/>
      </xdr:blipFill>
      <xdr:spPr>
        <a:xfrm>
          <a:off x="5605920" y="78125040"/>
          <a:ext cx="1170720" cy="1171440"/>
        </a:xfrm>
        <a:prstGeom prst="rect">
          <a:avLst/>
        </a:prstGeom>
        <a:noFill/>
        <a:ln w="0">
          <a:noFill/>
        </a:ln>
      </xdr:spPr>
    </xdr:pic>
    <xdr:clientData/>
  </xdr:twoCellAnchor>
  <xdr:twoCellAnchor editAs="twoCell">
    <xdr:from>
      <xdr:col>0</xdr:col>
      <xdr:colOff>9360</xdr:colOff>
      <xdr:row>82</xdr:row>
      <xdr:rowOff>0</xdr:rowOff>
    </xdr:from>
    <xdr:to>
      <xdr:col>0</xdr:col>
      <xdr:colOff>837360</xdr:colOff>
      <xdr:row>82</xdr:row>
      <xdr:rowOff>297000</xdr:rowOff>
    </xdr:to>
    <xdr:pic>
      <xdr:nvPicPr>
        <xdr:cNvPr id="297" name="图片 160" descr="快充"/>
        <xdr:cNvPicPr/>
      </xdr:nvPicPr>
      <xdr:blipFill>
        <a:blip r:embed="rId297"/>
        <a:stretch/>
      </xdr:blipFill>
      <xdr:spPr>
        <a:xfrm>
          <a:off x="9360" y="76520520"/>
          <a:ext cx="828000" cy="297000"/>
        </a:xfrm>
        <a:prstGeom prst="rect">
          <a:avLst/>
        </a:prstGeom>
        <a:noFill/>
        <a:ln w="9525">
          <a:noFill/>
        </a:ln>
      </xdr:spPr>
    </xdr:pic>
    <xdr:clientData/>
  </xdr:twoCellAnchor>
  <xdr:twoCellAnchor editAs="twoCell">
    <xdr:from>
      <xdr:col>0</xdr:col>
      <xdr:colOff>9360</xdr:colOff>
      <xdr:row>83</xdr:row>
      <xdr:rowOff>0</xdr:rowOff>
    </xdr:from>
    <xdr:to>
      <xdr:col>0</xdr:col>
      <xdr:colOff>837360</xdr:colOff>
      <xdr:row>83</xdr:row>
      <xdr:rowOff>297000</xdr:rowOff>
    </xdr:to>
    <xdr:pic>
      <xdr:nvPicPr>
        <xdr:cNvPr id="298" name="图片 160" descr="快充"/>
        <xdr:cNvPicPr/>
      </xdr:nvPicPr>
      <xdr:blipFill>
        <a:blip r:embed="rId298"/>
        <a:stretch/>
      </xdr:blipFill>
      <xdr:spPr>
        <a:xfrm>
          <a:off x="9360" y="77981040"/>
          <a:ext cx="828000" cy="297000"/>
        </a:xfrm>
        <a:prstGeom prst="rect">
          <a:avLst/>
        </a:prstGeom>
        <a:noFill/>
        <a:ln w="9525">
          <a:noFill/>
        </a:ln>
      </xdr:spPr>
    </xdr:pic>
    <xdr:clientData/>
  </xdr:twoCellAnchor>
  <xdr:twoCellAnchor editAs="oneCell">
    <xdr:from>
      <xdr:col>1</xdr:col>
      <xdr:colOff>38160</xdr:colOff>
      <xdr:row>112</xdr:row>
      <xdr:rowOff>141840</xdr:rowOff>
    </xdr:from>
    <xdr:to>
      <xdr:col>1</xdr:col>
      <xdr:colOff>1208880</xdr:colOff>
      <xdr:row>112</xdr:row>
      <xdr:rowOff>1317960</xdr:rowOff>
    </xdr:to>
    <xdr:pic>
      <xdr:nvPicPr>
        <xdr:cNvPr id="299" name="图片 78" descr="3(4)"/>
        <xdr:cNvPicPr/>
      </xdr:nvPicPr>
      <xdr:blipFill>
        <a:blip r:embed="rId299"/>
        <a:stretch/>
      </xdr:blipFill>
      <xdr:spPr>
        <a:xfrm>
          <a:off x="4039920" y="106507440"/>
          <a:ext cx="1170720" cy="1176120"/>
        </a:xfrm>
        <a:prstGeom prst="rect">
          <a:avLst/>
        </a:prstGeom>
        <a:noFill/>
        <a:ln w="9525">
          <a:noFill/>
        </a:ln>
      </xdr:spPr>
    </xdr:pic>
    <xdr:clientData/>
  </xdr:twoCellAnchor>
  <xdr:twoCellAnchor editAs="oneCell">
    <xdr:from>
      <xdr:col>2</xdr:col>
      <xdr:colOff>38160</xdr:colOff>
      <xdr:row>112</xdr:row>
      <xdr:rowOff>144360</xdr:rowOff>
    </xdr:from>
    <xdr:to>
      <xdr:col>2</xdr:col>
      <xdr:colOff>1208880</xdr:colOff>
      <xdr:row>112</xdr:row>
      <xdr:rowOff>1315080</xdr:rowOff>
    </xdr:to>
    <xdr:pic>
      <xdr:nvPicPr>
        <xdr:cNvPr id="300" name="图片 17" descr="10"/>
        <xdr:cNvPicPr/>
      </xdr:nvPicPr>
      <xdr:blipFill>
        <a:blip r:embed="rId300"/>
        <a:stretch/>
      </xdr:blipFill>
      <xdr:spPr>
        <a:xfrm>
          <a:off x="5605920" y="106509960"/>
          <a:ext cx="1170720" cy="1170720"/>
        </a:xfrm>
        <a:prstGeom prst="rect">
          <a:avLst/>
        </a:prstGeom>
        <a:noFill/>
        <a:ln w="0">
          <a:noFill/>
        </a:ln>
      </xdr:spPr>
    </xdr:pic>
    <xdr:clientData/>
  </xdr:twoCellAnchor>
  <xdr:twoCellAnchor editAs="oneCell">
    <xdr:from>
      <xdr:col>1</xdr:col>
      <xdr:colOff>38160</xdr:colOff>
      <xdr:row>78</xdr:row>
      <xdr:rowOff>142200</xdr:rowOff>
    </xdr:from>
    <xdr:to>
      <xdr:col>1</xdr:col>
      <xdr:colOff>1208880</xdr:colOff>
      <xdr:row>78</xdr:row>
      <xdr:rowOff>1317600</xdr:rowOff>
    </xdr:to>
    <xdr:pic>
      <xdr:nvPicPr>
        <xdr:cNvPr id="301" name="图片 30" descr="1"/>
        <xdr:cNvPicPr/>
      </xdr:nvPicPr>
      <xdr:blipFill>
        <a:blip r:embed="rId301"/>
        <a:stretch/>
      </xdr:blipFill>
      <xdr:spPr>
        <a:xfrm>
          <a:off x="4039920" y="70821000"/>
          <a:ext cx="1170720" cy="1175400"/>
        </a:xfrm>
        <a:prstGeom prst="rect">
          <a:avLst/>
        </a:prstGeom>
        <a:noFill/>
        <a:ln w="0">
          <a:noFill/>
        </a:ln>
      </xdr:spPr>
    </xdr:pic>
    <xdr:clientData/>
  </xdr:twoCellAnchor>
  <xdr:twoCellAnchor editAs="oneCell">
    <xdr:from>
      <xdr:col>2</xdr:col>
      <xdr:colOff>38160</xdr:colOff>
      <xdr:row>78</xdr:row>
      <xdr:rowOff>144360</xdr:rowOff>
    </xdr:from>
    <xdr:to>
      <xdr:col>2</xdr:col>
      <xdr:colOff>1208880</xdr:colOff>
      <xdr:row>78</xdr:row>
      <xdr:rowOff>1315080</xdr:rowOff>
    </xdr:to>
    <xdr:pic>
      <xdr:nvPicPr>
        <xdr:cNvPr id="302" name="图片 31" descr="8"/>
        <xdr:cNvPicPr/>
      </xdr:nvPicPr>
      <xdr:blipFill>
        <a:blip r:embed="rId302"/>
        <a:stretch/>
      </xdr:blipFill>
      <xdr:spPr>
        <a:xfrm>
          <a:off x="5605920" y="70823160"/>
          <a:ext cx="1170720" cy="1170720"/>
        </a:xfrm>
        <a:prstGeom prst="rect">
          <a:avLst/>
        </a:prstGeom>
        <a:noFill/>
        <a:ln w="0">
          <a:noFill/>
        </a:ln>
      </xdr:spPr>
    </xdr:pic>
    <xdr:clientData/>
  </xdr:twoCellAnchor>
  <xdr:twoCellAnchor editAs="oneCell">
    <xdr:from>
      <xdr:col>2</xdr:col>
      <xdr:colOff>38160</xdr:colOff>
      <xdr:row>79</xdr:row>
      <xdr:rowOff>142200</xdr:rowOff>
    </xdr:from>
    <xdr:to>
      <xdr:col>2</xdr:col>
      <xdr:colOff>1208880</xdr:colOff>
      <xdr:row>79</xdr:row>
      <xdr:rowOff>1317600</xdr:rowOff>
    </xdr:to>
    <xdr:pic>
      <xdr:nvPicPr>
        <xdr:cNvPr id="303" name="图片 32" descr="8"/>
        <xdr:cNvPicPr/>
      </xdr:nvPicPr>
      <xdr:blipFill>
        <a:blip r:embed="rId303"/>
        <a:stretch/>
      </xdr:blipFill>
      <xdr:spPr>
        <a:xfrm>
          <a:off x="5605920" y="72281520"/>
          <a:ext cx="1170720" cy="1175400"/>
        </a:xfrm>
        <a:prstGeom prst="rect">
          <a:avLst/>
        </a:prstGeom>
        <a:noFill/>
        <a:ln w="0">
          <a:noFill/>
        </a:ln>
      </xdr:spPr>
    </xdr:pic>
    <xdr:clientData/>
  </xdr:twoCellAnchor>
  <xdr:twoCellAnchor editAs="oneCell">
    <xdr:from>
      <xdr:col>1</xdr:col>
      <xdr:colOff>38160</xdr:colOff>
      <xdr:row>79</xdr:row>
      <xdr:rowOff>144360</xdr:rowOff>
    </xdr:from>
    <xdr:to>
      <xdr:col>1</xdr:col>
      <xdr:colOff>1208880</xdr:colOff>
      <xdr:row>79</xdr:row>
      <xdr:rowOff>1315080</xdr:rowOff>
    </xdr:to>
    <xdr:pic>
      <xdr:nvPicPr>
        <xdr:cNvPr id="304" name="图片 33" descr="1"/>
        <xdr:cNvPicPr/>
      </xdr:nvPicPr>
      <xdr:blipFill>
        <a:blip r:embed="rId304"/>
        <a:stretch/>
      </xdr:blipFill>
      <xdr:spPr>
        <a:xfrm>
          <a:off x="4039920" y="72283680"/>
          <a:ext cx="1170720" cy="1170720"/>
        </a:xfrm>
        <a:prstGeom prst="rect">
          <a:avLst/>
        </a:prstGeom>
        <a:noFill/>
        <a:ln w="0">
          <a:noFill/>
        </a:ln>
      </xdr:spPr>
    </xdr:pic>
    <xdr:clientData/>
  </xdr:twoCellAnchor>
  <xdr:twoCellAnchor editAs="oneCell">
    <xdr:from>
      <xdr:col>1</xdr:col>
      <xdr:colOff>38160</xdr:colOff>
      <xdr:row>80</xdr:row>
      <xdr:rowOff>142200</xdr:rowOff>
    </xdr:from>
    <xdr:to>
      <xdr:col>1</xdr:col>
      <xdr:colOff>1208880</xdr:colOff>
      <xdr:row>80</xdr:row>
      <xdr:rowOff>1317600</xdr:rowOff>
    </xdr:to>
    <xdr:pic>
      <xdr:nvPicPr>
        <xdr:cNvPr id="305" name="图片 34" descr="1"/>
        <xdr:cNvPicPr/>
      </xdr:nvPicPr>
      <xdr:blipFill>
        <a:blip r:embed="rId305"/>
        <a:stretch/>
      </xdr:blipFill>
      <xdr:spPr>
        <a:xfrm>
          <a:off x="4039920" y="73742040"/>
          <a:ext cx="1170720" cy="1175400"/>
        </a:xfrm>
        <a:prstGeom prst="rect">
          <a:avLst/>
        </a:prstGeom>
        <a:noFill/>
        <a:ln w="0">
          <a:noFill/>
        </a:ln>
      </xdr:spPr>
    </xdr:pic>
    <xdr:clientData/>
  </xdr:twoCellAnchor>
  <xdr:twoCellAnchor editAs="oneCell">
    <xdr:from>
      <xdr:col>2</xdr:col>
      <xdr:colOff>38160</xdr:colOff>
      <xdr:row>80</xdr:row>
      <xdr:rowOff>144360</xdr:rowOff>
    </xdr:from>
    <xdr:to>
      <xdr:col>2</xdr:col>
      <xdr:colOff>1208880</xdr:colOff>
      <xdr:row>80</xdr:row>
      <xdr:rowOff>1315080</xdr:rowOff>
    </xdr:to>
    <xdr:pic>
      <xdr:nvPicPr>
        <xdr:cNvPr id="306" name="图片 35" descr="8"/>
        <xdr:cNvPicPr/>
      </xdr:nvPicPr>
      <xdr:blipFill>
        <a:blip r:embed="rId306"/>
        <a:stretch/>
      </xdr:blipFill>
      <xdr:spPr>
        <a:xfrm>
          <a:off x="5605920" y="73744200"/>
          <a:ext cx="1170720" cy="1170720"/>
        </a:xfrm>
        <a:prstGeom prst="rect">
          <a:avLst/>
        </a:prstGeom>
        <a:noFill/>
        <a:ln w="0">
          <a:noFill/>
        </a:ln>
      </xdr:spPr>
    </xdr:pic>
    <xdr:clientData/>
  </xdr:twoCellAnchor>
  <xdr:twoCellAnchor editAs="oneCell">
    <xdr:from>
      <xdr:col>1</xdr:col>
      <xdr:colOff>38160</xdr:colOff>
      <xdr:row>81</xdr:row>
      <xdr:rowOff>142200</xdr:rowOff>
    </xdr:from>
    <xdr:to>
      <xdr:col>1</xdr:col>
      <xdr:colOff>1208880</xdr:colOff>
      <xdr:row>81</xdr:row>
      <xdr:rowOff>1317600</xdr:rowOff>
    </xdr:to>
    <xdr:pic>
      <xdr:nvPicPr>
        <xdr:cNvPr id="307" name="图片 36" descr="1"/>
        <xdr:cNvPicPr/>
      </xdr:nvPicPr>
      <xdr:blipFill>
        <a:blip r:embed="rId307"/>
        <a:stretch/>
      </xdr:blipFill>
      <xdr:spPr>
        <a:xfrm>
          <a:off x="4039920" y="75202200"/>
          <a:ext cx="1170720" cy="1175400"/>
        </a:xfrm>
        <a:prstGeom prst="rect">
          <a:avLst/>
        </a:prstGeom>
        <a:noFill/>
        <a:ln w="0">
          <a:noFill/>
        </a:ln>
      </xdr:spPr>
    </xdr:pic>
    <xdr:clientData/>
  </xdr:twoCellAnchor>
  <xdr:twoCellAnchor editAs="oneCell">
    <xdr:from>
      <xdr:col>2</xdr:col>
      <xdr:colOff>38160</xdr:colOff>
      <xdr:row>81</xdr:row>
      <xdr:rowOff>142200</xdr:rowOff>
    </xdr:from>
    <xdr:to>
      <xdr:col>2</xdr:col>
      <xdr:colOff>1208880</xdr:colOff>
      <xdr:row>81</xdr:row>
      <xdr:rowOff>1317600</xdr:rowOff>
    </xdr:to>
    <xdr:pic>
      <xdr:nvPicPr>
        <xdr:cNvPr id="308" name="图片 37" descr="8"/>
        <xdr:cNvPicPr/>
      </xdr:nvPicPr>
      <xdr:blipFill>
        <a:blip r:embed="rId308"/>
        <a:stretch/>
      </xdr:blipFill>
      <xdr:spPr>
        <a:xfrm>
          <a:off x="5605920" y="75202200"/>
          <a:ext cx="1170720" cy="1175400"/>
        </a:xfrm>
        <a:prstGeom prst="rect">
          <a:avLst/>
        </a:prstGeom>
        <a:noFill/>
        <a:ln w="0">
          <a:noFill/>
        </a:ln>
      </xdr:spPr>
    </xdr:pic>
    <xdr:clientData/>
  </xdr:twoCellAnchor>
  <xdr:twoCellAnchor editAs="oneCell">
    <xdr:from>
      <xdr:col>1</xdr:col>
      <xdr:colOff>38160</xdr:colOff>
      <xdr:row>77</xdr:row>
      <xdr:rowOff>142920</xdr:rowOff>
    </xdr:from>
    <xdr:to>
      <xdr:col>1</xdr:col>
      <xdr:colOff>1208880</xdr:colOff>
      <xdr:row>77</xdr:row>
      <xdr:rowOff>1316520</xdr:rowOff>
    </xdr:to>
    <xdr:pic>
      <xdr:nvPicPr>
        <xdr:cNvPr id="309" name="图片 38" descr="1"/>
        <xdr:cNvPicPr/>
      </xdr:nvPicPr>
      <xdr:blipFill>
        <a:blip r:embed="rId309"/>
        <a:stretch/>
      </xdr:blipFill>
      <xdr:spPr>
        <a:xfrm>
          <a:off x="4039920" y="69361200"/>
          <a:ext cx="1170720" cy="1173600"/>
        </a:xfrm>
        <a:prstGeom prst="rect">
          <a:avLst/>
        </a:prstGeom>
        <a:noFill/>
        <a:ln w="0">
          <a:noFill/>
        </a:ln>
      </xdr:spPr>
    </xdr:pic>
    <xdr:clientData/>
  </xdr:twoCellAnchor>
  <xdr:twoCellAnchor editAs="oneCell">
    <xdr:from>
      <xdr:col>2</xdr:col>
      <xdr:colOff>38160</xdr:colOff>
      <xdr:row>77</xdr:row>
      <xdr:rowOff>144000</xdr:rowOff>
    </xdr:from>
    <xdr:to>
      <xdr:col>2</xdr:col>
      <xdr:colOff>1208880</xdr:colOff>
      <xdr:row>77</xdr:row>
      <xdr:rowOff>1315440</xdr:rowOff>
    </xdr:to>
    <xdr:pic>
      <xdr:nvPicPr>
        <xdr:cNvPr id="310" name="图片 39" descr="8"/>
        <xdr:cNvPicPr/>
      </xdr:nvPicPr>
      <xdr:blipFill>
        <a:blip r:embed="rId310"/>
        <a:stretch/>
      </xdr:blipFill>
      <xdr:spPr>
        <a:xfrm>
          <a:off x="5605920" y="69362280"/>
          <a:ext cx="1170720" cy="1171440"/>
        </a:xfrm>
        <a:prstGeom prst="rect">
          <a:avLst/>
        </a:prstGeom>
        <a:noFill/>
        <a:ln w="0">
          <a:noFill/>
        </a:ln>
      </xdr:spPr>
    </xdr:pic>
    <xdr:clientData/>
  </xdr:twoCellAnchor>
  <xdr:twoCellAnchor editAs="twoCell">
    <xdr:from>
      <xdr:col>0</xdr:col>
      <xdr:colOff>9360</xdr:colOff>
      <xdr:row>77</xdr:row>
      <xdr:rowOff>0</xdr:rowOff>
    </xdr:from>
    <xdr:to>
      <xdr:col>0</xdr:col>
      <xdr:colOff>837360</xdr:colOff>
      <xdr:row>77</xdr:row>
      <xdr:rowOff>297000</xdr:rowOff>
    </xdr:to>
    <xdr:pic>
      <xdr:nvPicPr>
        <xdr:cNvPr id="311" name="图片 160" descr="快充"/>
        <xdr:cNvPicPr/>
      </xdr:nvPicPr>
      <xdr:blipFill>
        <a:blip r:embed="rId311"/>
        <a:stretch/>
      </xdr:blipFill>
      <xdr:spPr>
        <a:xfrm>
          <a:off x="9360" y="69218280"/>
          <a:ext cx="828000" cy="297000"/>
        </a:xfrm>
        <a:prstGeom prst="rect">
          <a:avLst/>
        </a:prstGeom>
        <a:noFill/>
        <a:ln w="9525">
          <a:noFill/>
        </a:ln>
      </xdr:spPr>
    </xdr:pic>
    <xdr:clientData/>
  </xdr:twoCellAnchor>
  <xdr:twoCellAnchor editAs="twoCell">
    <xdr:from>
      <xdr:col>0</xdr:col>
      <xdr:colOff>9360</xdr:colOff>
      <xdr:row>78</xdr:row>
      <xdr:rowOff>0</xdr:rowOff>
    </xdr:from>
    <xdr:to>
      <xdr:col>0</xdr:col>
      <xdr:colOff>837360</xdr:colOff>
      <xdr:row>78</xdr:row>
      <xdr:rowOff>297000</xdr:rowOff>
    </xdr:to>
    <xdr:pic>
      <xdr:nvPicPr>
        <xdr:cNvPr id="312" name="图片 160" descr="快充"/>
        <xdr:cNvPicPr/>
      </xdr:nvPicPr>
      <xdr:blipFill>
        <a:blip r:embed="rId312"/>
        <a:stretch/>
      </xdr:blipFill>
      <xdr:spPr>
        <a:xfrm>
          <a:off x="9360" y="70678800"/>
          <a:ext cx="828000" cy="297000"/>
        </a:xfrm>
        <a:prstGeom prst="rect">
          <a:avLst/>
        </a:prstGeom>
        <a:noFill/>
        <a:ln w="9525">
          <a:noFill/>
        </a:ln>
      </xdr:spPr>
    </xdr:pic>
    <xdr:clientData/>
  </xdr:twoCellAnchor>
  <xdr:twoCellAnchor editAs="oneCell">
    <xdr:from>
      <xdr:col>1</xdr:col>
      <xdr:colOff>38160</xdr:colOff>
      <xdr:row>52</xdr:row>
      <xdr:rowOff>139320</xdr:rowOff>
    </xdr:from>
    <xdr:to>
      <xdr:col>1</xdr:col>
      <xdr:colOff>1208880</xdr:colOff>
      <xdr:row>52</xdr:row>
      <xdr:rowOff>1320480</xdr:rowOff>
    </xdr:to>
    <xdr:pic>
      <xdr:nvPicPr>
        <xdr:cNvPr id="313" name="图片 240" descr="3"/>
        <xdr:cNvPicPr/>
      </xdr:nvPicPr>
      <xdr:blipFill>
        <a:blip r:embed="rId313"/>
        <a:stretch/>
      </xdr:blipFill>
      <xdr:spPr>
        <a:xfrm>
          <a:off x="4039920" y="48183480"/>
          <a:ext cx="1170720" cy="1181160"/>
        </a:xfrm>
        <a:prstGeom prst="rect">
          <a:avLst/>
        </a:prstGeom>
        <a:noFill/>
        <a:ln w="9525">
          <a:noFill/>
        </a:ln>
      </xdr:spPr>
    </xdr:pic>
    <xdr:clientData/>
  </xdr:twoCellAnchor>
  <xdr:twoCellAnchor editAs="oneCell">
    <xdr:from>
      <xdr:col>2</xdr:col>
      <xdr:colOff>38160</xdr:colOff>
      <xdr:row>52</xdr:row>
      <xdr:rowOff>144360</xdr:rowOff>
    </xdr:from>
    <xdr:to>
      <xdr:col>2</xdr:col>
      <xdr:colOff>1208880</xdr:colOff>
      <xdr:row>52</xdr:row>
      <xdr:rowOff>1315080</xdr:rowOff>
    </xdr:to>
    <xdr:pic>
      <xdr:nvPicPr>
        <xdr:cNvPr id="314" name="图片 2" descr="10"/>
        <xdr:cNvPicPr/>
      </xdr:nvPicPr>
      <xdr:blipFill>
        <a:blip r:embed="rId314"/>
        <a:stretch/>
      </xdr:blipFill>
      <xdr:spPr>
        <a:xfrm>
          <a:off x="5605920" y="48188520"/>
          <a:ext cx="1170720" cy="1170720"/>
        </a:xfrm>
        <a:prstGeom prst="rect">
          <a:avLst/>
        </a:prstGeom>
        <a:noFill/>
        <a:ln w="0">
          <a:noFill/>
        </a:ln>
      </xdr:spPr>
    </xdr:pic>
    <xdr:clientData/>
  </xdr:twoCellAnchor>
  <xdr:twoCellAnchor editAs="oneCell">
    <xdr:from>
      <xdr:col>2</xdr:col>
      <xdr:colOff>38160</xdr:colOff>
      <xdr:row>72</xdr:row>
      <xdr:rowOff>141480</xdr:rowOff>
    </xdr:from>
    <xdr:to>
      <xdr:col>2</xdr:col>
      <xdr:colOff>1208880</xdr:colOff>
      <xdr:row>72</xdr:row>
      <xdr:rowOff>1317960</xdr:rowOff>
    </xdr:to>
    <xdr:pic>
      <xdr:nvPicPr>
        <xdr:cNvPr id="315" name="图片 3" descr="12"/>
        <xdr:cNvPicPr/>
      </xdr:nvPicPr>
      <xdr:blipFill>
        <a:blip r:embed="rId315"/>
        <a:stretch/>
      </xdr:blipFill>
      <xdr:spPr>
        <a:xfrm>
          <a:off x="5605920" y="66092760"/>
          <a:ext cx="1170720" cy="1176480"/>
        </a:xfrm>
        <a:prstGeom prst="rect">
          <a:avLst/>
        </a:prstGeom>
        <a:noFill/>
        <a:ln w="0">
          <a:noFill/>
        </a:ln>
      </xdr:spPr>
    </xdr:pic>
    <xdr:clientData/>
  </xdr:twoCellAnchor>
  <xdr:twoCellAnchor editAs="oneCell">
    <xdr:from>
      <xdr:col>1</xdr:col>
      <xdr:colOff>38160</xdr:colOff>
      <xdr:row>72</xdr:row>
      <xdr:rowOff>144360</xdr:rowOff>
    </xdr:from>
    <xdr:to>
      <xdr:col>1</xdr:col>
      <xdr:colOff>1208880</xdr:colOff>
      <xdr:row>72</xdr:row>
      <xdr:rowOff>1315080</xdr:rowOff>
    </xdr:to>
    <xdr:pic>
      <xdr:nvPicPr>
        <xdr:cNvPr id="316" name="图片 4" descr="3"/>
        <xdr:cNvPicPr/>
      </xdr:nvPicPr>
      <xdr:blipFill>
        <a:blip r:embed="rId316"/>
        <a:stretch/>
      </xdr:blipFill>
      <xdr:spPr>
        <a:xfrm>
          <a:off x="4039920" y="66095640"/>
          <a:ext cx="1170720" cy="1170720"/>
        </a:xfrm>
        <a:prstGeom prst="rect">
          <a:avLst/>
        </a:prstGeom>
        <a:noFill/>
        <a:ln w="0">
          <a:noFill/>
        </a:ln>
      </xdr:spPr>
    </xdr:pic>
    <xdr:clientData/>
  </xdr:twoCellAnchor>
  <xdr:twoCellAnchor editAs="oneCell">
    <xdr:from>
      <xdr:col>1</xdr:col>
      <xdr:colOff>38160</xdr:colOff>
      <xdr:row>111</xdr:row>
      <xdr:rowOff>144000</xdr:rowOff>
    </xdr:from>
    <xdr:to>
      <xdr:col>1</xdr:col>
      <xdr:colOff>1208880</xdr:colOff>
      <xdr:row>111</xdr:row>
      <xdr:rowOff>1315440</xdr:rowOff>
    </xdr:to>
    <xdr:pic>
      <xdr:nvPicPr>
        <xdr:cNvPr id="317" name="图片 113" descr="3"/>
        <xdr:cNvPicPr/>
      </xdr:nvPicPr>
      <xdr:blipFill>
        <a:blip r:embed="rId317"/>
        <a:stretch/>
      </xdr:blipFill>
      <xdr:spPr>
        <a:xfrm>
          <a:off x="4039920" y="105049080"/>
          <a:ext cx="1170720" cy="1171440"/>
        </a:xfrm>
        <a:prstGeom prst="rect">
          <a:avLst/>
        </a:prstGeom>
        <a:noFill/>
        <a:ln w="9525">
          <a:noFill/>
        </a:ln>
      </xdr:spPr>
    </xdr:pic>
    <xdr:clientData/>
  </xdr:twoCellAnchor>
  <xdr:twoCellAnchor editAs="oneCell">
    <xdr:from>
      <xdr:col>2</xdr:col>
      <xdr:colOff>38160</xdr:colOff>
      <xdr:row>111</xdr:row>
      <xdr:rowOff>144000</xdr:rowOff>
    </xdr:from>
    <xdr:to>
      <xdr:col>2</xdr:col>
      <xdr:colOff>1208880</xdr:colOff>
      <xdr:row>111</xdr:row>
      <xdr:rowOff>1316160</xdr:rowOff>
    </xdr:to>
    <xdr:pic>
      <xdr:nvPicPr>
        <xdr:cNvPr id="318" name="图片 117" descr="10"/>
        <xdr:cNvPicPr/>
      </xdr:nvPicPr>
      <xdr:blipFill>
        <a:blip r:embed="rId318"/>
        <a:stretch/>
      </xdr:blipFill>
      <xdr:spPr>
        <a:xfrm>
          <a:off x="5605920" y="105049080"/>
          <a:ext cx="1170720" cy="1172160"/>
        </a:xfrm>
        <a:prstGeom prst="rect">
          <a:avLst/>
        </a:prstGeom>
        <a:noFill/>
        <a:ln w="9525">
          <a:noFill/>
        </a:ln>
      </xdr:spPr>
    </xdr:pic>
    <xdr:clientData/>
  </xdr:twoCellAnchor>
  <xdr:twoCellAnchor editAs="oneCell">
    <xdr:from>
      <xdr:col>2</xdr:col>
      <xdr:colOff>38160</xdr:colOff>
      <xdr:row>128</xdr:row>
      <xdr:rowOff>144360</xdr:rowOff>
    </xdr:from>
    <xdr:to>
      <xdr:col>2</xdr:col>
      <xdr:colOff>1208880</xdr:colOff>
      <xdr:row>128</xdr:row>
      <xdr:rowOff>1315080</xdr:rowOff>
    </xdr:to>
    <xdr:pic>
      <xdr:nvPicPr>
        <xdr:cNvPr id="319" name="图片 12"/>
        <xdr:cNvPicPr/>
      </xdr:nvPicPr>
      <xdr:blipFill>
        <a:blip r:embed="rId319"/>
        <a:stretch/>
      </xdr:blipFill>
      <xdr:spPr>
        <a:xfrm>
          <a:off x="5605920" y="125687160"/>
          <a:ext cx="1170720" cy="1170720"/>
        </a:xfrm>
        <a:prstGeom prst="rect">
          <a:avLst/>
        </a:prstGeom>
        <a:noFill/>
        <a:ln w="9525">
          <a:noFill/>
        </a:ln>
      </xdr:spPr>
    </xdr:pic>
    <xdr:clientData/>
  </xdr:twoCellAnchor>
  <xdr:twoCellAnchor editAs="oneCell">
    <xdr:from>
      <xdr:col>2</xdr:col>
      <xdr:colOff>38160</xdr:colOff>
      <xdr:row>136</xdr:row>
      <xdr:rowOff>176040</xdr:rowOff>
    </xdr:from>
    <xdr:to>
      <xdr:col>2</xdr:col>
      <xdr:colOff>1208880</xdr:colOff>
      <xdr:row>137</xdr:row>
      <xdr:rowOff>585000</xdr:rowOff>
    </xdr:to>
    <xdr:pic>
      <xdr:nvPicPr>
        <xdr:cNvPr id="320" name="图片 15"/>
        <xdr:cNvPicPr/>
      </xdr:nvPicPr>
      <xdr:blipFill>
        <a:blip r:embed="rId320"/>
        <a:stretch/>
      </xdr:blipFill>
      <xdr:spPr>
        <a:xfrm>
          <a:off x="5605920" y="133211880"/>
          <a:ext cx="1170720" cy="1170720"/>
        </a:xfrm>
        <a:prstGeom prst="rect">
          <a:avLst/>
        </a:prstGeom>
        <a:noFill/>
        <a:ln w="9525">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38160</xdr:colOff>
      <xdr:row>18</xdr:row>
      <xdr:rowOff>110160</xdr:rowOff>
    </xdr:from>
    <xdr:to>
      <xdr:col>2</xdr:col>
      <xdr:colOff>1208880</xdr:colOff>
      <xdr:row>18</xdr:row>
      <xdr:rowOff>1286280</xdr:rowOff>
    </xdr:to>
    <xdr:pic>
      <xdr:nvPicPr>
        <xdr:cNvPr id="321" name="图片 155" descr="C:/Users/Ray/AppData/Local/Temp/picturecompress_20211118150910/output_318.jpgoutput_318"/>
        <xdr:cNvPicPr/>
      </xdr:nvPicPr>
      <xdr:blipFill>
        <a:blip r:embed="rId1"/>
        <a:stretch/>
      </xdr:blipFill>
      <xdr:spPr>
        <a:xfrm>
          <a:off x="5605920" y="16931160"/>
          <a:ext cx="1170720" cy="1176120"/>
        </a:xfrm>
        <a:prstGeom prst="rect">
          <a:avLst/>
        </a:prstGeom>
        <a:noFill/>
        <a:ln w="9525">
          <a:noFill/>
        </a:ln>
      </xdr:spPr>
    </xdr:pic>
    <xdr:clientData/>
  </xdr:twoCellAnchor>
  <xdr:twoCellAnchor editAs="oneCell">
    <xdr:from>
      <xdr:col>1</xdr:col>
      <xdr:colOff>38160</xdr:colOff>
      <xdr:row>18</xdr:row>
      <xdr:rowOff>111240</xdr:rowOff>
    </xdr:from>
    <xdr:to>
      <xdr:col>1</xdr:col>
      <xdr:colOff>1208880</xdr:colOff>
      <xdr:row>18</xdr:row>
      <xdr:rowOff>1285200</xdr:rowOff>
    </xdr:to>
    <xdr:pic>
      <xdr:nvPicPr>
        <xdr:cNvPr id="322" name="图片 154" descr="C:/Users/Ray/AppData/Local/Temp/picturecompress_20211118150910/output_329.jpgoutput_329"/>
        <xdr:cNvPicPr/>
      </xdr:nvPicPr>
      <xdr:blipFill>
        <a:blip r:embed="rId2"/>
        <a:stretch/>
      </xdr:blipFill>
      <xdr:spPr>
        <a:xfrm>
          <a:off x="4039920" y="16932240"/>
          <a:ext cx="1170720" cy="1173960"/>
        </a:xfrm>
        <a:prstGeom prst="rect">
          <a:avLst/>
        </a:prstGeom>
        <a:noFill/>
        <a:ln w="9525">
          <a:noFill/>
        </a:ln>
      </xdr:spPr>
    </xdr:pic>
    <xdr:clientData/>
  </xdr:twoCellAnchor>
  <xdr:twoCellAnchor editAs="oneCell">
    <xdr:from>
      <xdr:col>1</xdr:col>
      <xdr:colOff>38160</xdr:colOff>
      <xdr:row>17</xdr:row>
      <xdr:rowOff>137880</xdr:rowOff>
    </xdr:from>
    <xdr:to>
      <xdr:col>1</xdr:col>
      <xdr:colOff>1208880</xdr:colOff>
      <xdr:row>17</xdr:row>
      <xdr:rowOff>1321920</xdr:rowOff>
    </xdr:to>
    <xdr:pic>
      <xdr:nvPicPr>
        <xdr:cNvPr id="323" name="图片 3" descr="3(2)"/>
        <xdr:cNvPicPr/>
      </xdr:nvPicPr>
      <xdr:blipFill>
        <a:blip r:embed="rId3"/>
        <a:stretch/>
      </xdr:blipFill>
      <xdr:spPr>
        <a:xfrm>
          <a:off x="4039920" y="15498360"/>
          <a:ext cx="1170720" cy="1184040"/>
        </a:xfrm>
        <a:prstGeom prst="rect">
          <a:avLst/>
        </a:prstGeom>
        <a:noFill/>
        <a:ln w="9525">
          <a:noFill/>
        </a:ln>
      </xdr:spPr>
    </xdr:pic>
    <xdr:clientData/>
  </xdr:twoCellAnchor>
  <xdr:twoCellAnchor editAs="oneCell">
    <xdr:from>
      <xdr:col>1</xdr:col>
      <xdr:colOff>38160</xdr:colOff>
      <xdr:row>16</xdr:row>
      <xdr:rowOff>137880</xdr:rowOff>
    </xdr:from>
    <xdr:to>
      <xdr:col>1</xdr:col>
      <xdr:colOff>1208880</xdr:colOff>
      <xdr:row>16</xdr:row>
      <xdr:rowOff>1321920</xdr:rowOff>
    </xdr:to>
    <xdr:pic>
      <xdr:nvPicPr>
        <xdr:cNvPr id="324" name="图片 4" descr="3(3)"/>
        <xdr:cNvPicPr/>
      </xdr:nvPicPr>
      <xdr:blipFill>
        <a:blip r:embed="rId4"/>
        <a:stretch/>
      </xdr:blipFill>
      <xdr:spPr>
        <a:xfrm>
          <a:off x="4039920" y="14038200"/>
          <a:ext cx="1170720" cy="1184040"/>
        </a:xfrm>
        <a:prstGeom prst="rect">
          <a:avLst/>
        </a:prstGeom>
        <a:noFill/>
        <a:ln w="9525">
          <a:noFill/>
        </a:ln>
      </xdr:spPr>
    </xdr:pic>
    <xdr:clientData/>
  </xdr:twoCellAnchor>
  <xdr:twoCellAnchor editAs="oneCell">
    <xdr:from>
      <xdr:col>2</xdr:col>
      <xdr:colOff>38160</xdr:colOff>
      <xdr:row>17</xdr:row>
      <xdr:rowOff>141120</xdr:rowOff>
    </xdr:from>
    <xdr:to>
      <xdr:col>2</xdr:col>
      <xdr:colOff>1208880</xdr:colOff>
      <xdr:row>17</xdr:row>
      <xdr:rowOff>1319040</xdr:rowOff>
    </xdr:to>
    <xdr:pic>
      <xdr:nvPicPr>
        <xdr:cNvPr id="325" name="图片 9" descr="9(3)"/>
        <xdr:cNvPicPr/>
      </xdr:nvPicPr>
      <xdr:blipFill>
        <a:blip r:embed="rId5"/>
        <a:stretch/>
      </xdr:blipFill>
      <xdr:spPr>
        <a:xfrm>
          <a:off x="5605920" y="15501600"/>
          <a:ext cx="1170720" cy="1177920"/>
        </a:xfrm>
        <a:prstGeom prst="rect">
          <a:avLst/>
        </a:prstGeom>
        <a:noFill/>
        <a:ln w="9525">
          <a:noFill/>
        </a:ln>
      </xdr:spPr>
    </xdr:pic>
    <xdr:clientData/>
  </xdr:twoCellAnchor>
  <xdr:twoCellAnchor editAs="oneCell">
    <xdr:from>
      <xdr:col>2</xdr:col>
      <xdr:colOff>38160</xdr:colOff>
      <xdr:row>16</xdr:row>
      <xdr:rowOff>141480</xdr:rowOff>
    </xdr:from>
    <xdr:to>
      <xdr:col>2</xdr:col>
      <xdr:colOff>1208880</xdr:colOff>
      <xdr:row>16</xdr:row>
      <xdr:rowOff>1318680</xdr:rowOff>
    </xdr:to>
    <xdr:pic>
      <xdr:nvPicPr>
        <xdr:cNvPr id="326" name="图片 10" descr="9(4)"/>
        <xdr:cNvPicPr/>
      </xdr:nvPicPr>
      <xdr:blipFill>
        <a:blip r:embed="rId6"/>
        <a:stretch/>
      </xdr:blipFill>
      <xdr:spPr>
        <a:xfrm>
          <a:off x="5605920" y="14041800"/>
          <a:ext cx="1170720" cy="1177200"/>
        </a:xfrm>
        <a:prstGeom prst="rect">
          <a:avLst/>
        </a:prstGeom>
        <a:noFill/>
        <a:ln w="9525">
          <a:noFill/>
        </a:ln>
      </xdr:spPr>
    </xdr:pic>
    <xdr:clientData/>
  </xdr:twoCellAnchor>
  <xdr:twoCellAnchor editAs="oneCell">
    <xdr:from>
      <xdr:col>1</xdr:col>
      <xdr:colOff>38160</xdr:colOff>
      <xdr:row>8</xdr:row>
      <xdr:rowOff>140760</xdr:rowOff>
    </xdr:from>
    <xdr:to>
      <xdr:col>1</xdr:col>
      <xdr:colOff>1208880</xdr:colOff>
      <xdr:row>8</xdr:row>
      <xdr:rowOff>1319040</xdr:rowOff>
    </xdr:to>
    <xdr:pic>
      <xdr:nvPicPr>
        <xdr:cNvPr id="327" name="图片 23" descr="1"/>
        <xdr:cNvPicPr/>
      </xdr:nvPicPr>
      <xdr:blipFill>
        <a:blip r:embed="rId7"/>
        <a:stretch/>
      </xdr:blipFill>
      <xdr:spPr>
        <a:xfrm>
          <a:off x="4039920" y="4868280"/>
          <a:ext cx="1170720" cy="1178280"/>
        </a:xfrm>
        <a:prstGeom prst="rect">
          <a:avLst/>
        </a:prstGeom>
        <a:noFill/>
        <a:ln w="9525">
          <a:noFill/>
        </a:ln>
      </xdr:spPr>
    </xdr:pic>
    <xdr:clientData/>
  </xdr:twoCellAnchor>
  <xdr:twoCellAnchor editAs="oneCell">
    <xdr:from>
      <xdr:col>2</xdr:col>
      <xdr:colOff>38160</xdr:colOff>
      <xdr:row>8</xdr:row>
      <xdr:rowOff>144000</xdr:rowOff>
    </xdr:from>
    <xdr:to>
      <xdr:col>2</xdr:col>
      <xdr:colOff>1208880</xdr:colOff>
      <xdr:row>8</xdr:row>
      <xdr:rowOff>1315440</xdr:rowOff>
    </xdr:to>
    <xdr:pic>
      <xdr:nvPicPr>
        <xdr:cNvPr id="328" name="图片 24" descr="9"/>
        <xdr:cNvPicPr/>
      </xdr:nvPicPr>
      <xdr:blipFill>
        <a:blip r:embed="rId8"/>
        <a:stretch/>
      </xdr:blipFill>
      <xdr:spPr>
        <a:xfrm>
          <a:off x="5605920" y="4871520"/>
          <a:ext cx="1170720" cy="1171440"/>
        </a:xfrm>
        <a:prstGeom prst="rect">
          <a:avLst/>
        </a:prstGeom>
        <a:noFill/>
        <a:ln w="9525">
          <a:noFill/>
        </a:ln>
      </xdr:spPr>
    </xdr:pic>
    <xdr:clientData/>
  </xdr:twoCellAnchor>
  <xdr:twoCellAnchor editAs="oneCell">
    <xdr:from>
      <xdr:col>1</xdr:col>
      <xdr:colOff>38160</xdr:colOff>
      <xdr:row>21</xdr:row>
      <xdr:rowOff>146880</xdr:rowOff>
    </xdr:from>
    <xdr:to>
      <xdr:col>1</xdr:col>
      <xdr:colOff>1208880</xdr:colOff>
      <xdr:row>21</xdr:row>
      <xdr:rowOff>1313280</xdr:rowOff>
    </xdr:to>
    <xdr:pic>
      <xdr:nvPicPr>
        <xdr:cNvPr id="329" name="图片 35" descr="1"/>
        <xdr:cNvPicPr/>
      </xdr:nvPicPr>
      <xdr:blipFill>
        <a:blip r:embed="rId9"/>
        <a:stretch/>
      </xdr:blipFill>
      <xdr:spPr>
        <a:xfrm>
          <a:off x="4039920" y="18774720"/>
          <a:ext cx="1170720" cy="1166400"/>
        </a:xfrm>
        <a:prstGeom prst="rect">
          <a:avLst/>
        </a:prstGeom>
        <a:noFill/>
        <a:ln w="9525">
          <a:noFill/>
        </a:ln>
      </xdr:spPr>
    </xdr:pic>
    <xdr:clientData/>
  </xdr:twoCellAnchor>
  <xdr:twoCellAnchor editAs="oneCell">
    <xdr:from>
      <xdr:col>2</xdr:col>
      <xdr:colOff>38160</xdr:colOff>
      <xdr:row>21</xdr:row>
      <xdr:rowOff>146160</xdr:rowOff>
    </xdr:from>
    <xdr:to>
      <xdr:col>2</xdr:col>
      <xdr:colOff>1208880</xdr:colOff>
      <xdr:row>21</xdr:row>
      <xdr:rowOff>1313640</xdr:rowOff>
    </xdr:to>
    <xdr:pic>
      <xdr:nvPicPr>
        <xdr:cNvPr id="330" name="图片 38" descr="12"/>
        <xdr:cNvPicPr/>
      </xdr:nvPicPr>
      <xdr:blipFill>
        <a:blip r:embed="rId10"/>
        <a:stretch/>
      </xdr:blipFill>
      <xdr:spPr>
        <a:xfrm>
          <a:off x="5605920" y="18774000"/>
          <a:ext cx="1170720" cy="1167480"/>
        </a:xfrm>
        <a:prstGeom prst="rect">
          <a:avLst/>
        </a:prstGeom>
        <a:noFill/>
        <a:ln w="9525">
          <a:noFill/>
        </a:ln>
      </xdr:spPr>
    </xdr:pic>
    <xdr:clientData/>
  </xdr:twoCellAnchor>
  <xdr:twoCellAnchor editAs="oneCell">
    <xdr:from>
      <xdr:col>2</xdr:col>
      <xdr:colOff>38160</xdr:colOff>
      <xdr:row>22</xdr:row>
      <xdr:rowOff>143640</xdr:rowOff>
    </xdr:from>
    <xdr:to>
      <xdr:col>2</xdr:col>
      <xdr:colOff>1208880</xdr:colOff>
      <xdr:row>22</xdr:row>
      <xdr:rowOff>1316160</xdr:rowOff>
    </xdr:to>
    <xdr:pic>
      <xdr:nvPicPr>
        <xdr:cNvPr id="331" name="图片 39" descr="13"/>
        <xdr:cNvPicPr/>
      </xdr:nvPicPr>
      <xdr:blipFill>
        <a:blip r:embed="rId11"/>
        <a:stretch/>
      </xdr:blipFill>
      <xdr:spPr>
        <a:xfrm>
          <a:off x="5605920" y="20232000"/>
          <a:ext cx="1170720" cy="1172520"/>
        </a:xfrm>
        <a:prstGeom prst="rect">
          <a:avLst/>
        </a:prstGeom>
        <a:noFill/>
        <a:ln w="9525">
          <a:noFill/>
        </a:ln>
      </xdr:spPr>
    </xdr:pic>
    <xdr:clientData/>
  </xdr:twoCellAnchor>
  <xdr:twoCellAnchor editAs="oneCell">
    <xdr:from>
      <xdr:col>2</xdr:col>
      <xdr:colOff>38160</xdr:colOff>
      <xdr:row>23</xdr:row>
      <xdr:rowOff>143280</xdr:rowOff>
    </xdr:from>
    <xdr:to>
      <xdr:col>2</xdr:col>
      <xdr:colOff>1208880</xdr:colOff>
      <xdr:row>23</xdr:row>
      <xdr:rowOff>1316520</xdr:rowOff>
    </xdr:to>
    <xdr:pic>
      <xdr:nvPicPr>
        <xdr:cNvPr id="332" name="图片 41" descr="14"/>
        <xdr:cNvPicPr/>
      </xdr:nvPicPr>
      <xdr:blipFill>
        <a:blip r:embed="rId12"/>
        <a:stretch/>
      </xdr:blipFill>
      <xdr:spPr>
        <a:xfrm>
          <a:off x="5605920" y="21692160"/>
          <a:ext cx="1170720" cy="1173240"/>
        </a:xfrm>
        <a:prstGeom prst="rect">
          <a:avLst/>
        </a:prstGeom>
        <a:noFill/>
        <a:ln w="9525">
          <a:noFill/>
        </a:ln>
      </xdr:spPr>
    </xdr:pic>
    <xdr:clientData/>
  </xdr:twoCellAnchor>
  <xdr:twoCellAnchor editAs="oneCell">
    <xdr:from>
      <xdr:col>2</xdr:col>
      <xdr:colOff>38160</xdr:colOff>
      <xdr:row>24</xdr:row>
      <xdr:rowOff>143640</xdr:rowOff>
    </xdr:from>
    <xdr:to>
      <xdr:col>2</xdr:col>
      <xdr:colOff>1208880</xdr:colOff>
      <xdr:row>24</xdr:row>
      <xdr:rowOff>1316160</xdr:rowOff>
    </xdr:to>
    <xdr:pic>
      <xdr:nvPicPr>
        <xdr:cNvPr id="333" name="图片 58" descr="15"/>
        <xdr:cNvPicPr/>
      </xdr:nvPicPr>
      <xdr:blipFill>
        <a:blip r:embed="rId13"/>
        <a:stretch/>
      </xdr:blipFill>
      <xdr:spPr>
        <a:xfrm>
          <a:off x="5605920" y="23153040"/>
          <a:ext cx="1170720" cy="1172520"/>
        </a:xfrm>
        <a:prstGeom prst="rect">
          <a:avLst/>
        </a:prstGeom>
        <a:noFill/>
        <a:ln w="9525">
          <a:noFill/>
        </a:ln>
      </xdr:spPr>
    </xdr:pic>
    <xdr:clientData/>
  </xdr:twoCellAnchor>
  <xdr:twoCellAnchor editAs="oneCell">
    <xdr:from>
      <xdr:col>2</xdr:col>
      <xdr:colOff>38160</xdr:colOff>
      <xdr:row>25</xdr:row>
      <xdr:rowOff>143640</xdr:rowOff>
    </xdr:from>
    <xdr:to>
      <xdr:col>2</xdr:col>
      <xdr:colOff>1208880</xdr:colOff>
      <xdr:row>25</xdr:row>
      <xdr:rowOff>1316160</xdr:rowOff>
    </xdr:to>
    <xdr:pic>
      <xdr:nvPicPr>
        <xdr:cNvPr id="334" name="图片 59" descr="16"/>
        <xdr:cNvPicPr/>
      </xdr:nvPicPr>
      <xdr:blipFill>
        <a:blip r:embed="rId14"/>
        <a:stretch/>
      </xdr:blipFill>
      <xdr:spPr>
        <a:xfrm>
          <a:off x="5605920" y="24613200"/>
          <a:ext cx="1170720" cy="1172520"/>
        </a:xfrm>
        <a:prstGeom prst="rect">
          <a:avLst/>
        </a:prstGeom>
        <a:noFill/>
        <a:ln w="9525">
          <a:noFill/>
        </a:ln>
      </xdr:spPr>
    </xdr:pic>
    <xdr:clientData/>
  </xdr:twoCellAnchor>
  <xdr:twoCellAnchor editAs="oneCell">
    <xdr:from>
      <xdr:col>1</xdr:col>
      <xdr:colOff>38160</xdr:colOff>
      <xdr:row>22</xdr:row>
      <xdr:rowOff>143280</xdr:rowOff>
    </xdr:from>
    <xdr:to>
      <xdr:col>1</xdr:col>
      <xdr:colOff>1208880</xdr:colOff>
      <xdr:row>22</xdr:row>
      <xdr:rowOff>1316520</xdr:rowOff>
    </xdr:to>
    <xdr:pic>
      <xdr:nvPicPr>
        <xdr:cNvPr id="335" name="图片 60" descr="1"/>
        <xdr:cNvPicPr/>
      </xdr:nvPicPr>
      <xdr:blipFill>
        <a:blip r:embed="rId15"/>
        <a:stretch/>
      </xdr:blipFill>
      <xdr:spPr>
        <a:xfrm>
          <a:off x="4039920" y="20231640"/>
          <a:ext cx="1170720" cy="1173240"/>
        </a:xfrm>
        <a:prstGeom prst="rect">
          <a:avLst/>
        </a:prstGeom>
        <a:noFill/>
        <a:ln w="9525">
          <a:noFill/>
        </a:ln>
      </xdr:spPr>
    </xdr:pic>
    <xdr:clientData/>
  </xdr:twoCellAnchor>
  <xdr:twoCellAnchor editAs="oneCell">
    <xdr:from>
      <xdr:col>1</xdr:col>
      <xdr:colOff>38160</xdr:colOff>
      <xdr:row>23</xdr:row>
      <xdr:rowOff>143280</xdr:rowOff>
    </xdr:from>
    <xdr:to>
      <xdr:col>1</xdr:col>
      <xdr:colOff>1208880</xdr:colOff>
      <xdr:row>23</xdr:row>
      <xdr:rowOff>1316520</xdr:rowOff>
    </xdr:to>
    <xdr:pic>
      <xdr:nvPicPr>
        <xdr:cNvPr id="336" name="图片 61" descr="1"/>
        <xdr:cNvPicPr/>
      </xdr:nvPicPr>
      <xdr:blipFill>
        <a:blip r:embed="rId16"/>
        <a:stretch/>
      </xdr:blipFill>
      <xdr:spPr>
        <a:xfrm>
          <a:off x="4039920" y="21692160"/>
          <a:ext cx="1170720" cy="1173240"/>
        </a:xfrm>
        <a:prstGeom prst="rect">
          <a:avLst/>
        </a:prstGeom>
        <a:noFill/>
        <a:ln w="9525">
          <a:noFill/>
        </a:ln>
      </xdr:spPr>
    </xdr:pic>
    <xdr:clientData/>
  </xdr:twoCellAnchor>
  <xdr:twoCellAnchor editAs="oneCell">
    <xdr:from>
      <xdr:col>1</xdr:col>
      <xdr:colOff>38160</xdr:colOff>
      <xdr:row>24</xdr:row>
      <xdr:rowOff>143280</xdr:rowOff>
    </xdr:from>
    <xdr:to>
      <xdr:col>1</xdr:col>
      <xdr:colOff>1208880</xdr:colOff>
      <xdr:row>24</xdr:row>
      <xdr:rowOff>1316520</xdr:rowOff>
    </xdr:to>
    <xdr:pic>
      <xdr:nvPicPr>
        <xdr:cNvPr id="337" name="图片 65" descr="1"/>
        <xdr:cNvPicPr/>
      </xdr:nvPicPr>
      <xdr:blipFill>
        <a:blip r:embed="rId17"/>
        <a:stretch/>
      </xdr:blipFill>
      <xdr:spPr>
        <a:xfrm>
          <a:off x="4039920" y="23152680"/>
          <a:ext cx="1170720" cy="1173240"/>
        </a:xfrm>
        <a:prstGeom prst="rect">
          <a:avLst/>
        </a:prstGeom>
        <a:noFill/>
        <a:ln w="9525">
          <a:noFill/>
        </a:ln>
      </xdr:spPr>
    </xdr:pic>
    <xdr:clientData/>
  </xdr:twoCellAnchor>
  <xdr:twoCellAnchor editAs="oneCell">
    <xdr:from>
      <xdr:col>1</xdr:col>
      <xdr:colOff>38160</xdr:colOff>
      <xdr:row>25</xdr:row>
      <xdr:rowOff>143280</xdr:rowOff>
    </xdr:from>
    <xdr:to>
      <xdr:col>1</xdr:col>
      <xdr:colOff>1208880</xdr:colOff>
      <xdr:row>25</xdr:row>
      <xdr:rowOff>1316520</xdr:rowOff>
    </xdr:to>
    <xdr:pic>
      <xdr:nvPicPr>
        <xdr:cNvPr id="338" name="图片 66" descr="1"/>
        <xdr:cNvPicPr/>
      </xdr:nvPicPr>
      <xdr:blipFill>
        <a:blip r:embed="rId18"/>
        <a:stretch/>
      </xdr:blipFill>
      <xdr:spPr>
        <a:xfrm>
          <a:off x="4039920" y="24612840"/>
          <a:ext cx="1170720" cy="1173240"/>
        </a:xfrm>
        <a:prstGeom prst="rect">
          <a:avLst/>
        </a:prstGeom>
        <a:noFill/>
        <a:ln w="9525">
          <a:noFill/>
        </a:ln>
      </xdr:spPr>
    </xdr:pic>
    <xdr:clientData/>
  </xdr:twoCellAnchor>
  <xdr:twoCellAnchor editAs="oneCell">
    <xdr:from>
      <xdr:col>1</xdr:col>
      <xdr:colOff>38160</xdr:colOff>
      <xdr:row>11</xdr:row>
      <xdr:rowOff>143280</xdr:rowOff>
    </xdr:from>
    <xdr:to>
      <xdr:col>1</xdr:col>
      <xdr:colOff>1208880</xdr:colOff>
      <xdr:row>11</xdr:row>
      <xdr:rowOff>1316520</xdr:rowOff>
    </xdr:to>
    <xdr:pic>
      <xdr:nvPicPr>
        <xdr:cNvPr id="339" name="图片 5" descr="1"/>
        <xdr:cNvPicPr/>
      </xdr:nvPicPr>
      <xdr:blipFill>
        <a:blip r:embed="rId19"/>
        <a:stretch/>
      </xdr:blipFill>
      <xdr:spPr>
        <a:xfrm>
          <a:off x="4039920" y="6741000"/>
          <a:ext cx="1170720" cy="1173240"/>
        </a:xfrm>
        <a:prstGeom prst="rect">
          <a:avLst/>
        </a:prstGeom>
        <a:noFill/>
        <a:ln w="9525">
          <a:noFill/>
        </a:ln>
      </xdr:spPr>
    </xdr:pic>
    <xdr:clientData/>
  </xdr:twoCellAnchor>
  <xdr:twoCellAnchor editAs="oneCell">
    <xdr:from>
      <xdr:col>2</xdr:col>
      <xdr:colOff>38160</xdr:colOff>
      <xdr:row>11</xdr:row>
      <xdr:rowOff>144000</xdr:rowOff>
    </xdr:from>
    <xdr:to>
      <xdr:col>2</xdr:col>
      <xdr:colOff>1208880</xdr:colOff>
      <xdr:row>11</xdr:row>
      <xdr:rowOff>1315440</xdr:rowOff>
    </xdr:to>
    <xdr:pic>
      <xdr:nvPicPr>
        <xdr:cNvPr id="340" name="图片 7" descr="9"/>
        <xdr:cNvPicPr/>
      </xdr:nvPicPr>
      <xdr:blipFill>
        <a:blip r:embed="rId20"/>
        <a:stretch/>
      </xdr:blipFill>
      <xdr:spPr>
        <a:xfrm>
          <a:off x="5605920" y="6741720"/>
          <a:ext cx="1170720" cy="1171440"/>
        </a:xfrm>
        <a:prstGeom prst="rect">
          <a:avLst/>
        </a:prstGeom>
        <a:noFill/>
        <a:ln w="9525">
          <a:noFill/>
        </a:ln>
      </xdr:spPr>
    </xdr:pic>
    <xdr:clientData/>
  </xdr:twoCellAnchor>
  <xdr:twoCellAnchor editAs="oneCell">
    <xdr:from>
      <xdr:col>1</xdr:col>
      <xdr:colOff>38160</xdr:colOff>
      <xdr:row>12</xdr:row>
      <xdr:rowOff>144000</xdr:rowOff>
    </xdr:from>
    <xdr:to>
      <xdr:col>1</xdr:col>
      <xdr:colOff>1208880</xdr:colOff>
      <xdr:row>12</xdr:row>
      <xdr:rowOff>1316160</xdr:rowOff>
    </xdr:to>
    <xdr:pic>
      <xdr:nvPicPr>
        <xdr:cNvPr id="341" name="图片 11" descr="1"/>
        <xdr:cNvPicPr/>
      </xdr:nvPicPr>
      <xdr:blipFill>
        <a:blip r:embed="rId21"/>
        <a:stretch/>
      </xdr:blipFill>
      <xdr:spPr>
        <a:xfrm>
          <a:off x="4039920" y="8202240"/>
          <a:ext cx="1170720" cy="1172160"/>
        </a:xfrm>
        <a:prstGeom prst="rect">
          <a:avLst/>
        </a:prstGeom>
        <a:noFill/>
        <a:ln w="9525">
          <a:noFill/>
        </a:ln>
      </xdr:spPr>
    </xdr:pic>
    <xdr:clientData/>
  </xdr:twoCellAnchor>
  <xdr:twoCellAnchor editAs="oneCell">
    <xdr:from>
      <xdr:col>2</xdr:col>
      <xdr:colOff>38160</xdr:colOff>
      <xdr:row>12</xdr:row>
      <xdr:rowOff>144000</xdr:rowOff>
    </xdr:from>
    <xdr:to>
      <xdr:col>2</xdr:col>
      <xdr:colOff>1208880</xdr:colOff>
      <xdr:row>12</xdr:row>
      <xdr:rowOff>1315440</xdr:rowOff>
    </xdr:to>
    <xdr:pic>
      <xdr:nvPicPr>
        <xdr:cNvPr id="342" name="图片 12" descr="9"/>
        <xdr:cNvPicPr/>
      </xdr:nvPicPr>
      <xdr:blipFill>
        <a:blip r:embed="rId22"/>
        <a:stretch/>
      </xdr:blipFill>
      <xdr:spPr>
        <a:xfrm>
          <a:off x="5605920" y="8202240"/>
          <a:ext cx="1170720" cy="1171440"/>
        </a:xfrm>
        <a:prstGeom prst="rect">
          <a:avLst/>
        </a:prstGeom>
        <a:noFill/>
        <a:ln w="9525">
          <a:noFill/>
        </a:ln>
      </xdr:spPr>
    </xdr:pic>
    <xdr:clientData/>
  </xdr:twoCellAnchor>
  <xdr:twoCellAnchor editAs="oneCell">
    <xdr:from>
      <xdr:col>1</xdr:col>
      <xdr:colOff>38160</xdr:colOff>
      <xdr:row>13</xdr:row>
      <xdr:rowOff>143280</xdr:rowOff>
    </xdr:from>
    <xdr:to>
      <xdr:col>1</xdr:col>
      <xdr:colOff>1208880</xdr:colOff>
      <xdr:row>13</xdr:row>
      <xdr:rowOff>1316520</xdr:rowOff>
    </xdr:to>
    <xdr:pic>
      <xdr:nvPicPr>
        <xdr:cNvPr id="343" name="图片 13" descr="1"/>
        <xdr:cNvPicPr/>
      </xdr:nvPicPr>
      <xdr:blipFill>
        <a:blip r:embed="rId23"/>
        <a:stretch/>
      </xdr:blipFill>
      <xdr:spPr>
        <a:xfrm>
          <a:off x="4039920" y="9662040"/>
          <a:ext cx="1170720" cy="1173240"/>
        </a:xfrm>
        <a:prstGeom prst="rect">
          <a:avLst/>
        </a:prstGeom>
        <a:noFill/>
        <a:ln w="9525">
          <a:noFill/>
        </a:ln>
      </xdr:spPr>
    </xdr:pic>
    <xdr:clientData/>
  </xdr:twoCellAnchor>
  <xdr:twoCellAnchor editAs="oneCell">
    <xdr:from>
      <xdr:col>2</xdr:col>
      <xdr:colOff>38160</xdr:colOff>
      <xdr:row>13</xdr:row>
      <xdr:rowOff>144000</xdr:rowOff>
    </xdr:from>
    <xdr:to>
      <xdr:col>2</xdr:col>
      <xdr:colOff>1208880</xdr:colOff>
      <xdr:row>13</xdr:row>
      <xdr:rowOff>1315440</xdr:rowOff>
    </xdr:to>
    <xdr:pic>
      <xdr:nvPicPr>
        <xdr:cNvPr id="344" name="图片 20" descr="9"/>
        <xdr:cNvPicPr/>
      </xdr:nvPicPr>
      <xdr:blipFill>
        <a:blip r:embed="rId24"/>
        <a:stretch/>
      </xdr:blipFill>
      <xdr:spPr>
        <a:xfrm>
          <a:off x="5605920" y="9662760"/>
          <a:ext cx="1170720" cy="1171440"/>
        </a:xfrm>
        <a:prstGeom prst="rect">
          <a:avLst/>
        </a:prstGeom>
        <a:noFill/>
        <a:ln w="9525">
          <a:noFill/>
        </a:ln>
      </xdr:spPr>
    </xdr:pic>
    <xdr:clientData/>
  </xdr:twoCellAnchor>
  <xdr:twoCellAnchor editAs="oneCell">
    <xdr:from>
      <xdr:col>1</xdr:col>
      <xdr:colOff>38160</xdr:colOff>
      <xdr:row>14</xdr:row>
      <xdr:rowOff>143280</xdr:rowOff>
    </xdr:from>
    <xdr:to>
      <xdr:col>1</xdr:col>
      <xdr:colOff>1208880</xdr:colOff>
      <xdr:row>14</xdr:row>
      <xdr:rowOff>1316520</xdr:rowOff>
    </xdr:to>
    <xdr:pic>
      <xdr:nvPicPr>
        <xdr:cNvPr id="345" name="图片 21" descr="1"/>
        <xdr:cNvPicPr/>
      </xdr:nvPicPr>
      <xdr:blipFill>
        <a:blip r:embed="rId25"/>
        <a:stretch/>
      </xdr:blipFill>
      <xdr:spPr>
        <a:xfrm>
          <a:off x="4039920" y="11122560"/>
          <a:ext cx="1170720" cy="1173240"/>
        </a:xfrm>
        <a:prstGeom prst="rect">
          <a:avLst/>
        </a:prstGeom>
        <a:noFill/>
        <a:ln w="9525">
          <a:noFill/>
        </a:ln>
      </xdr:spPr>
    </xdr:pic>
    <xdr:clientData/>
  </xdr:twoCellAnchor>
  <xdr:twoCellAnchor editAs="oneCell">
    <xdr:from>
      <xdr:col>2</xdr:col>
      <xdr:colOff>38160</xdr:colOff>
      <xdr:row>14</xdr:row>
      <xdr:rowOff>144000</xdr:rowOff>
    </xdr:from>
    <xdr:to>
      <xdr:col>2</xdr:col>
      <xdr:colOff>1208880</xdr:colOff>
      <xdr:row>14</xdr:row>
      <xdr:rowOff>1315440</xdr:rowOff>
    </xdr:to>
    <xdr:pic>
      <xdr:nvPicPr>
        <xdr:cNvPr id="346" name="图片 22" descr="9"/>
        <xdr:cNvPicPr/>
      </xdr:nvPicPr>
      <xdr:blipFill>
        <a:blip r:embed="rId26"/>
        <a:stretch/>
      </xdr:blipFill>
      <xdr:spPr>
        <a:xfrm>
          <a:off x="5605920" y="11123280"/>
          <a:ext cx="1170720" cy="1171440"/>
        </a:xfrm>
        <a:prstGeom prst="rect">
          <a:avLst/>
        </a:prstGeom>
        <a:noFill/>
        <a:ln w="9525">
          <a:noFill/>
        </a:ln>
      </xdr:spPr>
    </xdr:pic>
    <xdr:clientData/>
  </xdr:twoCellAnchor>
  <xdr:twoCellAnchor editAs="oneCell">
    <xdr:from>
      <xdr:col>1</xdr:col>
      <xdr:colOff>38160</xdr:colOff>
      <xdr:row>15</xdr:row>
      <xdr:rowOff>143280</xdr:rowOff>
    </xdr:from>
    <xdr:to>
      <xdr:col>1</xdr:col>
      <xdr:colOff>1208880</xdr:colOff>
      <xdr:row>15</xdr:row>
      <xdr:rowOff>1316520</xdr:rowOff>
    </xdr:to>
    <xdr:pic>
      <xdr:nvPicPr>
        <xdr:cNvPr id="347" name="图片 25" descr="1"/>
        <xdr:cNvPicPr/>
      </xdr:nvPicPr>
      <xdr:blipFill>
        <a:blip r:embed="rId27"/>
        <a:stretch/>
      </xdr:blipFill>
      <xdr:spPr>
        <a:xfrm>
          <a:off x="4039920" y="12583080"/>
          <a:ext cx="1170720" cy="1173240"/>
        </a:xfrm>
        <a:prstGeom prst="rect">
          <a:avLst/>
        </a:prstGeom>
        <a:noFill/>
        <a:ln w="9525">
          <a:noFill/>
        </a:ln>
      </xdr:spPr>
    </xdr:pic>
    <xdr:clientData/>
  </xdr:twoCellAnchor>
  <xdr:twoCellAnchor editAs="oneCell">
    <xdr:from>
      <xdr:col>2</xdr:col>
      <xdr:colOff>38160</xdr:colOff>
      <xdr:row>15</xdr:row>
      <xdr:rowOff>144000</xdr:rowOff>
    </xdr:from>
    <xdr:to>
      <xdr:col>2</xdr:col>
      <xdr:colOff>1208880</xdr:colOff>
      <xdr:row>15</xdr:row>
      <xdr:rowOff>1315440</xdr:rowOff>
    </xdr:to>
    <xdr:pic>
      <xdr:nvPicPr>
        <xdr:cNvPr id="348" name="图片 26" descr="9"/>
        <xdr:cNvPicPr/>
      </xdr:nvPicPr>
      <xdr:blipFill>
        <a:blip r:embed="rId28"/>
        <a:stretch/>
      </xdr:blipFill>
      <xdr:spPr>
        <a:xfrm>
          <a:off x="5605920" y="12583800"/>
          <a:ext cx="1170720" cy="1171440"/>
        </a:xfrm>
        <a:prstGeom prst="rect">
          <a:avLst/>
        </a:prstGeom>
        <a:noFill/>
        <a:ln w="9525">
          <a:noFill/>
        </a:ln>
      </xdr:spPr>
    </xdr:pic>
    <xdr:clientData/>
  </xdr:twoCellAnchor>
  <xdr:twoCellAnchor editAs="oneCell">
    <xdr:from>
      <xdr:col>1</xdr:col>
      <xdr:colOff>38160</xdr:colOff>
      <xdr:row>4</xdr:row>
      <xdr:rowOff>143640</xdr:rowOff>
    </xdr:from>
    <xdr:to>
      <xdr:col>1</xdr:col>
      <xdr:colOff>1208880</xdr:colOff>
      <xdr:row>4</xdr:row>
      <xdr:rowOff>1316160</xdr:rowOff>
    </xdr:to>
    <xdr:pic>
      <xdr:nvPicPr>
        <xdr:cNvPr id="349" name="图片 1" descr="2"/>
        <xdr:cNvPicPr/>
      </xdr:nvPicPr>
      <xdr:blipFill>
        <a:blip r:embed="rId29"/>
        <a:stretch/>
      </xdr:blipFill>
      <xdr:spPr>
        <a:xfrm>
          <a:off x="4039920" y="1540800"/>
          <a:ext cx="1170720" cy="1172520"/>
        </a:xfrm>
        <a:prstGeom prst="rect">
          <a:avLst/>
        </a:prstGeom>
        <a:noFill/>
        <a:ln w="9525">
          <a:noFill/>
        </a:ln>
      </xdr:spPr>
    </xdr:pic>
    <xdr:clientData/>
  </xdr:twoCellAnchor>
  <xdr:twoCellAnchor editAs="oneCell">
    <xdr:from>
      <xdr:col>2</xdr:col>
      <xdr:colOff>38160</xdr:colOff>
      <xdr:row>4</xdr:row>
      <xdr:rowOff>144000</xdr:rowOff>
    </xdr:from>
    <xdr:to>
      <xdr:col>2</xdr:col>
      <xdr:colOff>1208880</xdr:colOff>
      <xdr:row>4</xdr:row>
      <xdr:rowOff>1315440</xdr:rowOff>
    </xdr:to>
    <xdr:pic>
      <xdr:nvPicPr>
        <xdr:cNvPr id="350" name="图片 2" descr="8"/>
        <xdr:cNvPicPr/>
      </xdr:nvPicPr>
      <xdr:blipFill>
        <a:blip r:embed="rId30"/>
        <a:stretch/>
      </xdr:blipFill>
      <xdr:spPr>
        <a:xfrm>
          <a:off x="5605920" y="1541160"/>
          <a:ext cx="1170720" cy="1171440"/>
        </a:xfrm>
        <a:prstGeom prst="rect">
          <a:avLst/>
        </a:prstGeom>
        <a:noFill/>
        <a:ln w="9525">
          <a:noFill/>
        </a:ln>
      </xdr:spPr>
    </xdr:pic>
    <xdr:clientData/>
  </xdr:twoCellAnchor>
  <xdr:twoCellAnchor editAs="oneCell">
    <xdr:from>
      <xdr:col>1</xdr:col>
      <xdr:colOff>38160</xdr:colOff>
      <xdr:row>5</xdr:row>
      <xdr:rowOff>143640</xdr:rowOff>
    </xdr:from>
    <xdr:to>
      <xdr:col>1</xdr:col>
      <xdr:colOff>1208880</xdr:colOff>
      <xdr:row>5</xdr:row>
      <xdr:rowOff>1316160</xdr:rowOff>
    </xdr:to>
    <xdr:pic>
      <xdr:nvPicPr>
        <xdr:cNvPr id="351" name="图片 14" descr="2"/>
        <xdr:cNvPicPr/>
      </xdr:nvPicPr>
      <xdr:blipFill>
        <a:blip r:embed="rId31"/>
        <a:stretch/>
      </xdr:blipFill>
      <xdr:spPr>
        <a:xfrm>
          <a:off x="4039920" y="3001320"/>
          <a:ext cx="1170720" cy="1172520"/>
        </a:xfrm>
        <a:prstGeom prst="rect">
          <a:avLst/>
        </a:prstGeom>
        <a:noFill/>
        <a:ln w="9525">
          <a:noFill/>
        </a:ln>
      </xdr:spPr>
    </xdr:pic>
    <xdr:clientData/>
  </xdr:twoCellAnchor>
  <xdr:twoCellAnchor editAs="oneCell">
    <xdr:from>
      <xdr:col>2</xdr:col>
      <xdr:colOff>38160</xdr:colOff>
      <xdr:row>5</xdr:row>
      <xdr:rowOff>144000</xdr:rowOff>
    </xdr:from>
    <xdr:to>
      <xdr:col>2</xdr:col>
      <xdr:colOff>1208880</xdr:colOff>
      <xdr:row>5</xdr:row>
      <xdr:rowOff>1315440</xdr:rowOff>
    </xdr:to>
    <xdr:pic>
      <xdr:nvPicPr>
        <xdr:cNvPr id="352" name="图片 15" descr="8"/>
        <xdr:cNvPicPr/>
      </xdr:nvPicPr>
      <xdr:blipFill>
        <a:blip r:embed="rId32"/>
        <a:stretch/>
      </xdr:blipFill>
      <xdr:spPr>
        <a:xfrm>
          <a:off x="5605920" y="3001680"/>
          <a:ext cx="1170720" cy="1171440"/>
        </a:xfrm>
        <a:prstGeom prst="rect">
          <a:avLst/>
        </a:prstGeom>
        <a:noFill/>
        <a:ln w="9525">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38160</xdr:colOff>
      <xdr:row>49</xdr:row>
      <xdr:rowOff>174960</xdr:rowOff>
    </xdr:from>
    <xdr:to>
      <xdr:col>1</xdr:col>
      <xdr:colOff>1208880</xdr:colOff>
      <xdr:row>50</xdr:row>
      <xdr:rowOff>586080</xdr:rowOff>
    </xdr:to>
    <xdr:pic>
      <xdr:nvPicPr>
        <xdr:cNvPr id="353" name="图片 159" descr="1"/>
        <xdr:cNvPicPr/>
      </xdr:nvPicPr>
      <xdr:blipFill>
        <a:blip r:embed="rId1"/>
        <a:stretch/>
      </xdr:blipFill>
      <xdr:spPr>
        <a:xfrm>
          <a:off x="4039920" y="55013400"/>
          <a:ext cx="1170720" cy="1173240"/>
        </a:xfrm>
        <a:prstGeom prst="rect">
          <a:avLst/>
        </a:prstGeom>
        <a:noFill/>
        <a:ln w="9525">
          <a:noFill/>
        </a:ln>
      </xdr:spPr>
    </xdr:pic>
    <xdr:clientData/>
  </xdr:twoCellAnchor>
  <xdr:twoCellAnchor editAs="oneCell">
    <xdr:from>
      <xdr:col>1</xdr:col>
      <xdr:colOff>38160</xdr:colOff>
      <xdr:row>45</xdr:row>
      <xdr:rowOff>176400</xdr:rowOff>
    </xdr:from>
    <xdr:to>
      <xdr:col>1</xdr:col>
      <xdr:colOff>1208880</xdr:colOff>
      <xdr:row>46</xdr:row>
      <xdr:rowOff>584640</xdr:rowOff>
    </xdr:to>
    <xdr:pic>
      <xdr:nvPicPr>
        <xdr:cNvPr id="354" name="图片 163" descr="1"/>
        <xdr:cNvPicPr/>
      </xdr:nvPicPr>
      <xdr:blipFill>
        <a:blip r:embed="rId2"/>
        <a:stretch/>
      </xdr:blipFill>
      <xdr:spPr>
        <a:xfrm>
          <a:off x="4039920" y="50569920"/>
          <a:ext cx="1170720" cy="1170360"/>
        </a:xfrm>
        <a:prstGeom prst="rect">
          <a:avLst/>
        </a:prstGeom>
        <a:noFill/>
        <a:ln w="9525">
          <a:noFill/>
        </a:ln>
      </xdr:spPr>
    </xdr:pic>
    <xdr:clientData/>
  </xdr:twoCellAnchor>
  <xdr:twoCellAnchor editAs="twoCell">
    <xdr:from>
      <xdr:col>0</xdr:col>
      <xdr:colOff>9360</xdr:colOff>
      <xdr:row>43</xdr:row>
      <xdr:rowOff>3240</xdr:rowOff>
    </xdr:from>
    <xdr:to>
      <xdr:col>0</xdr:col>
      <xdr:colOff>837360</xdr:colOff>
      <xdr:row>43</xdr:row>
      <xdr:rowOff>299880</xdr:rowOff>
    </xdr:to>
    <xdr:pic>
      <xdr:nvPicPr>
        <xdr:cNvPr id="355" name="图片 145" descr="快充"/>
        <xdr:cNvPicPr/>
      </xdr:nvPicPr>
      <xdr:blipFill>
        <a:blip r:embed="rId3"/>
        <a:stretch/>
      </xdr:blipFill>
      <xdr:spPr>
        <a:xfrm>
          <a:off x="9360" y="47475720"/>
          <a:ext cx="828000" cy="296640"/>
        </a:xfrm>
        <a:prstGeom prst="rect">
          <a:avLst/>
        </a:prstGeom>
        <a:noFill/>
        <a:ln w="9525">
          <a:noFill/>
        </a:ln>
      </xdr:spPr>
    </xdr:pic>
    <xdr:clientData/>
  </xdr:twoCellAnchor>
  <xdr:twoCellAnchor editAs="twoCell">
    <xdr:from>
      <xdr:col>0</xdr:col>
      <xdr:colOff>9360</xdr:colOff>
      <xdr:row>45</xdr:row>
      <xdr:rowOff>3240</xdr:rowOff>
    </xdr:from>
    <xdr:to>
      <xdr:col>0</xdr:col>
      <xdr:colOff>837360</xdr:colOff>
      <xdr:row>45</xdr:row>
      <xdr:rowOff>299880</xdr:rowOff>
    </xdr:to>
    <xdr:pic>
      <xdr:nvPicPr>
        <xdr:cNvPr id="356" name="图片 186" descr="快充"/>
        <xdr:cNvPicPr/>
      </xdr:nvPicPr>
      <xdr:blipFill>
        <a:blip r:embed="rId4"/>
        <a:stretch/>
      </xdr:blipFill>
      <xdr:spPr>
        <a:xfrm>
          <a:off x="9360" y="50396760"/>
          <a:ext cx="828000" cy="296640"/>
        </a:xfrm>
        <a:prstGeom prst="rect">
          <a:avLst/>
        </a:prstGeom>
        <a:noFill/>
        <a:ln w="9525">
          <a:noFill/>
        </a:ln>
      </xdr:spPr>
    </xdr:pic>
    <xdr:clientData/>
  </xdr:twoCellAnchor>
  <xdr:twoCellAnchor editAs="twoCell">
    <xdr:from>
      <xdr:col>0</xdr:col>
      <xdr:colOff>9360</xdr:colOff>
      <xdr:row>47</xdr:row>
      <xdr:rowOff>3240</xdr:rowOff>
    </xdr:from>
    <xdr:to>
      <xdr:col>0</xdr:col>
      <xdr:colOff>837360</xdr:colOff>
      <xdr:row>47</xdr:row>
      <xdr:rowOff>299880</xdr:rowOff>
    </xdr:to>
    <xdr:pic>
      <xdr:nvPicPr>
        <xdr:cNvPr id="357" name="图片 188" descr="快充"/>
        <xdr:cNvPicPr/>
      </xdr:nvPicPr>
      <xdr:blipFill>
        <a:blip r:embed="rId5"/>
        <a:stretch/>
      </xdr:blipFill>
      <xdr:spPr>
        <a:xfrm>
          <a:off x="9360" y="51921000"/>
          <a:ext cx="828000" cy="296640"/>
        </a:xfrm>
        <a:prstGeom prst="rect">
          <a:avLst/>
        </a:prstGeom>
        <a:noFill/>
        <a:ln w="9525">
          <a:noFill/>
        </a:ln>
      </xdr:spPr>
    </xdr:pic>
    <xdr:clientData/>
  </xdr:twoCellAnchor>
  <xdr:twoCellAnchor editAs="oneCell">
    <xdr:from>
      <xdr:col>1</xdr:col>
      <xdr:colOff>38160</xdr:colOff>
      <xdr:row>39</xdr:row>
      <xdr:rowOff>143640</xdr:rowOff>
    </xdr:from>
    <xdr:to>
      <xdr:col>1</xdr:col>
      <xdr:colOff>1208880</xdr:colOff>
      <xdr:row>39</xdr:row>
      <xdr:rowOff>1316160</xdr:rowOff>
    </xdr:to>
    <xdr:pic>
      <xdr:nvPicPr>
        <xdr:cNvPr id="358" name="图片 81" descr="2(4)"/>
        <xdr:cNvPicPr/>
      </xdr:nvPicPr>
      <xdr:blipFill>
        <a:blip r:embed="rId6"/>
        <a:stretch/>
      </xdr:blipFill>
      <xdr:spPr>
        <a:xfrm>
          <a:off x="4039920" y="41774400"/>
          <a:ext cx="1170720" cy="1172520"/>
        </a:xfrm>
        <a:prstGeom prst="rect">
          <a:avLst/>
        </a:prstGeom>
        <a:noFill/>
        <a:ln w="9525">
          <a:noFill/>
        </a:ln>
      </xdr:spPr>
    </xdr:pic>
    <xdr:clientData/>
  </xdr:twoCellAnchor>
  <xdr:twoCellAnchor editAs="oneCell">
    <xdr:from>
      <xdr:col>2</xdr:col>
      <xdr:colOff>38160</xdr:colOff>
      <xdr:row>39</xdr:row>
      <xdr:rowOff>146160</xdr:rowOff>
    </xdr:from>
    <xdr:to>
      <xdr:col>2</xdr:col>
      <xdr:colOff>1208880</xdr:colOff>
      <xdr:row>39</xdr:row>
      <xdr:rowOff>1313640</xdr:rowOff>
    </xdr:to>
    <xdr:pic>
      <xdr:nvPicPr>
        <xdr:cNvPr id="359" name="图片 84" descr="9(2)"/>
        <xdr:cNvPicPr/>
      </xdr:nvPicPr>
      <xdr:blipFill>
        <a:blip r:embed="rId7"/>
        <a:stretch/>
      </xdr:blipFill>
      <xdr:spPr>
        <a:xfrm>
          <a:off x="5605920" y="41776920"/>
          <a:ext cx="1170720" cy="1167480"/>
        </a:xfrm>
        <a:prstGeom prst="rect">
          <a:avLst/>
        </a:prstGeom>
        <a:noFill/>
        <a:ln w="9525">
          <a:noFill/>
        </a:ln>
      </xdr:spPr>
    </xdr:pic>
    <xdr:clientData/>
  </xdr:twoCellAnchor>
  <xdr:twoCellAnchor editAs="oneCell">
    <xdr:from>
      <xdr:col>1</xdr:col>
      <xdr:colOff>38160</xdr:colOff>
      <xdr:row>37</xdr:row>
      <xdr:rowOff>143640</xdr:rowOff>
    </xdr:from>
    <xdr:to>
      <xdr:col>1</xdr:col>
      <xdr:colOff>1208880</xdr:colOff>
      <xdr:row>37</xdr:row>
      <xdr:rowOff>1316160</xdr:rowOff>
    </xdr:to>
    <xdr:pic>
      <xdr:nvPicPr>
        <xdr:cNvPr id="360" name="图片 86" descr="2(2)"/>
        <xdr:cNvPicPr/>
      </xdr:nvPicPr>
      <xdr:blipFill>
        <a:blip r:embed="rId8"/>
        <a:stretch/>
      </xdr:blipFill>
      <xdr:spPr>
        <a:xfrm>
          <a:off x="4039920" y="38853360"/>
          <a:ext cx="1170720" cy="1172520"/>
        </a:xfrm>
        <a:prstGeom prst="rect">
          <a:avLst/>
        </a:prstGeom>
        <a:noFill/>
        <a:ln w="9525">
          <a:noFill/>
        </a:ln>
      </xdr:spPr>
    </xdr:pic>
    <xdr:clientData/>
  </xdr:twoCellAnchor>
  <xdr:twoCellAnchor editAs="oneCell">
    <xdr:from>
      <xdr:col>1</xdr:col>
      <xdr:colOff>38160</xdr:colOff>
      <xdr:row>38</xdr:row>
      <xdr:rowOff>145800</xdr:rowOff>
    </xdr:from>
    <xdr:to>
      <xdr:col>1</xdr:col>
      <xdr:colOff>1208880</xdr:colOff>
      <xdr:row>38</xdr:row>
      <xdr:rowOff>1313640</xdr:rowOff>
    </xdr:to>
    <xdr:pic>
      <xdr:nvPicPr>
        <xdr:cNvPr id="361" name="图片 88" descr="2(3)"/>
        <xdr:cNvPicPr/>
      </xdr:nvPicPr>
      <xdr:blipFill>
        <a:blip r:embed="rId9"/>
        <a:stretch/>
      </xdr:blipFill>
      <xdr:spPr>
        <a:xfrm>
          <a:off x="4039920" y="40316040"/>
          <a:ext cx="1170720" cy="1167840"/>
        </a:xfrm>
        <a:prstGeom prst="rect">
          <a:avLst/>
        </a:prstGeom>
        <a:noFill/>
        <a:ln w="9525">
          <a:noFill/>
        </a:ln>
      </xdr:spPr>
    </xdr:pic>
    <xdr:clientData/>
  </xdr:twoCellAnchor>
  <xdr:twoCellAnchor editAs="oneCell">
    <xdr:from>
      <xdr:col>2</xdr:col>
      <xdr:colOff>38160</xdr:colOff>
      <xdr:row>38</xdr:row>
      <xdr:rowOff>143640</xdr:rowOff>
    </xdr:from>
    <xdr:to>
      <xdr:col>2</xdr:col>
      <xdr:colOff>1208880</xdr:colOff>
      <xdr:row>38</xdr:row>
      <xdr:rowOff>1316160</xdr:rowOff>
    </xdr:to>
    <xdr:pic>
      <xdr:nvPicPr>
        <xdr:cNvPr id="362" name="图片 90" descr="9(1)"/>
        <xdr:cNvPicPr/>
      </xdr:nvPicPr>
      <xdr:blipFill>
        <a:blip r:embed="rId10"/>
        <a:stretch/>
      </xdr:blipFill>
      <xdr:spPr>
        <a:xfrm>
          <a:off x="5605920" y="40313880"/>
          <a:ext cx="1170720" cy="1172520"/>
        </a:xfrm>
        <a:prstGeom prst="rect">
          <a:avLst/>
        </a:prstGeom>
        <a:noFill/>
        <a:ln w="9525">
          <a:noFill/>
        </a:ln>
      </xdr:spPr>
    </xdr:pic>
    <xdr:clientData/>
  </xdr:twoCellAnchor>
  <xdr:twoCellAnchor editAs="oneCell">
    <xdr:from>
      <xdr:col>2</xdr:col>
      <xdr:colOff>38160</xdr:colOff>
      <xdr:row>37</xdr:row>
      <xdr:rowOff>143640</xdr:rowOff>
    </xdr:from>
    <xdr:to>
      <xdr:col>2</xdr:col>
      <xdr:colOff>1208880</xdr:colOff>
      <xdr:row>37</xdr:row>
      <xdr:rowOff>1316160</xdr:rowOff>
    </xdr:to>
    <xdr:pic>
      <xdr:nvPicPr>
        <xdr:cNvPr id="363" name="图片 91" descr="9"/>
        <xdr:cNvPicPr/>
      </xdr:nvPicPr>
      <xdr:blipFill>
        <a:blip r:embed="rId11"/>
        <a:stretch/>
      </xdr:blipFill>
      <xdr:spPr>
        <a:xfrm>
          <a:off x="5605920" y="38853360"/>
          <a:ext cx="1170720" cy="1172520"/>
        </a:xfrm>
        <a:prstGeom prst="rect">
          <a:avLst/>
        </a:prstGeom>
        <a:noFill/>
        <a:ln w="9525">
          <a:noFill/>
        </a:ln>
      </xdr:spPr>
    </xdr:pic>
    <xdr:clientData/>
  </xdr:twoCellAnchor>
  <xdr:twoCellAnchor editAs="twoCell">
    <xdr:from>
      <xdr:col>0</xdr:col>
      <xdr:colOff>9360</xdr:colOff>
      <xdr:row>39</xdr:row>
      <xdr:rowOff>5760</xdr:rowOff>
    </xdr:from>
    <xdr:to>
      <xdr:col>0</xdr:col>
      <xdr:colOff>837360</xdr:colOff>
      <xdr:row>39</xdr:row>
      <xdr:rowOff>297000</xdr:rowOff>
    </xdr:to>
    <xdr:pic>
      <xdr:nvPicPr>
        <xdr:cNvPr id="364" name="图片 96" descr="快充"/>
        <xdr:cNvPicPr/>
      </xdr:nvPicPr>
      <xdr:blipFill>
        <a:blip r:embed="rId12"/>
        <a:stretch/>
      </xdr:blipFill>
      <xdr:spPr>
        <a:xfrm>
          <a:off x="9360" y="41636520"/>
          <a:ext cx="828000" cy="291240"/>
        </a:xfrm>
        <a:prstGeom prst="rect">
          <a:avLst/>
        </a:prstGeom>
        <a:noFill/>
        <a:ln w="9525">
          <a:noFill/>
        </a:ln>
      </xdr:spPr>
    </xdr:pic>
    <xdr:clientData/>
  </xdr:twoCellAnchor>
  <xdr:twoCellAnchor editAs="twoCell">
    <xdr:from>
      <xdr:col>0</xdr:col>
      <xdr:colOff>9360</xdr:colOff>
      <xdr:row>38</xdr:row>
      <xdr:rowOff>5760</xdr:rowOff>
    </xdr:from>
    <xdr:to>
      <xdr:col>0</xdr:col>
      <xdr:colOff>837360</xdr:colOff>
      <xdr:row>38</xdr:row>
      <xdr:rowOff>297000</xdr:rowOff>
    </xdr:to>
    <xdr:pic>
      <xdr:nvPicPr>
        <xdr:cNvPr id="365" name="图片 98" descr="快充"/>
        <xdr:cNvPicPr/>
      </xdr:nvPicPr>
      <xdr:blipFill>
        <a:blip r:embed="rId13"/>
        <a:stretch/>
      </xdr:blipFill>
      <xdr:spPr>
        <a:xfrm>
          <a:off x="9360" y="40176000"/>
          <a:ext cx="828000" cy="291240"/>
        </a:xfrm>
        <a:prstGeom prst="rect">
          <a:avLst/>
        </a:prstGeom>
        <a:noFill/>
        <a:ln w="9525">
          <a:noFill/>
        </a:ln>
      </xdr:spPr>
    </xdr:pic>
    <xdr:clientData/>
  </xdr:twoCellAnchor>
  <xdr:twoCellAnchor editAs="twoCell">
    <xdr:from>
      <xdr:col>0</xdr:col>
      <xdr:colOff>9360</xdr:colOff>
      <xdr:row>37</xdr:row>
      <xdr:rowOff>5760</xdr:rowOff>
    </xdr:from>
    <xdr:to>
      <xdr:col>0</xdr:col>
      <xdr:colOff>837360</xdr:colOff>
      <xdr:row>37</xdr:row>
      <xdr:rowOff>297000</xdr:rowOff>
    </xdr:to>
    <xdr:pic>
      <xdr:nvPicPr>
        <xdr:cNvPr id="366" name="图片 104" descr="快充"/>
        <xdr:cNvPicPr/>
      </xdr:nvPicPr>
      <xdr:blipFill>
        <a:blip r:embed="rId14"/>
        <a:stretch/>
      </xdr:blipFill>
      <xdr:spPr>
        <a:xfrm>
          <a:off x="9360" y="38715480"/>
          <a:ext cx="828000" cy="291240"/>
        </a:xfrm>
        <a:prstGeom prst="rect">
          <a:avLst/>
        </a:prstGeom>
        <a:noFill/>
        <a:ln w="9525">
          <a:noFill/>
        </a:ln>
      </xdr:spPr>
    </xdr:pic>
    <xdr:clientData/>
  </xdr:twoCellAnchor>
  <xdr:twoCellAnchor editAs="twoCell">
    <xdr:from>
      <xdr:col>0</xdr:col>
      <xdr:colOff>9360</xdr:colOff>
      <xdr:row>44</xdr:row>
      <xdr:rowOff>5760</xdr:rowOff>
    </xdr:from>
    <xdr:to>
      <xdr:col>0</xdr:col>
      <xdr:colOff>837360</xdr:colOff>
      <xdr:row>44</xdr:row>
      <xdr:rowOff>297000</xdr:rowOff>
    </xdr:to>
    <xdr:pic>
      <xdr:nvPicPr>
        <xdr:cNvPr id="367" name="图片 113" descr="快充"/>
        <xdr:cNvPicPr/>
      </xdr:nvPicPr>
      <xdr:blipFill>
        <a:blip r:embed="rId15"/>
        <a:stretch/>
      </xdr:blipFill>
      <xdr:spPr>
        <a:xfrm>
          <a:off x="9360" y="48938760"/>
          <a:ext cx="828000" cy="291240"/>
        </a:xfrm>
        <a:prstGeom prst="rect">
          <a:avLst/>
        </a:prstGeom>
        <a:noFill/>
        <a:ln w="9525">
          <a:noFill/>
        </a:ln>
      </xdr:spPr>
    </xdr:pic>
    <xdr:clientData/>
  </xdr:twoCellAnchor>
  <xdr:twoCellAnchor editAs="twoCell">
    <xdr:from>
      <xdr:col>0</xdr:col>
      <xdr:colOff>9360</xdr:colOff>
      <xdr:row>48</xdr:row>
      <xdr:rowOff>5760</xdr:rowOff>
    </xdr:from>
    <xdr:to>
      <xdr:col>0</xdr:col>
      <xdr:colOff>837360</xdr:colOff>
      <xdr:row>48</xdr:row>
      <xdr:rowOff>297000</xdr:rowOff>
    </xdr:to>
    <xdr:pic>
      <xdr:nvPicPr>
        <xdr:cNvPr id="368" name="图片 119" descr="快充"/>
        <xdr:cNvPicPr/>
      </xdr:nvPicPr>
      <xdr:blipFill>
        <a:blip r:embed="rId16"/>
        <a:stretch/>
      </xdr:blipFill>
      <xdr:spPr>
        <a:xfrm>
          <a:off x="9360" y="53384040"/>
          <a:ext cx="828000" cy="291240"/>
        </a:xfrm>
        <a:prstGeom prst="rect">
          <a:avLst/>
        </a:prstGeom>
        <a:noFill/>
        <a:ln w="9525">
          <a:noFill/>
        </a:ln>
      </xdr:spPr>
    </xdr:pic>
    <xdr:clientData/>
  </xdr:twoCellAnchor>
  <xdr:twoCellAnchor editAs="oneCell">
    <xdr:from>
      <xdr:col>1</xdr:col>
      <xdr:colOff>38160</xdr:colOff>
      <xdr:row>36</xdr:row>
      <xdr:rowOff>140760</xdr:rowOff>
    </xdr:from>
    <xdr:to>
      <xdr:col>1</xdr:col>
      <xdr:colOff>1208880</xdr:colOff>
      <xdr:row>36</xdr:row>
      <xdr:rowOff>1319040</xdr:rowOff>
    </xdr:to>
    <xdr:pic>
      <xdr:nvPicPr>
        <xdr:cNvPr id="369" name="图片 45" descr="1(1)"/>
        <xdr:cNvPicPr/>
      </xdr:nvPicPr>
      <xdr:blipFill>
        <a:blip r:embed="rId17"/>
        <a:stretch/>
      </xdr:blipFill>
      <xdr:spPr>
        <a:xfrm>
          <a:off x="4039920" y="37389960"/>
          <a:ext cx="1170720" cy="1178280"/>
        </a:xfrm>
        <a:prstGeom prst="rect">
          <a:avLst/>
        </a:prstGeom>
        <a:noFill/>
        <a:ln w="9525">
          <a:noFill/>
        </a:ln>
      </xdr:spPr>
    </xdr:pic>
    <xdr:clientData/>
  </xdr:twoCellAnchor>
  <xdr:twoCellAnchor editAs="oneCell">
    <xdr:from>
      <xdr:col>1</xdr:col>
      <xdr:colOff>38160</xdr:colOff>
      <xdr:row>35</xdr:row>
      <xdr:rowOff>145800</xdr:rowOff>
    </xdr:from>
    <xdr:to>
      <xdr:col>1</xdr:col>
      <xdr:colOff>1208880</xdr:colOff>
      <xdr:row>35</xdr:row>
      <xdr:rowOff>1313640</xdr:rowOff>
    </xdr:to>
    <xdr:pic>
      <xdr:nvPicPr>
        <xdr:cNvPr id="370" name="图片 46" descr="1"/>
        <xdr:cNvPicPr/>
      </xdr:nvPicPr>
      <xdr:blipFill>
        <a:blip r:embed="rId18"/>
        <a:stretch/>
      </xdr:blipFill>
      <xdr:spPr>
        <a:xfrm>
          <a:off x="4039920" y="35934480"/>
          <a:ext cx="1170720" cy="1167840"/>
        </a:xfrm>
        <a:prstGeom prst="rect">
          <a:avLst/>
        </a:prstGeom>
        <a:noFill/>
        <a:ln w="9525">
          <a:noFill/>
        </a:ln>
      </xdr:spPr>
    </xdr:pic>
    <xdr:clientData/>
  </xdr:twoCellAnchor>
  <xdr:twoCellAnchor editAs="oneCell">
    <xdr:from>
      <xdr:col>2</xdr:col>
      <xdr:colOff>38160</xdr:colOff>
      <xdr:row>36</xdr:row>
      <xdr:rowOff>144000</xdr:rowOff>
    </xdr:from>
    <xdr:to>
      <xdr:col>2</xdr:col>
      <xdr:colOff>1208880</xdr:colOff>
      <xdr:row>36</xdr:row>
      <xdr:rowOff>1315440</xdr:rowOff>
    </xdr:to>
    <xdr:pic>
      <xdr:nvPicPr>
        <xdr:cNvPr id="371" name="图片 47" descr="8(1)"/>
        <xdr:cNvPicPr/>
      </xdr:nvPicPr>
      <xdr:blipFill>
        <a:blip r:embed="rId19"/>
        <a:stretch/>
      </xdr:blipFill>
      <xdr:spPr>
        <a:xfrm>
          <a:off x="5605920" y="37393200"/>
          <a:ext cx="1170720" cy="1171440"/>
        </a:xfrm>
        <a:prstGeom prst="rect">
          <a:avLst/>
        </a:prstGeom>
        <a:noFill/>
        <a:ln w="9525">
          <a:noFill/>
        </a:ln>
      </xdr:spPr>
    </xdr:pic>
    <xdr:clientData/>
  </xdr:twoCellAnchor>
  <xdr:twoCellAnchor editAs="oneCell">
    <xdr:from>
      <xdr:col>2</xdr:col>
      <xdr:colOff>38160</xdr:colOff>
      <xdr:row>35</xdr:row>
      <xdr:rowOff>143280</xdr:rowOff>
    </xdr:from>
    <xdr:to>
      <xdr:col>2</xdr:col>
      <xdr:colOff>1208880</xdr:colOff>
      <xdr:row>35</xdr:row>
      <xdr:rowOff>1316520</xdr:rowOff>
    </xdr:to>
    <xdr:pic>
      <xdr:nvPicPr>
        <xdr:cNvPr id="372" name="图片 68" descr="8"/>
        <xdr:cNvPicPr/>
      </xdr:nvPicPr>
      <xdr:blipFill>
        <a:blip r:embed="rId20"/>
        <a:stretch/>
      </xdr:blipFill>
      <xdr:spPr>
        <a:xfrm>
          <a:off x="5605920" y="35931960"/>
          <a:ext cx="1170720" cy="1173240"/>
        </a:xfrm>
        <a:prstGeom prst="rect">
          <a:avLst/>
        </a:prstGeom>
        <a:noFill/>
        <a:ln w="9525">
          <a:noFill/>
        </a:ln>
      </xdr:spPr>
    </xdr:pic>
    <xdr:clientData/>
  </xdr:twoCellAnchor>
  <xdr:twoCellAnchor editAs="oneCell">
    <xdr:from>
      <xdr:col>2</xdr:col>
      <xdr:colOff>38160</xdr:colOff>
      <xdr:row>45</xdr:row>
      <xdr:rowOff>173160</xdr:rowOff>
    </xdr:from>
    <xdr:to>
      <xdr:col>2</xdr:col>
      <xdr:colOff>1208880</xdr:colOff>
      <xdr:row>46</xdr:row>
      <xdr:rowOff>587520</xdr:rowOff>
    </xdr:to>
    <xdr:pic>
      <xdr:nvPicPr>
        <xdr:cNvPr id="373" name="图片 124" descr="11"/>
        <xdr:cNvPicPr/>
      </xdr:nvPicPr>
      <xdr:blipFill>
        <a:blip r:embed="rId21"/>
        <a:stretch/>
      </xdr:blipFill>
      <xdr:spPr>
        <a:xfrm>
          <a:off x="5605920" y="50566680"/>
          <a:ext cx="1170720" cy="1176480"/>
        </a:xfrm>
        <a:prstGeom prst="rect">
          <a:avLst/>
        </a:prstGeom>
        <a:noFill/>
        <a:ln w="9525">
          <a:noFill/>
        </a:ln>
      </xdr:spPr>
    </xdr:pic>
    <xdr:clientData/>
  </xdr:twoCellAnchor>
  <xdr:twoCellAnchor editAs="oneCell">
    <xdr:from>
      <xdr:col>2</xdr:col>
      <xdr:colOff>38160</xdr:colOff>
      <xdr:row>49</xdr:row>
      <xdr:rowOff>175320</xdr:rowOff>
    </xdr:from>
    <xdr:to>
      <xdr:col>2</xdr:col>
      <xdr:colOff>1208880</xdr:colOff>
      <xdr:row>50</xdr:row>
      <xdr:rowOff>585720</xdr:rowOff>
    </xdr:to>
    <xdr:pic>
      <xdr:nvPicPr>
        <xdr:cNvPr id="374" name="图片 132" descr="11"/>
        <xdr:cNvPicPr/>
      </xdr:nvPicPr>
      <xdr:blipFill>
        <a:blip r:embed="rId22"/>
        <a:stretch/>
      </xdr:blipFill>
      <xdr:spPr>
        <a:xfrm>
          <a:off x="5605920" y="55013760"/>
          <a:ext cx="1170720" cy="1172520"/>
        </a:xfrm>
        <a:prstGeom prst="rect">
          <a:avLst/>
        </a:prstGeom>
        <a:noFill/>
        <a:ln w="9525">
          <a:noFill/>
        </a:ln>
      </xdr:spPr>
    </xdr:pic>
    <xdr:clientData/>
  </xdr:twoCellAnchor>
  <xdr:twoCellAnchor editAs="oneCell">
    <xdr:from>
      <xdr:col>2</xdr:col>
      <xdr:colOff>38160</xdr:colOff>
      <xdr:row>48</xdr:row>
      <xdr:rowOff>143280</xdr:rowOff>
    </xdr:from>
    <xdr:to>
      <xdr:col>2</xdr:col>
      <xdr:colOff>1208880</xdr:colOff>
      <xdr:row>48</xdr:row>
      <xdr:rowOff>1316520</xdr:rowOff>
    </xdr:to>
    <xdr:pic>
      <xdr:nvPicPr>
        <xdr:cNvPr id="375" name="图片 10" descr="10"/>
        <xdr:cNvPicPr/>
      </xdr:nvPicPr>
      <xdr:blipFill>
        <a:blip r:embed="rId23"/>
        <a:stretch/>
      </xdr:blipFill>
      <xdr:spPr>
        <a:xfrm>
          <a:off x="5605920" y="53521560"/>
          <a:ext cx="1170720" cy="1173240"/>
        </a:xfrm>
        <a:prstGeom prst="rect">
          <a:avLst/>
        </a:prstGeom>
        <a:noFill/>
        <a:ln w="9525">
          <a:noFill/>
        </a:ln>
      </xdr:spPr>
    </xdr:pic>
    <xdr:clientData/>
  </xdr:twoCellAnchor>
  <xdr:twoCellAnchor editAs="oneCell">
    <xdr:from>
      <xdr:col>1</xdr:col>
      <xdr:colOff>38160</xdr:colOff>
      <xdr:row>48</xdr:row>
      <xdr:rowOff>143280</xdr:rowOff>
    </xdr:from>
    <xdr:to>
      <xdr:col>1</xdr:col>
      <xdr:colOff>1208880</xdr:colOff>
      <xdr:row>48</xdr:row>
      <xdr:rowOff>1316520</xdr:rowOff>
    </xdr:to>
    <xdr:pic>
      <xdr:nvPicPr>
        <xdr:cNvPr id="376" name="图片 11" descr="3"/>
        <xdr:cNvPicPr/>
      </xdr:nvPicPr>
      <xdr:blipFill>
        <a:blip r:embed="rId24"/>
        <a:stretch/>
      </xdr:blipFill>
      <xdr:spPr>
        <a:xfrm>
          <a:off x="4039920" y="53521560"/>
          <a:ext cx="1170720" cy="1173240"/>
        </a:xfrm>
        <a:prstGeom prst="rect">
          <a:avLst/>
        </a:prstGeom>
        <a:noFill/>
        <a:ln w="9525">
          <a:noFill/>
        </a:ln>
      </xdr:spPr>
    </xdr:pic>
    <xdr:clientData/>
  </xdr:twoCellAnchor>
  <xdr:twoCellAnchor editAs="oneCell">
    <xdr:from>
      <xdr:col>1</xdr:col>
      <xdr:colOff>38160</xdr:colOff>
      <xdr:row>40</xdr:row>
      <xdr:rowOff>143280</xdr:rowOff>
    </xdr:from>
    <xdr:to>
      <xdr:col>1</xdr:col>
      <xdr:colOff>1208880</xdr:colOff>
      <xdr:row>40</xdr:row>
      <xdr:rowOff>1316520</xdr:rowOff>
    </xdr:to>
    <xdr:pic>
      <xdr:nvPicPr>
        <xdr:cNvPr id="377" name="图片 32" descr="1"/>
        <xdr:cNvPicPr/>
      </xdr:nvPicPr>
      <xdr:blipFill>
        <a:blip r:embed="rId25"/>
        <a:stretch/>
      </xdr:blipFill>
      <xdr:spPr>
        <a:xfrm>
          <a:off x="4039920" y="43234560"/>
          <a:ext cx="1170720" cy="1173240"/>
        </a:xfrm>
        <a:prstGeom prst="rect">
          <a:avLst/>
        </a:prstGeom>
        <a:noFill/>
        <a:ln w="9525">
          <a:noFill/>
        </a:ln>
      </xdr:spPr>
    </xdr:pic>
    <xdr:clientData/>
  </xdr:twoCellAnchor>
  <xdr:twoCellAnchor editAs="oneCell">
    <xdr:from>
      <xdr:col>1</xdr:col>
      <xdr:colOff>38160</xdr:colOff>
      <xdr:row>41</xdr:row>
      <xdr:rowOff>143280</xdr:rowOff>
    </xdr:from>
    <xdr:to>
      <xdr:col>1</xdr:col>
      <xdr:colOff>1208880</xdr:colOff>
      <xdr:row>41</xdr:row>
      <xdr:rowOff>1316520</xdr:rowOff>
    </xdr:to>
    <xdr:pic>
      <xdr:nvPicPr>
        <xdr:cNvPr id="378" name="图片 33" descr="3"/>
        <xdr:cNvPicPr/>
      </xdr:nvPicPr>
      <xdr:blipFill>
        <a:blip r:embed="rId26"/>
        <a:stretch/>
      </xdr:blipFill>
      <xdr:spPr>
        <a:xfrm>
          <a:off x="4039920" y="44694720"/>
          <a:ext cx="1170720" cy="1173240"/>
        </a:xfrm>
        <a:prstGeom prst="rect">
          <a:avLst/>
        </a:prstGeom>
        <a:noFill/>
        <a:ln w="9525">
          <a:noFill/>
        </a:ln>
      </xdr:spPr>
    </xdr:pic>
    <xdr:clientData/>
  </xdr:twoCellAnchor>
  <xdr:twoCellAnchor editAs="oneCell">
    <xdr:from>
      <xdr:col>2</xdr:col>
      <xdr:colOff>38160</xdr:colOff>
      <xdr:row>40</xdr:row>
      <xdr:rowOff>143280</xdr:rowOff>
    </xdr:from>
    <xdr:to>
      <xdr:col>2</xdr:col>
      <xdr:colOff>1208880</xdr:colOff>
      <xdr:row>40</xdr:row>
      <xdr:rowOff>1316520</xdr:rowOff>
    </xdr:to>
    <xdr:pic>
      <xdr:nvPicPr>
        <xdr:cNvPr id="379" name="图片 34" descr="2"/>
        <xdr:cNvPicPr/>
      </xdr:nvPicPr>
      <xdr:blipFill>
        <a:blip r:embed="rId27"/>
        <a:stretch/>
      </xdr:blipFill>
      <xdr:spPr>
        <a:xfrm>
          <a:off x="5605920" y="43234560"/>
          <a:ext cx="1170720" cy="1173240"/>
        </a:xfrm>
        <a:prstGeom prst="rect">
          <a:avLst/>
        </a:prstGeom>
        <a:noFill/>
        <a:ln w="9525">
          <a:noFill/>
        </a:ln>
      </xdr:spPr>
    </xdr:pic>
    <xdr:clientData/>
  </xdr:twoCellAnchor>
  <xdr:twoCellAnchor editAs="oneCell">
    <xdr:from>
      <xdr:col>2</xdr:col>
      <xdr:colOff>38160</xdr:colOff>
      <xdr:row>41</xdr:row>
      <xdr:rowOff>143280</xdr:rowOff>
    </xdr:from>
    <xdr:to>
      <xdr:col>2</xdr:col>
      <xdr:colOff>1208880</xdr:colOff>
      <xdr:row>41</xdr:row>
      <xdr:rowOff>1316520</xdr:rowOff>
    </xdr:to>
    <xdr:pic>
      <xdr:nvPicPr>
        <xdr:cNvPr id="380" name="图片 40" descr="4"/>
        <xdr:cNvPicPr/>
      </xdr:nvPicPr>
      <xdr:blipFill>
        <a:blip r:embed="rId28"/>
        <a:stretch/>
      </xdr:blipFill>
      <xdr:spPr>
        <a:xfrm>
          <a:off x="5605920" y="44694720"/>
          <a:ext cx="1170720" cy="1173240"/>
        </a:xfrm>
        <a:prstGeom prst="rect">
          <a:avLst/>
        </a:prstGeom>
        <a:noFill/>
        <a:ln w="9525">
          <a:noFill/>
        </a:ln>
      </xdr:spPr>
    </xdr:pic>
    <xdr:clientData/>
  </xdr:twoCellAnchor>
  <xdr:twoCellAnchor editAs="oneCell">
    <xdr:from>
      <xdr:col>1</xdr:col>
      <xdr:colOff>38160</xdr:colOff>
      <xdr:row>42</xdr:row>
      <xdr:rowOff>143280</xdr:rowOff>
    </xdr:from>
    <xdr:to>
      <xdr:col>1</xdr:col>
      <xdr:colOff>1208880</xdr:colOff>
      <xdr:row>42</xdr:row>
      <xdr:rowOff>1316520</xdr:rowOff>
    </xdr:to>
    <xdr:pic>
      <xdr:nvPicPr>
        <xdr:cNvPr id="381" name="图片 41" descr="5"/>
        <xdr:cNvPicPr/>
      </xdr:nvPicPr>
      <xdr:blipFill>
        <a:blip r:embed="rId29"/>
        <a:stretch/>
      </xdr:blipFill>
      <xdr:spPr>
        <a:xfrm>
          <a:off x="4039920" y="46155240"/>
          <a:ext cx="1170720" cy="1173240"/>
        </a:xfrm>
        <a:prstGeom prst="rect">
          <a:avLst/>
        </a:prstGeom>
        <a:noFill/>
        <a:ln w="9525">
          <a:noFill/>
        </a:ln>
      </xdr:spPr>
    </xdr:pic>
    <xdr:clientData/>
  </xdr:twoCellAnchor>
  <xdr:twoCellAnchor editAs="oneCell">
    <xdr:from>
      <xdr:col>2</xdr:col>
      <xdr:colOff>38160</xdr:colOff>
      <xdr:row>42</xdr:row>
      <xdr:rowOff>143280</xdr:rowOff>
    </xdr:from>
    <xdr:to>
      <xdr:col>2</xdr:col>
      <xdr:colOff>1208880</xdr:colOff>
      <xdr:row>42</xdr:row>
      <xdr:rowOff>1316520</xdr:rowOff>
    </xdr:to>
    <xdr:pic>
      <xdr:nvPicPr>
        <xdr:cNvPr id="382" name="图片 42" descr="6"/>
        <xdr:cNvPicPr/>
      </xdr:nvPicPr>
      <xdr:blipFill>
        <a:blip r:embed="rId30"/>
        <a:stretch/>
      </xdr:blipFill>
      <xdr:spPr>
        <a:xfrm>
          <a:off x="5605920" y="46155240"/>
          <a:ext cx="1170720" cy="1173240"/>
        </a:xfrm>
        <a:prstGeom prst="rect">
          <a:avLst/>
        </a:prstGeom>
        <a:noFill/>
        <a:ln w="9525">
          <a:noFill/>
        </a:ln>
      </xdr:spPr>
    </xdr:pic>
    <xdr:clientData/>
  </xdr:twoCellAnchor>
  <xdr:twoCellAnchor editAs="twoCell">
    <xdr:from>
      <xdr:col>0</xdr:col>
      <xdr:colOff>9360</xdr:colOff>
      <xdr:row>40</xdr:row>
      <xdr:rowOff>12240</xdr:rowOff>
    </xdr:from>
    <xdr:to>
      <xdr:col>0</xdr:col>
      <xdr:colOff>837360</xdr:colOff>
      <xdr:row>40</xdr:row>
      <xdr:rowOff>309240</xdr:rowOff>
    </xdr:to>
    <xdr:pic>
      <xdr:nvPicPr>
        <xdr:cNvPr id="383" name="图片 56" descr="快充"/>
        <xdr:cNvPicPr/>
      </xdr:nvPicPr>
      <xdr:blipFill>
        <a:blip r:embed="rId31"/>
        <a:stretch/>
      </xdr:blipFill>
      <xdr:spPr>
        <a:xfrm>
          <a:off x="9360" y="43103520"/>
          <a:ext cx="828000" cy="297000"/>
        </a:xfrm>
        <a:prstGeom prst="rect">
          <a:avLst/>
        </a:prstGeom>
        <a:noFill/>
        <a:ln w="9525">
          <a:noFill/>
        </a:ln>
      </xdr:spPr>
    </xdr:pic>
    <xdr:clientData/>
  </xdr:twoCellAnchor>
  <xdr:twoCellAnchor editAs="twoCell">
    <xdr:from>
      <xdr:col>0</xdr:col>
      <xdr:colOff>9360</xdr:colOff>
      <xdr:row>41</xdr:row>
      <xdr:rowOff>12240</xdr:rowOff>
    </xdr:from>
    <xdr:to>
      <xdr:col>0</xdr:col>
      <xdr:colOff>837360</xdr:colOff>
      <xdr:row>41</xdr:row>
      <xdr:rowOff>309240</xdr:rowOff>
    </xdr:to>
    <xdr:pic>
      <xdr:nvPicPr>
        <xdr:cNvPr id="384" name="图片 60" descr="快充"/>
        <xdr:cNvPicPr/>
      </xdr:nvPicPr>
      <xdr:blipFill>
        <a:blip r:embed="rId32"/>
        <a:stretch/>
      </xdr:blipFill>
      <xdr:spPr>
        <a:xfrm>
          <a:off x="9360" y="44563680"/>
          <a:ext cx="828000" cy="297000"/>
        </a:xfrm>
        <a:prstGeom prst="rect">
          <a:avLst/>
        </a:prstGeom>
        <a:noFill/>
        <a:ln w="9525">
          <a:noFill/>
        </a:ln>
      </xdr:spPr>
    </xdr:pic>
    <xdr:clientData/>
  </xdr:twoCellAnchor>
  <xdr:twoCellAnchor editAs="twoCell">
    <xdr:from>
      <xdr:col>0</xdr:col>
      <xdr:colOff>9360</xdr:colOff>
      <xdr:row>42</xdr:row>
      <xdr:rowOff>12240</xdr:rowOff>
    </xdr:from>
    <xdr:to>
      <xdr:col>0</xdr:col>
      <xdr:colOff>837360</xdr:colOff>
      <xdr:row>42</xdr:row>
      <xdr:rowOff>309240</xdr:rowOff>
    </xdr:to>
    <xdr:pic>
      <xdr:nvPicPr>
        <xdr:cNvPr id="385" name="图片 66" descr="快充"/>
        <xdr:cNvPicPr/>
      </xdr:nvPicPr>
      <xdr:blipFill>
        <a:blip r:embed="rId33"/>
        <a:stretch/>
      </xdr:blipFill>
      <xdr:spPr>
        <a:xfrm>
          <a:off x="9360" y="46024200"/>
          <a:ext cx="828000" cy="297000"/>
        </a:xfrm>
        <a:prstGeom prst="rect">
          <a:avLst/>
        </a:prstGeom>
        <a:noFill/>
        <a:ln w="9525">
          <a:noFill/>
        </a:ln>
      </xdr:spPr>
    </xdr:pic>
    <xdr:clientData/>
  </xdr:twoCellAnchor>
  <xdr:twoCellAnchor editAs="oneCell">
    <xdr:from>
      <xdr:col>1</xdr:col>
      <xdr:colOff>38160</xdr:colOff>
      <xdr:row>27</xdr:row>
      <xdr:rowOff>175320</xdr:rowOff>
    </xdr:from>
    <xdr:to>
      <xdr:col>1</xdr:col>
      <xdr:colOff>1208880</xdr:colOff>
      <xdr:row>28</xdr:row>
      <xdr:rowOff>585720</xdr:rowOff>
    </xdr:to>
    <xdr:pic>
      <xdr:nvPicPr>
        <xdr:cNvPr id="386" name="图片 22" descr="2(1)"/>
        <xdr:cNvPicPr/>
      </xdr:nvPicPr>
      <xdr:blipFill>
        <a:blip r:embed="rId34"/>
        <a:stretch/>
      </xdr:blipFill>
      <xdr:spPr>
        <a:xfrm>
          <a:off x="4039920" y="28470960"/>
          <a:ext cx="1170720" cy="1172520"/>
        </a:xfrm>
        <a:prstGeom prst="rect">
          <a:avLst/>
        </a:prstGeom>
        <a:noFill/>
        <a:ln w="9525">
          <a:noFill/>
        </a:ln>
      </xdr:spPr>
    </xdr:pic>
    <xdr:clientData/>
  </xdr:twoCellAnchor>
  <xdr:twoCellAnchor editAs="oneCell">
    <xdr:from>
      <xdr:col>1</xdr:col>
      <xdr:colOff>38160</xdr:colOff>
      <xdr:row>29</xdr:row>
      <xdr:rowOff>140400</xdr:rowOff>
    </xdr:from>
    <xdr:to>
      <xdr:col>1</xdr:col>
      <xdr:colOff>1208880</xdr:colOff>
      <xdr:row>29</xdr:row>
      <xdr:rowOff>1319400</xdr:rowOff>
    </xdr:to>
    <xdr:pic>
      <xdr:nvPicPr>
        <xdr:cNvPr id="387" name="图片 27" descr="2(2)"/>
        <xdr:cNvPicPr/>
      </xdr:nvPicPr>
      <xdr:blipFill>
        <a:blip r:embed="rId35"/>
        <a:stretch/>
      </xdr:blipFill>
      <xdr:spPr>
        <a:xfrm>
          <a:off x="4039920" y="29959920"/>
          <a:ext cx="1170720" cy="1179000"/>
        </a:xfrm>
        <a:prstGeom prst="rect">
          <a:avLst/>
        </a:prstGeom>
        <a:noFill/>
        <a:ln w="9525">
          <a:noFill/>
        </a:ln>
      </xdr:spPr>
    </xdr:pic>
    <xdr:clientData/>
  </xdr:twoCellAnchor>
  <xdr:twoCellAnchor editAs="oneCell">
    <xdr:from>
      <xdr:col>1</xdr:col>
      <xdr:colOff>38160</xdr:colOff>
      <xdr:row>30</xdr:row>
      <xdr:rowOff>144000</xdr:rowOff>
    </xdr:from>
    <xdr:to>
      <xdr:col>1</xdr:col>
      <xdr:colOff>1208880</xdr:colOff>
      <xdr:row>30</xdr:row>
      <xdr:rowOff>1316160</xdr:rowOff>
    </xdr:to>
    <xdr:pic>
      <xdr:nvPicPr>
        <xdr:cNvPr id="388" name="图片 44" descr="2(3)"/>
        <xdr:cNvPicPr/>
      </xdr:nvPicPr>
      <xdr:blipFill>
        <a:blip r:embed="rId36"/>
        <a:stretch/>
      </xdr:blipFill>
      <xdr:spPr>
        <a:xfrm>
          <a:off x="4039920" y="31424040"/>
          <a:ext cx="1170720" cy="1172160"/>
        </a:xfrm>
        <a:prstGeom prst="rect">
          <a:avLst/>
        </a:prstGeom>
        <a:noFill/>
        <a:ln w="9525">
          <a:noFill/>
        </a:ln>
      </xdr:spPr>
    </xdr:pic>
    <xdr:clientData/>
  </xdr:twoCellAnchor>
  <xdr:twoCellAnchor editAs="oneCell">
    <xdr:from>
      <xdr:col>1</xdr:col>
      <xdr:colOff>38160</xdr:colOff>
      <xdr:row>25</xdr:row>
      <xdr:rowOff>174960</xdr:rowOff>
    </xdr:from>
    <xdr:to>
      <xdr:col>1</xdr:col>
      <xdr:colOff>1208880</xdr:colOff>
      <xdr:row>26</xdr:row>
      <xdr:rowOff>586440</xdr:rowOff>
    </xdr:to>
    <xdr:pic>
      <xdr:nvPicPr>
        <xdr:cNvPr id="389" name="图片 59" descr="2"/>
        <xdr:cNvPicPr/>
      </xdr:nvPicPr>
      <xdr:blipFill>
        <a:blip r:embed="rId37"/>
        <a:stretch/>
      </xdr:blipFill>
      <xdr:spPr>
        <a:xfrm>
          <a:off x="4039920" y="26946720"/>
          <a:ext cx="1170720" cy="1173240"/>
        </a:xfrm>
        <a:prstGeom prst="rect">
          <a:avLst/>
        </a:prstGeom>
        <a:noFill/>
        <a:ln w="9525">
          <a:noFill/>
        </a:ln>
      </xdr:spPr>
    </xdr:pic>
    <xdr:clientData/>
  </xdr:twoCellAnchor>
  <xdr:twoCellAnchor editAs="oneCell">
    <xdr:from>
      <xdr:col>1</xdr:col>
      <xdr:colOff>38160</xdr:colOff>
      <xdr:row>21</xdr:row>
      <xdr:rowOff>173520</xdr:rowOff>
    </xdr:from>
    <xdr:to>
      <xdr:col>1</xdr:col>
      <xdr:colOff>1208880</xdr:colOff>
      <xdr:row>22</xdr:row>
      <xdr:rowOff>587880</xdr:rowOff>
    </xdr:to>
    <xdr:pic>
      <xdr:nvPicPr>
        <xdr:cNvPr id="390" name="图片 61" descr="3(1)"/>
        <xdr:cNvPicPr/>
      </xdr:nvPicPr>
      <xdr:blipFill>
        <a:blip r:embed="rId38"/>
        <a:stretch/>
      </xdr:blipFill>
      <xdr:spPr>
        <a:xfrm>
          <a:off x="4039920" y="22500000"/>
          <a:ext cx="1170720" cy="1176480"/>
        </a:xfrm>
        <a:prstGeom prst="rect">
          <a:avLst/>
        </a:prstGeom>
        <a:noFill/>
        <a:ln w="9525">
          <a:noFill/>
        </a:ln>
      </xdr:spPr>
    </xdr:pic>
    <xdr:clientData/>
  </xdr:twoCellAnchor>
  <xdr:twoCellAnchor editAs="oneCell">
    <xdr:from>
      <xdr:col>1</xdr:col>
      <xdr:colOff>38160</xdr:colOff>
      <xdr:row>31</xdr:row>
      <xdr:rowOff>174600</xdr:rowOff>
    </xdr:from>
    <xdr:to>
      <xdr:col>1</xdr:col>
      <xdr:colOff>1208880</xdr:colOff>
      <xdr:row>32</xdr:row>
      <xdr:rowOff>586800</xdr:rowOff>
    </xdr:to>
    <xdr:pic>
      <xdr:nvPicPr>
        <xdr:cNvPr id="391" name="图片 73" descr="3(4)"/>
        <xdr:cNvPicPr/>
      </xdr:nvPicPr>
      <xdr:blipFill>
        <a:blip r:embed="rId39"/>
        <a:stretch/>
      </xdr:blipFill>
      <xdr:spPr>
        <a:xfrm>
          <a:off x="4039920" y="32915160"/>
          <a:ext cx="1170720" cy="1174320"/>
        </a:xfrm>
        <a:prstGeom prst="rect">
          <a:avLst/>
        </a:prstGeom>
        <a:noFill/>
        <a:ln w="9525">
          <a:noFill/>
        </a:ln>
      </xdr:spPr>
    </xdr:pic>
    <xdr:clientData/>
  </xdr:twoCellAnchor>
  <xdr:twoCellAnchor editAs="oneCell">
    <xdr:from>
      <xdr:col>1</xdr:col>
      <xdr:colOff>38160</xdr:colOff>
      <xdr:row>33</xdr:row>
      <xdr:rowOff>174600</xdr:rowOff>
    </xdr:from>
    <xdr:to>
      <xdr:col>1</xdr:col>
      <xdr:colOff>1208880</xdr:colOff>
      <xdr:row>34</xdr:row>
      <xdr:rowOff>586800</xdr:rowOff>
    </xdr:to>
    <xdr:pic>
      <xdr:nvPicPr>
        <xdr:cNvPr id="392" name="图片 75" descr="3(5)"/>
        <xdr:cNvPicPr/>
      </xdr:nvPicPr>
      <xdr:blipFill>
        <a:blip r:embed="rId40"/>
        <a:stretch/>
      </xdr:blipFill>
      <xdr:spPr>
        <a:xfrm>
          <a:off x="4039920" y="34439040"/>
          <a:ext cx="1170720" cy="1174320"/>
        </a:xfrm>
        <a:prstGeom prst="rect">
          <a:avLst/>
        </a:prstGeom>
        <a:noFill/>
        <a:ln w="9525">
          <a:noFill/>
        </a:ln>
      </xdr:spPr>
    </xdr:pic>
    <xdr:clientData/>
  </xdr:twoCellAnchor>
  <xdr:twoCellAnchor editAs="oneCell">
    <xdr:from>
      <xdr:col>1</xdr:col>
      <xdr:colOff>38160</xdr:colOff>
      <xdr:row>19</xdr:row>
      <xdr:rowOff>173520</xdr:rowOff>
    </xdr:from>
    <xdr:to>
      <xdr:col>1</xdr:col>
      <xdr:colOff>1208880</xdr:colOff>
      <xdr:row>20</xdr:row>
      <xdr:rowOff>587520</xdr:rowOff>
    </xdr:to>
    <xdr:pic>
      <xdr:nvPicPr>
        <xdr:cNvPr id="393" name="图片 76" descr="3"/>
        <xdr:cNvPicPr/>
      </xdr:nvPicPr>
      <xdr:blipFill>
        <a:blip r:embed="rId41"/>
        <a:stretch/>
      </xdr:blipFill>
      <xdr:spPr>
        <a:xfrm>
          <a:off x="4039920" y="20976120"/>
          <a:ext cx="1170720" cy="1176120"/>
        </a:xfrm>
        <a:prstGeom prst="rect">
          <a:avLst/>
        </a:prstGeom>
        <a:noFill/>
        <a:ln w="9525">
          <a:noFill/>
        </a:ln>
      </xdr:spPr>
    </xdr:pic>
    <xdr:clientData/>
  </xdr:twoCellAnchor>
  <xdr:twoCellAnchor editAs="oneCell">
    <xdr:from>
      <xdr:col>2</xdr:col>
      <xdr:colOff>38160</xdr:colOff>
      <xdr:row>30</xdr:row>
      <xdr:rowOff>140760</xdr:rowOff>
    </xdr:from>
    <xdr:to>
      <xdr:col>2</xdr:col>
      <xdr:colOff>1208880</xdr:colOff>
      <xdr:row>30</xdr:row>
      <xdr:rowOff>1319040</xdr:rowOff>
    </xdr:to>
    <xdr:pic>
      <xdr:nvPicPr>
        <xdr:cNvPr id="394" name="图片 82" descr="9(1)"/>
        <xdr:cNvPicPr/>
      </xdr:nvPicPr>
      <xdr:blipFill>
        <a:blip r:embed="rId42"/>
        <a:stretch/>
      </xdr:blipFill>
      <xdr:spPr>
        <a:xfrm>
          <a:off x="5605920" y="31420800"/>
          <a:ext cx="1170720" cy="1178280"/>
        </a:xfrm>
        <a:prstGeom prst="rect">
          <a:avLst/>
        </a:prstGeom>
        <a:noFill/>
        <a:ln w="9525">
          <a:noFill/>
        </a:ln>
      </xdr:spPr>
    </xdr:pic>
    <xdr:clientData/>
  </xdr:twoCellAnchor>
  <xdr:twoCellAnchor editAs="oneCell">
    <xdr:from>
      <xdr:col>2</xdr:col>
      <xdr:colOff>38160</xdr:colOff>
      <xdr:row>29</xdr:row>
      <xdr:rowOff>144000</xdr:rowOff>
    </xdr:from>
    <xdr:to>
      <xdr:col>2</xdr:col>
      <xdr:colOff>1208880</xdr:colOff>
      <xdr:row>29</xdr:row>
      <xdr:rowOff>1315440</xdr:rowOff>
    </xdr:to>
    <xdr:pic>
      <xdr:nvPicPr>
        <xdr:cNvPr id="395" name="图片 94" descr="9"/>
        <xdr:cNvPicPr/>
      </xdr:nvPicPr>
      <xdr:blipFill>
        <a:blip r:embed="rId43"/>
        <a:stretch/>
      </xdr:blipFill>
      <xdr:spPr>
        <a:xfrm>
          <a:off x="5605920" y="29963520"/>
          <a:ext cx="1170720" cy="1171440"/>
        </a:xfrm>
        <a:prstGeom prst="rect">
          <a:avLst/>
        </a:prstGeom>
        <a:noFill/>
        <a:ln w="9525">
          <a:noFill/>
        </a:ln>
      </xdr:spPr>
    </xdr:pic>
    <xdr:clientData/>
  </xdr:twoCellAnchor>
  <xdr:twoCellAnchor editAs="oneCell">
    <xdr:from>
      <xdr:col>2</xdr:col>
      <xdr:colOff>38160</xdr:colOff>
      <xdr:row>21</xdr:row>
      <xdr:rowOff>175320</xdr:rowOff>
    </xdr:from>
    <xdr:to>
      <xdr:col>2</xdr:col>
      <xdr:colOff>1208880</xdr:colOff>
      <xdr:row>22</xdr:row>
      <xdr:rowOff>585720</xdr:rowOff>
    </xdr:to>
    <xdr:pic>
      <xdr:nvPicPr>
        <xdr:cNvPr id="396" name="图片 100" descr="11(1)"/>
        <xdr:cNvPicPr/>
      </xdr:nvPicPr>
      <xdr:blipFill>
        <a:blip r:embed="rId44"/>
        <a:stretch/>
      </xdr:blipFill>
      <xdr:spPr>
        <a:xfrm>
          <a:off x="5605920" y="22501800"/>
          <a:ext cx="1170720" cy="1172520"/>
        </a:xfrm>
        <a:prstGeom prst="rect">
          <a:avLst/>
        </a:prstGeom>
        <a:noFill/>
        <a:ln w="9525">
          <a:noFill/>
        </a:ln>
      </xdr:spPr>
    </xdr:pic>
    <xdr:clientData/>
  </xdr:twoCellAnchor>
  <xdr:twoCellAnchor editAs="oneCell">
    <xdr:from>
      <xdr:col>2</xdr:col>
      <xdr:colOff>38160</xdr:colOff>
      <xdr:row>25</xdr:row>
      <xdr:rowOff>172800</xdr:rowOff>
    </xdr:from>
    <xdr:to>
      <xdr:col>2</xdr:col>
      <xdr:colOff>1208880</xdr:colOff>
      <xdr:row>26</xdr:row>
      <xdr:rowOff>588960</xdr:rowOff>
    </xdr:to>
    <xdr:pic>
      <xdr:nvPicPr>
        <xdr:cNvPr id="397" name="图片 106" descr="11(4)"/>
        <xdr:cNvPicPr/>
      </xdr:nvPicPr>
      <xdr:blipFill>
        <a:blip r:embed="rId45"/>
        <a:stretch/>
      </xdr:blipFill>
      <xdr:spPr>
        <a:xfrm>
          <a:off x="5605920" y="26944560"/>
          <a:ext cx="1170720" cy="1177920"/>
        </a:xfrm>
        <a:prstGeom prst="rect">
          <a:avLst/>
        </a:prstGeom>
        <a:noFill/>
        <a:ln w="9525">
          <a:noFill/>
        </a:ln>
      </xdr:spPr>
    </xdr:pic>
    <xdr:clientData/>
  </xdr:twoCellAnchor>
  <xdr:twoCellAnchor editAs="oneCell">
    <xdr:from>
      <xdr:col>2</xdr:col>
      <xdr:colOff>38160</xdr:colOff>
      <xdr:row>27</xdr:row>
      <xdr:rowOff>174600</xdr:rowOff>
    </xdr:from>
    <xdr:to>
      <xdr:col>2</xdr:col>
      <xdr:colOff>1208880</xdr:colOff>
      <xdr:row>28</xdr:row>
      <xdr:rowOff>586800</xdr:rowOff>
    </xdr:to>
    <xdr:pic>
      <xdr:nvPicPr>
        <xdr:cNvPr id="398" name="图片 118" descr="11(5)"/>
        <xdr:cNvPicPr/>
      </xdr:nvPicPr>
      <xdr:blipFill>
        <a:blip r:embed="rId46"/>
        <a:stretch/>
      </xdr:blipFill>
      <xdr:spPr>
        <a:xfrm>
          <a:off x="5605920" y="28470240"/>
          <a:ext cx="1170720" cy="1174320"/>
        </a:xfrm>
        <a:prstGeom prst="rect">
          <a:avLst/>
        </a:prstGeom>
        <a:noFill/>
        <a:ln w="9525">
          <a:noFill/>
        </a:ln>
      </xdr:spPr>
    </xdr:pic>
    <xdr:clientData/>
  </xdr:twoCellAnchor>
  <xdr:twoCellAnchor editAs="oneCell">
    <xdr:from>
      <xdr:col>2</xdr:col>
      <xdr:colOff>38160</xdr:colOff>
      <xdr:row>31</xdr:row>
      <xdr:rowOff>173880</xdr:rowOff>
    </xdr:from>
    <xdr:to>
      <xdr:col>2</xdr:col>
      <xdr:colOff>1208880</xdr:colOff>
      <xdr:row>32</xdr:row>
      <xdr:rowOff>587160</xdr:rowOff>
    </xdr:to>
    <xdr:pic>
      <xdr:nvPicPr>
        <xdr:cNvPr id="399" name="图片 127" descr="11(6)"/>
        <xdr:cNvPicPr/>
      </xdr:nvPicPr>
      <xdr:blipFill>
        <a:blip r:embed="rId47"/>
        <a:stretch/>
      </xdr:blipFill>
      <xdr:spPr>
        <a:xfrm>
          <a:off x="5605920" y="32914440"/>
          <a:ext cx="1170720" cy="1175400"/>
        </a:xfrm>
        <a:prstGeom prst="rect">
          <a:avLst/>
        </a:prstGeom>
        <a:noFill/>
        <a:ln w="9525">
          <a:noFill/>
        </a:ln>
      </xdr:spPr>
    </xdr:pic>
    <xdr:clientData/>
  </xdr:twoCellAnchor>
  <xdr:twoCellAnchor editAs="oneCell">
    <xdr:from>
      <xdr:col>2</xdr:col>
      <xdr:colOff>38160</xdr:colOff>
      <xdr:row>33</xdr:row>
      <xdr:rowOff>175320</xdr:rowOff>
    </xdr:from>
    <xdr:to>
      <xdr:col>2</xdr:col>
      <xdr:colOff>1208880</xdr:colOff>
      <xdr:row>34</xdr:row>
      <xdr:rowOff>585720</xdr:rowOff>
    </xdr:to>
    <xdr:pic>
      <xdr:nvPicPr>
        <xdr:cNvPr id="400" name="图片 128" descr="11(7)"/>
        <xdr:cNvPicPr/>
      </xdr:nvPicPr>
      <xdr:blipFill>
        <a:blip r:embed="rId48"/>
        <a:stretch/>
      </xdr:blipFill>
      <xdr:spPr>
        <a:xfrm>
          <a:off x="5605920" y="34439760"/>
          <a:ext cx="1170720" cy="1172520"/>
        </a:xfrm>
        <a:prstGeom prst="rect">
          <a:avLst/>
        </a:prstGeom>
        <a:noFill/>
        <a:ln w="9525">
          <a:noFill/>
        </a:ln>
      </xdr:spPr>
    </xdr:pic>
    <xdr:clientData/>
  </xdr:twoCellAnchor>
  <xdr:twoCellAnchor editAs="oneCell">
    <xdr:from>
      <xdr:col>2</xdr:col>
      <xdr:colOff>38160</xdr:colOff>
      <xdr:row>19</xdr:row>
      <xdr:rowOff>176400</xdr:rowOff>
    </xdr:from>
    <xdr:to>
      <xdr:col>2</xdr:col>
      <xdr:colOff>1208880</xdr:colOff>
      <xdr:row>20</xdr:row>
      <xdr:rowOff>584640</xdr:rowOff>
    </xdr:to>
    <xdr:pic>
      <xdr:nvPicPr>
        <xdr:cNvPr id="401" name="图片 130" descr="11"/>
        <xdr:cNvPicPr/>
      </xdr:nvPicPr>
      <xdr:blipFill>
        <a:blip r:embed="rId49"/>
        <a:stretch/>
      </xdr:blipFill>
      <xdr:spPr>
        <a:xfrm>
          <a:off x="5605920" y="20979000"/>
          <a:ext cx="1170720" cy="1170360"/>
        </a:xfrm>
        <a:prstGeom prst="rect">
          <a:avLst/>
        </a:prstGeom>
        <a:noFill/>
        <a:ln w="9525">
          <a:noFill/>
        </a:ln>
      </xdr:spPr>
    </xdr:pic>
    <xdr:clientData/>
  </xdr:twoCellAnchor>
  <xdr:twoCellAnchor editAs="twoCell">
    <xdr:from>
      <xdr:col>0</xdr:col>
      <xdr:colOff>9360</xdr:colOff>
      <xdr:row>19</xdr:row>
      <xdr:rowOff>0</xdr:rowOff>
    </xdr:from>
    <xdr:to>
      <xdr:col>0</xdr:col>
      <xdr:colOff>837360</xdr:colOff>
      <xdr:row>19</xdr:row>
      <xdr:rowOff>297000</xdr:rowOff>
    </xdr:to>
    <xdr:pic>
      <xdr:nvPicPr>
        <xdr:cNvPr id="402" name="图片 176" descr="快充"/>
        <xdr:cNvPicPr/>
      </xdr:nvPicPr>
      <xdr:blipFill>
        <a:blip r:embed="rId50"/>
        <a:stretch/>
      </xdr:blipFill>
      <xdr:spPr>
        <a:xfrm>
          <a:off x="9360" y="20802600"/>
          <a:ext cx="828000" cy="297000"/>
        </a:xfrm>
        <a:prstGeom prst="rect">
          <a:avLst/>
        </a:prstGeom>
        <a:noFill/>
        <a:ln w="9525">
          <a:noFill/>
        </a:ln>
      </xdr:spPr>
    </xdr:pic>
    <xdr:clientData/>
  </xdr:twoCellAnchor>
  <xdr:twoCellAnchor editAs="twoCell">
    <xdr:from>
      <xdr:col>0</xdr:col>
      <xdr:colOff>9360</xdr:colOff>
      <xdr:row>21</xdr:row>
      <xdr:rowOff>0</xdr:rowOff>
    </xdr:from>
    <xdr:to>
      <xdr:col>0</xdr:col>
      <xdr:colOff>837360</xdr:colOff>
      <xdr:row>21</xdr:row>
      <xdr:rowOff>297000</xdr:rowOff>
    </xdr:to>
    <xdr:pic>
      <xdr:nvPicPr>
        <xdr:cNvPr id="403" name="图片 178" descr="快充"/>
        <xdr:cNvPicPr/>
      </xdr:nvPicPr>
      <xdr:blipFill>
        <a:blip r:embed="rId51"/>
        <a:stretch/>
      </xdr:blipFill>
      <xdr:spPr>
        <a:xfrm>
          <a:off x="9360" y="22326480"/>
          <a:ext cx="828000" cy="297000"/>
        </a:xfrm>
        <a:prstGeom prst="rect">
          <a:avLst/>
        </a:prstGeom>
        <a:noFill/>
        <a:ln w="9525">
          <a:noFill/>
        </a:ln>
      </xdr:spPr>
    </xdr:pic>
    <xdr:clientData/>
  </xdr:twoCellAnchor>
  <xdr:twoCellAnchor editAs="twoCell">
    <xdr:from>
      <xdr:col>0</xdr:col>
      <xdr:colOff>9360</xdr:colOff>
      <xdr:row>23</xdr:row>
      <xdr:rowOff>0</xdr:rowOff>
    </xdr:from>
    <xdr:to>
      <xdr:col>0</xdr:col>
      <xdr:colOff>837360</xdr:colOff>
      <xdr:row>23</xdr:row>
      <xdr:rowOff>297000</xdr:rowOff>
    </xdr:to>
    <xdr:pic>
      <xdr:nvPicPr>
        <xdr:cNvPr id="404" name="图片 180" descr="快充"/>
        <xdr:cNvPicPr/>
      </xdr:nvPicPr>
      <xdr:blipFill>
        <a:blip r:embed="rId52"/>
        <a:stretch/>
      </xdr:blipFill>
      <xdr:spPr>
        <a:xfrm>
          <a:off x="9360" y="23850720"/>
          <a:ext cx="828000" cy="297000"/>
        </a:xfrm>
        <a:prstGeom prst="rect">
          <a:avLst/>
        </a:prstGeom>
        <a:noFill/>
        <a:ln w="9525">
          <a:noFill/>
        </a:ln>
      </xdr:spPr>
    </xdr:pic>
    <xdr:clientData/>
  </xdr:twoCellAnchor>
  <xdr:twoCellAnchor editAs="twoCell">
    <xdr:from>
      <xdr:col>0</xdr:col>
      <xdr:colOff>9360</xdr:colOff>
      <xdr:row>24</xdr:row>
      <xdr:rowOff>0</xdr:rowOff>
    </xdr:from>
    <xdr:to>
      <xdr:col>0</xdr:col>
      <xdr:colOff>837360</xdr:colOff>
      <xdr:row>24</xdr:row>
      <xdr:rowOff>297000</xdr:rowOff>
    </xdr:to>
    <xdr:pic>
      <xdr:nvPicPr>
        <xdr:cNvPr id="405" name="图片 182" descr="快充"/>
        <xdr:cNvPicPr/>
      </xdr:nvPicPr>
      <xdr:blipFill>
        <a:blip r:embed="rId53"/>
        <a:stretch/>
      </xdr:blipFill>
      <xdr:spPr>
        <a:xfrm>
          <a:off x="9360" y="25311240"/>
          <a:ext cx="828000" cy="297000"/>
        </a:xfrm>
        <a:prstGeom prst="rect">
          <a:avLst/>
        </a:prstGeom>
        <a:noFill/>
        <a:ln w="9525">
          <a:noFill/>
        </a:ln>
      </xdr:spPr>
    </xdr:pic>
    <xdr:clientData/>
  </xdr:twoCellAnchor>
  <xdr:twoCellAnchor editAs="oneCell">
    <xdr:from>
      <xdr:col>1</xdr:col>
      <xdr:colOff>38160</xdr:colOff>
      <xdr:row>44</xdr:row>
      <xdr:rowOff>143280</xdr:rowOff>
    </xdr:from>
    <xdr:to>
      <xdr:col>1</xdr:col>
      <xdr:colOff>1208880</xdr:colOff>
      <xdr:row>44</xdr:row>
      <xdr:rowOff>1316520</xdr:rowOff>
    </xdr:to>
    <xdr:pic>
      <xdr:nvPicPr>
        <xdr:cNvPr id="406" name="图片 14" descr="3"/>
        <xdr:cNvPicPr/>
      </xdr:nvPicPr>
      <xdr:blipFill>
        <a:blip r:embed="rId54"/>
        <a:stretch/>
      </xdr:blipFill>
      <xdr:spPr>
        <a:xfrm>
          <a:off x="4039920" y="49076280"/>
          <a:ext cx="1170720" cy="1173240"/>
        </a:xfrm>
        <a:prstGeom prst="rect">
          <a:avLst/>
        </a:prstGeom>
        <a:noFill/>
        <a:ln w="9525">
          <a:noFill/>
        </a:ln>
      </xdr:spPr>
    </xdr:pic>
    <xdr:clientData/>
  </xdr:twoCellAnchor>
  <xdr:twoCellAnchor editAs="oneCell">
    <xdr:from>
      <xdr:col>2</xdr:col>
      <xdr:colOff>38160</xdr:colOff>
      <xdr:row>44</xdr:row>
      <xdr:rowOff>143280</xdr:rowOff>
    </xdr:from>
    <xdr:to>
      <xdr:col>2</xdr:col>
      <xdr:colOff>1208880</xdr:colOff>
      <xdr:row>44</xdr:row>
      <xdr:rowOff>1316520</xdr:rowOff>
    </xdr:to>
    <xdr:pic>
      <xdr:nvPicPr>
        <xdr:cNvPr id="407" name="图片 15" descr="10"/>
        <xdr:cNvPicPr/>
      </xdr:nvPicPr>
      <xdr:blipFill>
        <a:blip r:embed="rId55"/>
        <a:stretch/>
      </xdr:blipFill>
      <xdr:spPr>
        <a:xfrm>
          <a:off x="5605920" y="49076280"/>
          <a:ext cx="1170720" cy="1173240"/>
        </a:xfrm>
        <a:prstGeom prst="rect">
          <a:avLst/>
        </a:prstGeom>
        <a:noFill/>
        <a:ln w="9525">
          <a:noFill/>
        </a:ln>
      </xdr:spPr>
    </xdr:pic>
    <xdr:clientData/>
  </xdr:twoCellAnchor>
  <xdr:twoCellAnchor editAs="oneCell">
    <xdr:from>
      <xdr:col>1</xdr:col>
      <xdr:colOff>38160</xdr:colOff>
      <xdr:row>17</xdr:row>
      <xdr:rowOff>143280</xdr:rowOff>
    </xdr:from>
    <xdr:to>
      <xdr:col>1</xdr:col>
      <xdr:colOff>1208880</xdr:colOff>
      <xdr:row>17</xdr:row>
      <xdr:rowOff>1316520</xdr:rowOff>
    </xdr:to>
    <xdr:pic>
      <xdr:nvPicPr>
        <xdr:cNvPr id="408" name="图片 16" descr="1"/>
        <xdr:cNvPicPr/>
      </xdr:nvPicPr>
      <xdr:blipFill>
        <a:blip r:embed="rId56"/>
        <a:stretch/>
      </xdr:blipFill>
      <xdr:spPr>
        <a:xfrm>
          <a:off x="4039920" y="18024840"/>
          <a:ext cx="1170720" cy="1173240"/>
        </a:xfrm>
        <a:prstGeom prst="rect">
          <a:avLst/>
        </a:prstGeom>
        <a:noFill/>
        <a:ln w="9525">
          <a:noFill/>
        </a:ln>
      </xdr:spPr>
    </xdr:pic>
    <xdr:clientData/>
  </xdr:twoCellAnchor>
  <xdr:twoCellAnchor editAs="oneCell">
    <xdr:from>
      <xdr:col>2</xdr:col>
      <xdr:colOff>38160</xdr:colOff>
      <xdr:row>17</xdr:row>
      <xdr:rowOff>143640</xdr:rowOff>
    </xdr:from>
    <xdr:to>
      <xdr:col>2</xdr:col>
      <xdr:colOff>1208880</xdr:colOff>
      <xdr:row>17</xdr:row>
      <xdr:rowOff>1316160</xdr:rowOff>
    </xdr:to>
    <xdr:pic>
      <xdr:nvPicPr>
        <xdr:cNvPr id="409" name="图片 17" descr="8"/>
        <xdr:cNvPicPr/>
      </xdr:nvPicPr>
      <xdr:blipFill>
        <a:blip r:embed="rId57"/>
        <a:stretch/>
      </xdr:blipFill>
      <xdr:spPr>
        <a:xfrm>
          <a:off x="5605920" y="18025200"/>
          <a:ext cx="1170720" cy="1172520"/>
        </a:xfrm>
        <a:prstGeom prst="rect">
          <a:avLst/>
        </a:prstGeom>
        <a:noFill/>
        <a:ln w="9525">
          <a:noFill/>
        </a:ln>
      </xdr:spPr>
    </xdr:pic>
    <xdr:clientData/>
  </xdr:twoCellAnchor>
  <xdr:twoCellAnchor editAs="oneCell">
    <xdr:from>
      <xdr:col>1</xdr:col>
      <xdr:colOff>38160</xdr:colOff>
      <xdr:row>18</xdr:row>
      <xdr:rowOff>140760</xdr:rowOff>
    </xdr:from>
    <xdr:to>
      <xdr:col>1</xdr:col>
      <xdr:colOff>1208880</xdr:colOff>
      <xdr:row>18</xdr:row>
      <xdr:rowOff>1319040</xdr:rowOff>
    </xdr:to>
    <xdr:pic>
      <xdr:nvPicPr>
        <xdr:cNvPr id="410" name="图片 18" descr="1"/>
        <xdr:cNvPicPr/>
      </xdr:nvPicPr>
      <xdr:blipFill>
        <a:blip r:embed="rId58"/>
        <a:stretch/>
      </xdr:blipFill>
      <xdr:spPr>
        <a:xfrm>
          <a:off x="4039920" y="19482840"/>
          <a:ext cx="1170720" cy="1178280"/>
        </a:xfrm>
        <a:prstGeom prst="rect">
          <a:avLst/>
        </a:prstGeom>
        <a:noFill/>
        <a:ln w="9525">
          <a:noFill/>
        </a:ln>
      </xdr:spPr>
    </xdr:pic>
    <xdr:clientData/>
  </xdr:twoCellAnchor>
  <xdr:twoCellAnchor editAs="oneCell">
    <xdr:from>
      <xdr:col>2</xdr:col>
      <xdr:colOff>38160</xdr:colOff>
      <xdr:row>18</xdr:row>
      <xdr:rowOff>144360</xdr:rowOff>
    </xdr:from>
    <xdr:to>
      <xdr:col>2</xdr:col>
      <xdr:colOff>1208880</xdr:colOff>
      <xdr:row>18</xdr:row>
      <xdr:rowOff>1315080</xdr:rowOff>
    </xdr:to>
    <xdr:pic>
      <xdr:nvPicPr>
        <xdr:cNvPr id="411" name="图片 21" descr="8"/>
        <xdr:cNvPicPr/>
      </xdr:nvPicPr>
      <xdr:blipFill>
        <a:blip r:embed="rId59"/>
        <a:stretch/>
      </xdr:blipFill>
      <xdr:spPr>
        <a:xfrm>
          <a:off x="5605920" y="19486440"/>
          <a:ext cx="1170720" cy="1170720"/>
        </a:xfrm>
        <a:prstGeom prst="rect">
          <a:avLst/>
        </a:prstGeom>
        <a:noFill/>
        <a:ln w="9525">
          <a:noFill/>
        </a:ln>
      </xdr:spPr>
    </xdr:pic>
    <xdr:clientData/>
  </xdr:twoCellAnchor>
  <xdr:twoCellAnchor editAs="twoCell">
    <xdr:from>
      <xdr:col>0</xdr:col>
      <xdr:colOff>9360</xdr:colOff>
      <xdr:row>18</xdr:row>
      <xdr:rowOff>0</xdr:rowOff>
    </xdr:from>
    <xdr:to>
      <xdr:col>0</xdr:col>
      <xdr:colOff>837360</xdr:colOff>
      <xdr:row>18</xdr:row>
      <xdr:rowOff>297000</xdr:rowOff>
    </xdr:to>
    <xdr:pic>
      <xdr:nvPicPr>
        <xdr:cNvPr id="412" name="图片 24" descr="快充"/>
        <xdr:cNvPicPr/>
      </xdr:nvPicPr>
      <xdr:blipFill>
        <a:blip r:embed="rId60"/>
        <a:stretch/>
      </xdr:blipFill>
      <xdr:spPr>
        <a:xfrm>
          <a:off x="9360" y="19342080"/>
          <a:ext cx="828000" cy="297000"/>
        </a:xfrm>
        <a:prstGeom prst="rect">
          <a:avLst/>
        </a:prstGeom>
        <a:noFill/>
        <a:ln w="9525">
          <a:noFill/>
        </a:ln>
      </xdr:spPr>
    </xdr:pic>
    <xdr:clientData/>
  </xdr:twoCellAnchor>
  <xdr:twoCellAnchor editAs="oneCell">
    <xdr:from>
      <xdr:col>1</xdr:col>
      <xdr:colOff>38160</xdr:colOff>
      <xdr:row>15</xdr:row>
      <xdr:rowOff>140760</xdr:rowOff>
    </xdr:from>
    <xdr:to>
      <xdr:col>1</xdr:col>
      <xdr:colOff>1208880</xdr:colOff>
      <xdr:row>15</xdr:row>
      <xdr:rowOff>1319040</xdr:rowOff>
    </xdr:to>
    <xdr:pic>
      <xdr:nvPicPr>
        <xdr:cNvPr id="413" name="图片 36" descr="1"/>
        <xdr:cNvPicPr/>
      </xdr:nvPicPr>
      <xdr:blipFill>
        <a:blip r:embed="rId61"/>
        <a:stretch/>
      </xdr:blipFill>
      <xdr:spPr>
        <a:xfrm>
          <a:off x="4039920" y="15101280"/>
          <a:ext cx="1170720" cy="1178280"/>
        </a:xfrm>
        <a:prstGeom prst="rect">
          <a:avLst/>
        </a:prstGeom>
        <a:noFill/>
        <a:ln w="9525">
          <a:noFill/>
        </a:ln>
      </xdr:spPr>
    </xdr:pic>
    <xdr:clientData/>
  </xdr:twoCellAnchor>
  <xdr:twoCellAnchor editAs="oneCell">
    <xdr:from>
      <xdr:col>2</xdr:col>
      <xdr:colOff>38160</xdr:colOff>
      <xdr:row>15</xdr:row>
      <xdr:rowOff>146880</xdr:rowOff>
    </xdr:from>
    <xdr:to>
      <xdr:col>2</xdr:col>
      <xdr:colOff>1208880</xdr:colOff>
      <xdr:row>15</xdr:row>
      <xdr:rowOff>1312560</xdr:rowOff>
    </xdr:to>
    <xdr:pic>
      <xdr:nvPicPr>
        <xdr:cNvPr id="414" name="图片 39" descr="9"/>
        <xdr:cNvPicPr/>
      </xdr:nvPicPr>
      <xdr:blipFill>
        <a:blip r:embed="rId62"/>
        <a:stretch/>
      </xdr:blipFill>
      <xdr:spPr>
        <a:xfrm>
          <a:off x="5605920" y="15107400"/>
          <a:ext cx="1170720" cy="1165680"/>
        </a:xfrm>
        <a:prstGeom prst="rect">
          <a:avLst/>
        </a:prstGeom>
        <a:noFill/>
        <a:ln w="9525">
          <a:noFill/>
        </a:ln>
      </xdr:spPr>
    </xdr:pic>
    <xdr:clientData/>
  </xdr:twoCellAnchor>
  <xdr:twoCellAnchor editAs="oneCell">
    <xdr:from>
      <xdr:col>1</xdr:col>
      <xdr:colOff>38160</xdr:colOff>
      <xdr:row>16</xdr:row>
      <xdr:rowOff>140760</xdr:rowOff>
    </xdr:from>
    <xdr:to>
      <xdr:col>1</xdr:col>
      <xdr:colOff>1208880</xdr:colOff>
      <xdr:row>16</xdr:row>
      <xdr:rowOff>1319040</xdr:rowOff>
    </xdr:to>
    <xdr:pic>
      <xdr:nvPicPr>
        <xdr:cNvPr id="415" name="图片 43" descr="1"/>
        <xdr:cNvPicPr/>
      </xdr:nvPicPr>
      <xdr:blipFill>
        <a:blip r:embed="rId63"/>
        <a:stretch/>
      </xdr:blipFill>
      <xdr:spPr>
        <a:xfrm>
          <a:off x="4039920" y="16561800"/>
          <a:ext cx="1170720" cy="1178280"/>
        </a:xfrm>
        <a:prstGeom prst="rect">
          <a:avLst/>
        </a:prstGeom>
        <a:noFill/>
        <a:ln w="9525">
          <a:noFill/>
        </a:ln>
      </xdr:spPr>
    </xdr:pic>
    <xdr:clientData/>
  </xdr:twoCellAnchor>
  <xdr:twoCellAnchor editAs="oneCell">
    <xdr:from>
      <xdr:col>2</xdr:col>
      <xdr:colOff>38160</xdr:colOff>
      <xdr:row>16</xdr:row>
      <xdr:rowOff>146880</xdr:rowOff>
    </xdr:from>
    <xdr:to>
      <xdr:col>2</xdr:col>
      <xdr:colOff>1208880</xdr:colOff>
      <xdr:row>16</xdr:row>
      <xdr:rowOff>1312560</xdr:rowOff>
    </xdr:to>
    <xdr:pic>
      <xdr:nvPicPr>
        <xdr:cNvPr id="416" name="图片 48" descr="9"/>
        <xdr:cNvPicPr/>
      </xdr:nvPicPr>
      <xdr:blipFill>
        <a:blip r:embed="rId64"/>
        <a:stretch/>
      </xdr:blipFill>
      <xdr:spPr>
        <a:xfrm>
          <a:off x="5605920" y="16567920"/>
          <a:ext cx="1170720" cy="1165680"/>
        </a:xfrm>
        <a:prstGeom prst="rect">
          <a:avLst/>
        </a:prstGeom>
        <a:noFill/>
        <a:ln w="9525">
          <a:noFill/>
        </a:ln>
      </xdr:spPr>
    </xdr:pic>
    <xdr:clientData/>
  </xdr:twoCellAnchor>
  <xdr:twoCellAnchor editAs="oneCell">
    <xdr:from>
      <xdr:col>1</xdr:col>
      <xdr:colOff>38160</xdr:colOff>
      <xdr:row>14</xdr:row>
      <xdr:rowOff>143280</xdr:rowOff>
    </xdr:from>
    <xdr:to>
      <xdr:col>1</xdr:col>
      <xdr:colOff>1208880</xdr:colOff>
      <xdr:row>14</xdr:row>
      <xdr:rowOff>1316520</xdr:rowOff>
    </xdr:to>
    <xdr:pic>
      <xdr:nvPicPr>
        <xdr:cNvPr id="417" name="图片 12" descr="1"/>
        <xdr:cNvPicPr/>
      </xdr:nvPicPr>
      <xdr:blipFill>
        <a:blip r:embed="rId65"/>
        <a:stretch/>
      </xdr:blipFill>
      <xdr:spPr>
        <a:xfrm>
          <a:off x="4039920" y="13643280"/>
          <a:ext cx="1170720" cy="1173240"/>
        </a:xfrm>
        <a:prstGeom prst="rect">
          <a:avLst/>
        </a:prstGeom>
        <a:noFill/>
        <a:ln w="9525">
          <a:noFill/>
        </a:ln>
      </xdr:spPr>
    </xdr:pic>
    <xdr:clientData/>
  </xdr:twoCellAnchor>
  <xdr:twoCellAnchor editAs="oneCell">
    <xdr:from>
      <xdr:col>2</xdr:col>
      <xdr:colOff>38160</xdr:colOff>
      <xdr:row>14</xdr:row>
      <xdr:rowOff>144000</xdr:rowOff>
    </xdr:from>
    <xdr:to>
      <xdr:col>2</xdr:col>
      <xdr:colOff>1208880</xdr:colOff>
      <xdr:row>14</xdr:row>
      <xdr:rowOff>1315440</xdr:rowOff>
    </xdr:to>
    <xdr:pic>
      <xdr:nvPicPr>
        <xdr:cNvPr id="418" name="图片 28" descr="8"/>
        <xdr:cNvPicPr/>
      </xdr:nvPicPr>
      <xdr:blipFill>
        <a:blip r:embed="rId66"/>
        <a:stretch/>
      </xdr:blipFill>
      <xdr:spPr>
        <a:xfrm>
          <a:off x="5605920" y="13644000"/>
          <a:ext cx="1170720" cy="1171440"/>
        </a:xfrm>
        <a:prstGeom prst="rect">
          <a:avLst/>
        </a:prstGeom>
        <a:noFill/>
        <a:ln w="9525">
          <a:noFill/>
        </a:ln>
      </xdr:spPr>
    </xdr:pic>
    <xdr:clientData/>
  </xdr:twoCellAnchor>
  <xdr:twoCellAnchor editAs="twoCell">
    <xdr:from>
      <xdr:col>0</xdr:col>
      <xdr:colOff>9360</xdr:colOff>
      <xdr:row>14</xdr:row>
      <xdr:rowOff>0</xdr:rowOff>
    </xdr:from>
    <xdr:to>
      <xdr:col>0</xdr:col>
      <xdr:colOff>837360</xdr:colOff>
      <xdr:row>14</xdr:row>
      <xdr:rowOff>297000</xdr:rowOff>
    </xdr:to>
    <xdr:pic>
      <xdr:nvPicPr>
        <xdr:cNvPr id="419" name="图片 52" descr="快充"/>
        <xdr:cNvPicPr/>
      </xdr:nvPicPr>
      <xdr:blipFill>
        <a:blip r:embed="rId67"/>
        <a:stretch/>
      </xdr:blipFill>
      <xdr:spPr>
        <a:xfrm>
          <a:off x="9360" y="13500000"/>
          <a:ext cx="828000" cy="297000"/>
        </a:xfrm>
        <a:prstGeom prst="rect">
          <a:avLst/>
        </a:prstGeom>
        <a:noFill/>
        <a:ln w="9525">
          <a:noFill/>
        </a:ln>
      </xdr:spPr>
    </xdr:pic>
    <xdr:clientData/>
  </xdr:twoCellAnchor>
  <xdr:twoCellAnchor editAs="oneCell">
    <xdr:from>
      <xdr:col>1</xdr:col>
      <xdr:colOff>38160</xdr:colOff>
      <xdr:row>13</xdr:row>
      <xdr:rowOff>143280</xdr:rowOff>
    </xdr:from>
    <xdr:to>
      <xdr:col>1</xdr:col>
      <xdr:colOff>1208880</xdr:colOff>
      <xdr:row>13</xdr:row>
      <xdr:rowOff>1316520</xdr:rowOff>
    </xdr:to>
    <xdr:pic>
      <xdr:nvPicPr>
        <xdr:cNvPr id="420" name="图片 35" descr="1"/>
        <xdr:cNvPicPr/>
      </xdr:nvPicPr>
      <xdr:blipFill>
        <a:blip r:embed="rId68"/>
        <a:stretch/>
      </xdr:blipFill>
      <xdr:spPr>
        <a:xfrm>
          <a:off x="4039920" y="12182760"/>
          <a:ext cx="1170720" cy="1173240"/>
        </a:xfrm>
        <a:prstGeom prst="rect">
          <a:avLst/>
        </a:prstGeom>
        <a:noFill/>
        <a:ln w="9525">
          <a:noFill/>
        </a:ln>
      </xdr:spPr>
    </xdr:pic>
    <xdr:clientData/>
  </xdr:twoCellAnchor>
  <xdr:twoCellAnchor editAs="oneCell">
    <xdr:from>
      <xdr:col>2</xdr:col>
      <xdr:colOff>38160</xdr:colOff>
      <xdr:row>13</xdr:row>
      <xdr:rowOff>144000</xdr:rowOff>
    </xdr:from>
    <xdr:to>
      <xdr:col>2</xdr:col>
      <xdr:colOff>1208880</xdr:colOff>
      <xdr:row>13</xdr:row>
      <xdr:rowOff>1315440</xdr:rowOff>
    </xdr:to>
    <xdr:pic>
      <xdr:nvPicPr>
        <xdr:cNvPr id="421" name="图片 50" descr="9"/>
        <xdr:cNvPicPr/>
      </xdr:nvPicPr>
      <xdr:blipFill>
        <a:blip r:embed="rId69"/>
        <a:stretch/>
      </xdr:blipFill>
      <xdr:spPr>
        <a:xfrm>
          <a:off x="5605920" y="12183480"/>
          <a:ext cx="1170720" cy="1171440"/>
        </a:xfrm>
        <a:prstGeom prst="rect">
          <a:avLst/>
        </a:prstGeom>
        <a:noFill/>
        <a:ln w="9525">
          <a:noFill/>
        </a:ln>
      </xdr:spPr>
    </xdr:pic>
    <xdr:clientData/>
  </xdr:twoCellAnchor>
  <xdr:twoCellAnchor editAs="oneCell">
    <xdr:from>
      <xdr:col>1</xdr:col>
      <xdr:colOff>38160</xdr:colOff>
      <xdr:row>24</xdr:row>
      <xdr:rowOff>140400</xdr:rowOff>
    </xdr:from>
    <xdr:to>
      <xdr:col>1</xdr:col>
      <xdr:colOff>1208880</xdr:colOff>
      <xdr:row>24</xdr:row>
      <xdr:rowOff>1319400</xdr:rowOff>
    </xdr:to>
    <xdr:pic>
      <xdr:nvPicPr>
        <xdr:cNvPr id="422" name="图片 5" descr="3(3)"/>
        <xdr:cNvPicPr/>
      </xdr:nvPicPr>
      <xdr:blipFill>
        <a:blip r:embed="rId70"/>
        <a:stretch/>
      </xdr:blipFill>
      <xdr:spPr>
        <a:xfrm>
          <a:off x="4039920" y="25451640"/>
          <a:ext cx="1170720" cy="1179000"/>
        </a:xfrm>
        <a:prstGeom prst="rect">
          <a:avLst/>
        </a:prstGeom>
        <a:noFill/>
        <a:ln w="9525">
          <a:noFill/>
        </a:ln>
      </xdr:spPr>
    </xdr:pic>
    <xdr:clientData/>
  </xdr:twoCellAnchor>
  <xdr:twoCellAnchor editAs="oneCell">
    <xdr:from>
      <xdr:col>2</xdr:col>
      <xdr:colOff>38160</xdr:colOff>
      <xdr:row>24</xdr:row>
      <xdr:rowOff>144000</xdr:rowOff>
    </xdr:from>
    <xdr:to>
      <xdr:col>2</xdr:col>
      <xdr:colOff>1208880</xdr:colOff>
      <xdr:row>24</xdr:row>
      <xdr:rowOff>1315440</xdr:rowOff>
    </xdr:to>
    <xdr:pic>
      <xdr:nvPicPr>
        <xdr:cNvPr id="423" name="图片 8" descr="9"/>
        <xdr:cNvPicPr/>
      </xdr:nvPicPr>
      <xdr:blipFill>
        <a:blip r:embed="rId71"/>
        <a:stretch/>
      </xdr:blipFill>
      <xdr:spPr>
        <a:xfrm>
          <a:off x="5605920" y="25455240"/>
          <a:ext cx="1170720" cy="1171440"/>
        </a:xfrm>
        <a:prstGeom prst="rect">
          <a:avLst/>
        </a:prstGeom>
        <a:noFill/>
        <a:ln w="9525">
          <a:noFill/>
        </a:ln>
      </xdr:spPr>
    </xdr:pic>
    <xdr:clientData/>
  </xdr:twoCellAnchor>
  <xdr:twoCellAnchor editAs="oneCell">
    <xdr:from>
      <xdr:col>1</xdr:col>
      <xdr:colOff>38160</xdr:colOff>
      <xdr:row>23</xdr:row>
      <xdr:rowOff>145800</xdr:rowOff>
    </xdr:from>
    <xdr:to>
      <xdr:col>1</xdr:col>
      <xdr:colOff>1208880</xdr:colOff>
      <xdr:row>23</xdr:row>
      <xdr:rowOff>1313640</xdr:rowOff>
    </xdr:to>
    <xdr:pic>
      <xdr:nvPicPr>
        <xdr:cNvPr id="424" name="图片 23" descr="4"/>
        <xdr:cNvPicPr/>
      </xdr:nvPicPr>
      <xdr:blipFill>
        <a:blip r:embed="rId72"/>
        <a:stretch/>
      </xdr:blipFill>
      <xdr:spPr>
        <a:xfrm>
          <a:off x="4039920" y="23996520"/>
          <a:ext cx="1170720" cy="1167840"/>
        </a:xfrm>
        <a:prstGeom prst="rect">
          <a:avLst/>
        </a:prstGeom>
        <a:noFill/>
        <a:ln w="9525">
          <a:noFill/>
        </a:ln>
      </xdr:spPr>
    </xdr:pic>
    <xdr:clientData/>
  </xdr:twoCellAnchor>
  <xdr:twoCellAnchor editAs="oneCell">
    <xdr:from>
      <xdr:col>2</xdr:col>
      <xdr:colOff>38160</xdr:colOff>
      <xdr:row>23</xdr:row>
      <xdr:rowOff>143280</xdr:rowOff>
    </xdr:from>
    <xdr:to>
      <xdr:col>2</xdr:col>
      <xdr:colOff>1208880</xdr:colOff>
      <xdr:row>23</xdr:row>
      <xdr:rowOff>1316520</xdr:rowOff>
    </xdr:to>
    <xdr:pic>
      <xdr:nvPicPr>
        <xdr:cNvPr id="425" name="图片 25" descr="10"/>
        <xdr:cNvPicPr/>
      </xdr:nvPicPr>
      <xdr:blipFill>
        <a:blip r:embed="rId73"/>
        <a:stretch/>
      </xdr:blipFill>
      <xdr:spPr>
        <a:xfrm>
          <a:off x="5605920" y="23994000"/>
          <a:ext cx="1170720" cy="1173240"/>
        </a:xfrm>
        <a:prstGeom prst="rect">
          <a:avLst/>
        </a:prstGeom>
        <a:noFill/>
        <a:ln w="9525">
          <a:noFill/>
        </a:ln>
      </xdr:spPr>
    </xdr:pic>
    <xdr:clientData/>
  </xdr:twoCellAnchor>
  <xdr:twoCellAnchor editAs="oneCell">
    <xdr:from>
      <xdr:col>1</xdr:col>
      <xdr:colOff>38160</xdr:colOff>
      <xdr:row>12</xdr:row>
      <xdr:rowOff>140760</xdr:rowOff>
    </xdr:from>
    <xdr:to>
      <xdr:col>1</xdr:col>
      <xdr:colOff>1208880</xdr:colOff>
      <xdr:row>12</xdr:row>
      <xdr:rowOff>1319040</xdr:rowOff>
    </xdr:to>
    <xdr:pic>
      <xdr:nvPicPr>
        <xdr:cNvPr id="426" name="图片 31" descr="1"/>
        <xdr:cNvPicPr/>
      </xdr:nvPicPr>
      <xdr:blipFill>
        <a:blip r:embed="rId74"/>
        <a:stretch/>
      </xdr:blipFill>
      <xdr:spPr>
        <a:xfrm>
          <a:off x="4039920" y="10719720"/>
          <a:ext cx="1170720" cy="1178280"/>
        </a:xfrm>
        <a:prstGeom prst="rect">
          <a:avLst/>
        </a:prstGeom>
        <a:noFill/>
        <a:ln w="9525">
          <a:noFill/>
        </a:ln>
      </xdr:spPr>
    </xdr:pic>
    <xdr:clientData/>
  </xdr:twoCellAnchor>
  <xdr:twoCellAnchor editAs="oneCell">
    <xdr:from>
      <xdr:col>2</xdr:col>
      <xdr:colOff>38160</xdr:colOff>
      <xdr:row>12</xdr:row>
      <xdr:rowOff>144000</xdr:rowOff>
    </xdr:from>
    <xdr:to>
      <xdr:col>2</xdr:col>
      <xdr:colOff>1208880</xdr:colOff>
      <xdr:row>12</xdr:row>
      <xdr:rowOff>1315440</xdr:rowOff>
    </xdr:to>
    <xdr:pic>
      <xdr:nvPicPr>
        <xdr:cNvPr id="427" name="图片 38" descr="9"/>
        <xdr:cNvPicPr/>
      </xdr:nvPicPr>
      <xdr:blipFill>
        <a:blip r:embed="rId75"/>
        <a:stretch/>
      </xdr:blipFill>
      <xdr:spPr>
        <a:xfrm>
          <a:off x="5605920" y="10722960"/>
          <a:ext cx="1170720" cy="1171440"/>
        </a:xfrm>
        <a:prstGeom prst="rect">
          <a:avLst/>
        </a:prstGeom>
        <a:noFill/>
        <a:ln w="9525">
          <a:noFill/>
        </a:ln>
      </xdr:spPr>
    </xdr:pic>
    <xdr:clientData/>
  </xdr:twoCellAnchor>
  <xdr:twoCellAnchor editAs="twoCell">
    <xdr:from>
      <xdr:col>0</xdr:col>
      <xdr:colOff>9360</xdr:colOff>
      <xdr:row>12</xdr:row>
      <xdr:rowOff>0</xdr:rowOff>
    </xdr:from>
    <xdr:to>
      <xdr:col>0</xdr:col>
      <xdr:colOff>836640</xdr:colOff>
      <xdr:row>12</xdr:row>
      <xdr:rowOff>297000</xdr:rowOff>
    </xdr:to>
    <xdr:pic>
      <xdr:nvPicPr>
        <xdr:cNvPr id="428" name="图片 54" descr="快充"/>
        <xdr:cNvPicPr/>
      </xdr:nvPicPr>
      <xdr:blipFill>
        <a:blip r:embed="rId76"/>
        <a:stretch/>
      </xdr:blipFill>
      <xdr:spPr>
        <a:xfrm>
          <a:off x="9360" y="10578960"/>
          <a:ext cx="827280" cy="297000"/>
        </a:xfrm>
        <a:prstGeom prst="rect">
          <a:avLst/>
        </a:prstGeom>
        <a:noFill/>
        <a:ln w="9525">
          <a:noFill/>
        </a:ln>
      </xdr:spPr>
    </xdr:pic>
    <xdr:clientData/>
  </xdr:twoCellAnchor>
  <xdr:twoCellAnchor editAs="oneCell">
    <xdr:from>
      <xdr:col>1</xdr:col>
      <xdr:colOff>38160</xdr:colOff>
      <xdr:row>6</xdr:row>
      <xdr:rowOff>141480</xdr:rowOff>
    </xdr:from>
    <xdr:to>
      <xdr:col>1</xdr:col>
      <xdr:colOff>1208880</xdr:colOff>
      <xdr:row>6</xdr:row>
      <xdr:rowOff>1318680</xdr:rowOff>
    </xdr:to>
    <xdr:pic>
      <xdr:nvPicPr>
        <xdr:cNvPr id="429" name="图片 3" descr="1"/>
        <xdr:cNvPicPr/>
      </xdr:nvPicPr>
      <xdr:blipFill>
        <a:blip r:embed="rId77"/>
        <a:stretch/>
      </xdr:blipFill>
      <xdr:spPr>
        <a:xfrm>
          <a:off x="4039920" y="4459320"/>
          <a:ext cx="1170720" cy="1177200"/>
        </a:xfrm>
        <a:prstGeom prst="rect">
          <a:avLst/>
        </a:prstGeom>
        <a:noFill/>
        <a:ln w="0">
          <a:noFill/>
        </a:ln>
      </xdr:spPr>
    </xdr:pic>
    <xdr:clientData/>
  </xdr:twoCellAnchor>
  <xdr:twoCellAnchor editAs="oneCell">
    <xdr:from>
      <xdr:col>1</xdr:col>
      <xdr:colOff>38160</xdr:colOff>
      <xdr:row>7</xdr:row>
      <xdr:rowOff>144360</xdr:rowOff>
    </xdr:from>
    <xdr:to>
      <xdr:col>1</xdr:col>
      <xdr:colOff>1208880</xdr:colOff>
      <xdr:row>7</xdr:row>
      <xdr:rowOff>1315080</xdr:rowOff>
    </xdr:to>
    <xdr:pic>
      <xdr:nvPicPr>
        <xdr:cNvPr id="430" name="图片 4" descr="3"/>
        <xdr:cNvPicPr/>
      </xdr:nvPicPr>
      <xdr:blipFill>
        <a:blip r:embed="rId78"/>
        <a:stretch/>
      </xdr:blipFill>
      <xdr:spPr>
        <a:xfrm>
          <a:off x="4039920" y="5922720"/>
          <a:ext cx="1170720" cy="1170720"/>
        </a:xfrm>
        <a:prstGeom prst="rect">
          <a:avLst/>
        </a:prstGeom>
        <a:noFill/>
        <a:ln w="0">
          <a:noFill/>
        </a:ln>
      </xdr:spPr>
    </xdr:pic>
    <xdr:clientData/>
  </xdr:twoCellAnchor>
  <xdr:twoCellAnchor editAs="oneCell">
    <xdr:from>
      <xdr:col>2</xdr:col>
      <xdr:colOff>38160</xdr:colOff>
      <xdr:row>6</xdr:row>
      <xdr:rowOff>141480</xdr:rowOff>
    </xdr:from>
    <xdr:to>
      <xdr:col>2</xdr:col>
      <xdr:colOff>1208880</xdr:colOff>
      <xdr:row>6</xdr:row>
      <xdr:rowOff>1318680</xdr:rowOff>
    </xdr:to>
    <xdr:pic>
      <xdr:nvPicPr>
        <xdr:cNvPr id="431" name="图片 5" descr="2"/>
        <xdr:cNvPicPr/>
      </xdr:nvPicPr>
      <xdr:blipFill>
        <a:blip r:embed="rId79"/>
        <a:stretch/>
      </xdr:blipFill>
      <xdr:spPr>
        <a:xfrm>
          <a:off x="5605920" y="4459320"/>
          <a:ext cx="1170720" cy="1177200"/>
        </a:xfrm>
        <a:prstGeom prst="rect">
          <a:avLst/>
        </a:prstGeom>
        <a:noFill/>
        <a:ln w="0">
          <a:noFill/>
        </a:ln>
      </xdr:spPr>
    </xdr:pic>
    <xdr:clientData/>
  </xdr:twoCellAnchor>
  <xdr:twoCellAnchor editAs="oneCell">
    <xdr:from>
      <xdr:col>2</xdr:col>
      <xdr:colOff>38160</xdr:colOff>
      <xdr:row>7</xdr:row>
      <xdr:rowOff>144360</xdr:rowOff>
    </xdr:from>
    <xdr:to>
      <xdr:col>2</xdr:col>
      <xdr:colOff>1208880</xdr:colOff>
      <xdr:row>7</xdr:row>
      <xdr:rowOff>1315080</xdr:rowOff>
    </xdr:to>
    <xdr:pic>
      <xdr:nvPicPr>
        <xdr:cNvPr id="432" name="图片 6" descr="4"/>
        <xdr:cNvPicPr/>
      </xdr:nvPicPr>
      <xdr:blipFill>
        <a:blip r:embed="rId80"/>
        <a:stretch/>
      </xdr:blipFill>
      <xdr:spPr>
        <a:xfrm>
          <a:off x="5605920" y="5922720"/>
          <a:ext cx="1170720" cy="1170720"/>
        </a:xfrm>
        <a:prstGeom prst="rect">
          <a:avLst/>
        </a:prstGeom>
        <a:noFill/>
        <a:ln w="0">
          <a:noFill/>
        </a:ln>
      </xdr:spPr>
    </xdr:pic>
    <xdr:clientData/>
  </xdr:twoCellAnchor>
  <xdr:twoCellAnchor editAs="oneCell">
    <xdr:from>
      <xdr:col>1</xdr:col>
      <xdr:colOff>38160</xdr:colOff>
      <xdr:row>51</xdr:row>
      <xdr:rowOff>144360</xdr:rowOff>
    </xdr:from>
    <xdr:to>
      <xdr:col>1</xdr:col>
      <xdr:colOff>1208880</xdr:colOff>
      <xdr:row>51</xdr:row>
      <xdr:rowOff>1315080</xdr:rowOff>
    </xdr:to>
    <xdr:pic>
      <xdr:nvPicPr>
        <xdr:cNvPr id="433" name="图片 9" descr="4"/>
        <xdr:cNvPicPr/>
      </xdr:nvPicPr>
      <xdr:blipFill>
        <a:blip r:embed="rId81"/>
        <a:stretch/>
      </xdr:blipFill>
      <xdr:spPr>
        <a:xfrm>
          <a:off x="4039920" y="56507040"/>
          <a:ext cx="1170720" cy="1170720"/>
        </a:xfrm>
        <a:prstGeom prst="rect">
          <a:avLst/>
        </a:prstGeom>
        <a:noFill/>
        <a:ln w="0">
          <a:noFill/>
        </a:ln>
      </xdr:spPr>
    </xdr:pic>
    <xdr:clientData/>
  </xdr:twoCellAnchor>
  <xdr:twoCellAnchor editAs="oneCell">
    <xdr:from>
      <xdr:col>2</xdr:col>
      <xdr:colOff>38160</xdr:colOff>
      <xdr:row>51</xdr:row>
      <xdr:rowOff>144360</xdr:rowOff>
    </xdr:from>
    <xdr:to>
      <xdr:col>2</xdr:col>
      <xdr:colOff>1208880</xdr:colOff>
      <xdr:row>51</xdr:row>
      <xdr:rowOff>1315080</xdr:rowOff>
    </xdr:to>
    <xdr:pic>
      <xdr:nvPicPr>
        <xdr:cNvPr id="434" name="图片 10" descr="10"/>
        <xdr:cNvPicPr/>
      </xdr:nvPicPr>
      <xdr:blipFill>
        <a:blip r:embed="rId82"/>
        <a:stretch/>
      </xdr:blipFill>
      <xdr:spPr>
        <a:xfrm>
          <a:off x="5605920" y="56507040"/>
          <a:ext cx="1170720" cy="1170720"/>
        </a:xfrm>
        <a:prstGeom prst="rect">
          <a:avLst/>
        </a:prstGeom>
        <a:noFill/>
        <a:ln w="0">
          <a:noFill/>
        </a:ln>
      </xdr:spPr>
    </xdr:pic>
    <xdr:clientData/>
  </xdr:twoCellAnchor>
  <xdr:twoCellAnchor editAs="oneCell">
    <xdr:from>
      <xdr:col>1</xdr:col>
      <xdr:colOff>38160</xdr:colOff>
      <xdr:row>47</xdr:row>
      <xdr:rowOff>144360</xdr:rowOff>
    </xdr:from>
    <xdr:to>
      <xdr:col>1</xdr:col>
      <xdr:colOff>1208880</xdr:colOff>
      <xdr:row>47</xdr:row>
      <xdr:rowOff>1315080</xdr:rowOff>
    </xdr:to>
    <xdr:pic>
      <xdr:nvPicPr>
        <xdr:cNvPr id="435" name="图片 11" descr="4"/>
        <xdr:cNvPicPr/>
      </xdr:nvPicPr>
      <xdr:blipFill>
        <a:blip r:embed="rId83"/>
        <a:stretch/>
      </xdr:blipFill>
      <xdr:spPr>
        <a:xfrm>
          <a:off x="4039920" y="52062120"/>
          <a:ext cx="1170720" cy="1170720"/>
        </a:xfrm>
        <a:prstGeom prst="rect">
          <a:avLst/>
        </a:prstGeom>
        <a:noFill/>
        <a:ln w="0">
          <a:noFill/>
        </a:ln>
      </xdr:spPr>
    </xdr:pic>
    <xdr:clientData/>
  </xdr:twoCellAnchor>
  <xdr:twoCellAnchor editAs="oneCell">
    <xdr:from>
      <xdr:col>2</xdr:col>
      <xdr:colOff>38160</xdr:colOff>
      <xdr:row>47</xdr:row>
      <xdr:rowOff>144360</xdr:rowOff>
    </xdr:from>
    <xdr:to>
      <xdr:col>2</xdr:col>
      <xdr:colOff>1208880</xdr:colOff>
      <xdr:row>47</xdr:row>
      <xdr:rowOff>1315080</xdr:rowOff>
    </xdr:to>
    <xdr:pic>
      <xdr:nvPicPr>
        <xdr:cNvPr id="436" name="图片 12" descr="10"/>
        <xdr:cNvPicPr/>
      </xdr:nvPicPr>
      <xdr:blipFill>
        <a:blip r:embed="rId84"/>
        <a:stretch/>
      </xdr:blipFill>
      <xdr:spPr>
        <a:xfrm>
          <a:off x="5605920" y="52062120"/>
          <a:ext cx="1170720" cy="1170720"/>
        </a:xfrm>
        <a:prstGeom prst="rect">
          <a:avLst/>
        </a:prstGeom>
        <a:noFill/>
        <a:ln w="0">
          <a:noFill/>
        </a:ln>
      </xdr:spPr>
    </xdr:pic>
    <xdr:clientData/>
  </xdr:twoCellAnchor>
  <xdr:twoCellAnchor editAs="oneCell">
    <xdr:from>
      <xdr:col>1</xdr:col>
      <xdr:colOff>38160</xdr:colOff>
      <xdr:row>43</xdr:row>
      <xdr:rowOff>144000</xdr:rowOff>
    </xdr:from>
    <xdr:to>
      <xdr:col>1</xdr:col>
      <xdr:colOff>1208880</xdr:colOff>
      <xdr:row>43</xdr:row>
      <xdr:rowOff>1315440</xdr:rowOff>
    </xdr:to>
    <xdr:pic>
      <xdr:nvPicPr>
        <xdr:cNvPr id="437" name="图片 126" descr="3"/>
        <xdr:cNvPicPr/>
      </xdr:nvPicPr>
      <xdr:blipFill>
        <a:blip r:embed="rId85"/>
        <a:stretch/>
      </xdr:blipFill>
      <xdr:spPr>
        <a:xfrm>
          <a:off x="4039920" y="47616480"/>
          <a:ext cx="1170720" cy="1171440"/>
        </a:xfrm>
        <a:prstGeom prst="rect">
          <a:avLst/>
        </a:prstGeom>
        <a:noFill/>
        <a:ln w="9525">
          <a:noFill/>
        </a:ln>
      </xdr:spPr>
    </xdr:pic>
    <xdr:clientData/>
  </xdr:twoCellAnchor>
  <xdr:twoCellAnchor editAs="oneCell">
    <xdr:from>
      <xdr:col>2</xdr:col>
      <xdr:colOff>38160</xdr:colOff>
      <xdr:row>43</xdr:row>
      <xdr:rowOff>144000</xdr:rowOff>
    </xdr:from>
    <xdr:to>
      <xdr:col>2</xdr:col>
      <xdr:colOff>1208880</xdr:colOff>
      <xdr:row>43</xdr:row>
      <xdr:rowOff>1315440</xdr:rowOff>
    </xdr:to>
    <xdr:pic>
      <xdr:nvPicPr>
        <xdr:cNvPr id="438" name="图片 18" descr="10"/>
        <xdr:cNvPicPr/>
      </xdr:nvPicPr>
      <xdr:blipFill>
        <a:blip r:embed="rId86"/>
        <a:stretch/>
      </xdr:blipFill>
      <xdr:spPr>
        <a:xfrm>
          <a:off x="5605920" y="47616480"/>
          <a:ext cx="1170720" cy="1171440"/>
        </a:xfrm>
        <a:prstGeom prst="rect">
          <a:avLst/>
        </a:prstGeom>
        <a:noFill/>
        <a:ln w="0">
          <a:noFill/>
        </a:ln>
      </xdr:spPr>
    </xdr:pic>
    <xdr:clientData/>
  </xdr:twoCellAnchor>
  <xdr:twoCellAnchor editAs="oneCell">
    <xdr:from>
      <xdr:col>1</xdr:col>
      <xdr:colOff>38160</xdr:colOff>
      <xdr:row>10</xdr:row>
      <xdr:rowOff>145080</xdr:rowOff>
    </xdr:from>
    <xdr:to>
      <xdr:col>1</xdr:col>
      <xdr:colOff>1208880</xdr:colOff>
      <xdr:row>10</xdr:row>
      <xdr:rowOff>1314720</xdr:rowOff>
    </xdr:to>
    <xdr:pic>
      <xdr:nvPicPr>
        <xdr:cNvPr id="439" name="图片 1" descr="1"/>
        <xdr:cNvPicPr/>
      </xdr:nvPicPr>
      <xdr:blipFill>
        <a:blip r:embed="rId87"/>
        <a:stretch/>
      </xdr:blipFill>
      <xdr:spPr>
        <a:xfrm>
          <a:off x="4039920" y="7803360"/>
          <a:ext cx="1170720" cy="1169640"/>
        </a:xfrm>
        <a:prstGeom prst="rect">
          <a:avLst/>
        </a:prstGeom>
        <a:noFill/>
        <a:ln w="0">
          <a:noFill/>
        </a:ln>
      </xdr:spPr>
    </xdr:pic>
    <xdr:clientData/>
  </xdr:twoCellAnchor>
  <xdr:twoCellAnchor editAs="oneCell">
    <xdr:from>
      <xdr:col>2</xdr:col>
      <xdr:colOff>38160</xdr:colOff>
      <xdr:row>10</xdr:row>
      <xdr:rowOff>144000</xdr:rowOff>
    </xdr:from>
    <xdr:to>
      <xdr:col>2</xdr:col>
      <xdr:colOff>1208880</xdr:colOff>
      <xdr:row>10</xdr:row>
      <xdr:rowOff>1316160</xdr:rowOff>
    </xdr:to>
    <xdr:pic>
      <xdr:nvPicPr>
        <xdr:cNvPr id="440" name="图片 2" descr="8"/>
        <xdr:cNvPicPr/>
      </xdr:nvPicPr>
      <xdr:blipFill>
        <a:blip r:embed="rId88"/>
        <a:stretch/>
      </xdr:blipFill>
      <xdr:spPr>
        <a:xfrm>
          <a:off x="5605920" y="7802280"/>
          <a:ext cx="1170720" cy="1172160"/>
        </a:xfrm>
        <a:prstGeom prst="rect">
          <a:avLst/>
        </a:prstGeom>
        <a:noFill/>
        <a:ln w="0">
          <a:noFill/>
        </a:ln>
      </xdr:spPr>
    </xdr:pic>
    <xdr:clientData/>
  </xdr:twoCellAnchor>
  <xdr:twoCellAnchor editAs="oneCell">
    <xdr:from>
      <xdr:col>1</xdr:col>
      <xdr:colOff>38160</xdr:colOff>
      <xdr:row>11</xdr:row>
      <xdr:rowOff>142200</xdr:rowOff>
    </xdr:from>
    <xdr:to>
      <xdr:col>1</xdr:col>
      <xdr:colOff>1208880</xdr:colOff>
      <xdr:row>11</xdr:row>
      <xdr:rowOff>1317600</xdr:rowOff>
    </xdr:to>
    <xdr:pic>
      <xdr:nvPicPr>
        <xdr:cNvPr id="441" name="图片 13" descr="1"/>
        <xdr:cNvPicPr/>
      </xdr:nvPicPr>
      <xdr:blipFill>
        <a:blip r:embed="rId89"/>
        <a:stretch/>
      </xdr:blipFill>
      <xdr:spPr>
        <a:xfrm>
          <a:off x="4039920" y="9260640"/>
          <a:ext cx="1170720" cy="1175400"/>
        </a:xfrm>
        <a:prstGeom prst="rect">
          <a:avLst/>
        </a:prstGeom>
        <a:noFill/>
        <a:ln w="0">
          <a:noFill/>
        </a:ln>
      </xdr:spPr>
    </xdr:pic>
    <xdr:clientData/>
  </xdr:twoCellAnchor>
  <xdr:twoCellAnchor editAs="oneCell">
    <xdr:from>
      <xdr:col>2</xdr:col>
      <xdr:colOff>38160</xdr:colOff>
      <xdr:row>11</xdr:row>
      <xdr:rowOff>144720</xdr:rowOff>
    </xdr:from>
    <xdr:to>
      <xdr:col>2</xdr:col>
      <xdr:colOff>1208880</xdr:colOff>
      <xdr:row>11</xdr:row>
      <xdr:rowOff>1315080</xdr:rowOff>
    </xdr:to>
    <xdr:pic>
      <xdr:nvPicPr>
        <xdr:cNvPr id="442" name="图片 14" descr="8"/>
        <xdr:cNvPicPr/>
      </xdr:nvPicPr>
      <xdr:blipFill>
        <a:blip r:embed="rId90"/>
        <a:stretch/>
      </xdr:blipFill>
      <xdr:spPr>
        <a:xfrm>
          <a:off x="5605920" y="9263160"/>
          <a:ext cx="1170720" cy="1170360"/>
        </a:xfrm>
        <a:prstGeom prst="rect">
          <a:avLst/>
        </a:prstGeom>
        <a:noFill/>
        <a:ln w="0">
          <a:noFill/>
        </a:ln>
      </xdr:spPr>
    </xdr:pic>
    <xdr:clientData/>
  </xdr:twoCellAnchor>
  <xdr:twoCellAnchor editAs="twoCell">
    <xdr:from>
      <xdr:col>0</xdr:col>
      <xdr:colOff>9360</xdr:colOff>
      <xdr:row>10</xdr:row>
      <xdr:rowOff>0</xdr:rowOff>
    </xdr:from>
    <xdr:to>
      <xdr:col>0</xdr:col>
      <xdr:colOff>836640</xdr:colOff>
      <xdr:row>10</xdr:row>
      <xdr:rowOff>297000</xdr:rowOff>
    </xdr:to>
    <xdr:pic>
      <xdr:nvPicPr>
        <xdr:cNvPr id="443" name="图片 54" descr="快充"/>
        <xdr:cNvPicPr/>
      </xdr:nvPicPr>
      <xdr:blipFill>
        <a:blip r:embed="rId91"/>
        <a:stretch/>
      </xdr:blipFill>
      <xdr:spPr>
        <a:xfrm>
          <a:off x="9360" y="7658280"/>
          <a:ext cx="827280" cy="297000"/>
        </a:xfrm>
        <a:prstGeom prst="rect">
          <a:avLst/>
        </a:prstGeom>
        <a:noFill/>
        <a:ln w="9525">
          <a:noFill/>
        </a:ln>
      </xdr:spPr>
    </xdr:pic>
    <xdr:clientData/>
  </xdr:twoCellAnchor>
  <xdr:twoCellAnchor editAs="twoCell">
    <xdr:from>
      <xdr:col>0</xdr:col>
      <xdr:colOff>9360</xdr:colOff>
      <xdr:row>11</xdr:row>
      <xdr:rowOff>0</xdr:rowOff>
    </xdr:from>
    <xdr:to>
      <xdr:col>0</xdr:col>
      <xdr:colOff>836640</xdr:colOff>
      <xdr:row>11</xdr:row>
      <xdr:rowOff>297000</xdr:rowOff>
    </xdr:to>
    <xdr:pic>
      <xdr:nvPicPr>
        <xdr:cNvPr id="444" name="图片 54" descr="快充"/>
        <xdr:cNvPicPr/>
      </xdr:nvPicPr>
      <xdr:blipFill>
        <a:blip r:embed="rId92"/>
        <a:stretch/>
      </xdr:blipFill>
      <xdr:spPr>
        <a:xfrm>
          <a:off x="9360" y="9118440"/>
          <a:ext cx="827280" cy="297000"/>
        </a:xfrm>
        <a:prstGeom prst="rect">
          <a:avLst/>
        </a:prstGeom>
        <a:noFill/>
        <a:ln w="9525">
          <a:noFill/>
        </a:ln>
      </xdr:spPr>
    </xdr:pic>
    <xdr:clientData/>
  </xdr:twoCellAnchor>
  <xdr:twoCellAnchor editAs="oneCell">
    <xdr:from>
      <xdr:col>2</xdr:col>
      <xdr:colOff>38160</xdr:colOff>
      <xdr:row>5</xdr:row>
      <xdr:rowOff>141840</xdr:rowOff>
    </xdr:from>
    <xdr:to>
      <xdr:col>2</xdr:col>
      <xdr:colOff>1208880</xdr:colOff>
      <xdr:row>5</xdr:row>
      <xdr:rowOff>1317960</xdr:rowOff>
    </xdr:to>
    <xdr:pic>
      <xdr:nvPicPr>
        <xdr:cNvPr id="445" name="图片 15" descr="8"/>
        <xdr:cNvPicPr/>
      </xdr:nvPicPr>
      <xdr:blipFill>
        <a:blip r:embed="rId93"/>
        <a:stretch/>
      </xdr:blipFill>
      <xdr:spPr>
        <a:xfrm>
          <a:off x="5605920" y="2999520"/>
          <a:ext cx="1170720" cy="1176120"/>
        </a:xfrm>
        <a:prstGeom prst="rect">
          <a:avLst/>
        </a:prstGeom>
        <a:noFill/>
        <a:ln w="0">
          <a:noFill/>
        </a:ln>
      </xdr:spPr>
    </xdr:pic>
    <xdr:clientData/>
  </xdr:twoCellAnchor>
  <xdr:twoCellAnchor editAs="oneCell">
    <xdr:from>
      <xdr:col>1</xdr:col>
      <xdr:colOff>38160</xdr:colOff>
      <xdr:row>5</xdr:row>
      <xdr:rowOff>144720</xdr:rowOff>
    </xdr:from>
    <xdr:to>
      <xdr:col>1</xdr:col>
      <xdr:colOff>1208880</xdr:colOff>
      <xdr:row>5</xdr:row>
      <xdr:rowOff>1315080</xdr:rowOff>
    </xdr:to>
    <xdr:pic>
      <xdr:nvPicPr>
        <xdr:cNvPr id="446" name="图片 16" descr="1"/>
        <xdr:cNvPicPr/>
      </xdr:nvPicPr>
      <xdr:blipFill>
        <a:blip r:embed="rId94"/>
        <a:stretch/>
      </xdr:blipFill>
      <xdr:spPr>
        <a:xfrm>
          <a:off x="4039920" y="3002400"/>
          <a:ext cx="1170720" cy="1170360"/>
        </a:xfrm>
        <a:prstGeom prst="rect">
          <a:avLst/>
        </a:prstGeom>
        <a:noFill/>
        <a:ln w="0">
          <a:noFill/>
        </a:ln>
      </xdr:spPr>
    </xdr:pic>
    <xdr:clientData/>
  </xdr:twoCellAnchor>
  <xdr:twoCellAnchor editAs="twoCell">
    <xdr:from>
      <xdr:col>0</xdr:col>
      <xdr:colOff>9360</xdr:colOff>
      <xdr:row>5</xdr:row>
      <xdr:rowOff>0</xdr:rowOff>
    </xdr:from>
    <xdr:to>
      <xdr:col>0</xdr:col>
      <xdr:colOff>836640</xdr:colOff>
      <xdr:row>5</xdr:row>
      <xdr:rowOff>297000</xdr:rowOff>
    </xdr:to>
    <xdr:pic>
      <xdr:nvPicPr>
        <xdr:cNvPr id="447" name="图片 54" descr="快充"/>
        <xdr:cNvPicPr/>
      </xdr:nvPicPr>
      <xdr:blipFill>
        <a:blip r:embed="rId95"/>
        <a:stretch/>
      </xdr:blipFill>
      <xdr:spPr>
        <a:xfrm>
          <a:off x="9360" y="2857680"/>
          <a:ext cx="827280" cy="297000"/>
        </a:xfrm>
        <a:prstGeom prst="rect">
          <a:avLst/>
        </a:prstGeom>
        <a:noFill/>
        <a:ln w="9525">
          <a:noFill/>
        </a:ln>
      </xdr:spPr>
    </xdr:pic>
    <xdr:clientData/>
  </xdr:twoCellAnchor>
  <xdr:twoCellAnchor editAs="oneCell">
    <xdr:from>
      <xdr:col>1</xdr:col>
      <xdr:colOff>38160</xdr:colOff>
      <xdr:row>4</xdr:row>
      <xdr:rowOff>142200</xdr:rowOff>
    </xdr:from>
    <xdr:to>
      <xdr:col>1</xdr:col>
      <xdr:colOff>1208880</xdr:colOff>
      <xdr:row>4</xdr:row>
      <xdr:rowOff>1317600</xdr:rowOff>
    </xdr:to>
    <xdr:pic>
      <xdr:nvPicPr>
        <xdr:cNvPr id="448" name="图片 7" descr="2"/>
        <xdr:cNvPicPr/>
      </xdr:nvPicPr>
      <xdr:blipFill>
        <a:blip r:embed="rId96"/>
        <a:stretch/>
      </xdr:blipFill>
      <xdr:spPr>
        <a:xfrm>
          <a:off x="4039920" y="1539360"/>
          <a:ext cx="1170720" cy="1175400"/>
        </a:xfrm>
        <a:prstGeom prst="rect">
          <a:avLst/>
        </a:prstGeom>
        <a:noFill/>
        <a:ln w="0">
          <a:noFill/>
        </a:ln>
      </xdr:spPr>
    </xdr:pic>
    <xdr:clientData/>
  </xdr:twoCellAnchor>
  <xdr:twoCellAnchor editAs="oneCell">
    <xdr:from>
      <xdr:col>2</xdr:col>
      <xdr:colOff>38160</xdr:colOff>
      <xdr:row>4</xdr:row>
      <xdr:rowOff>144360</xdr:rowOff>
    </xdr:from>
    <xdr:to>
      <xdr:col>2</xdr:col>
      <xdr:colOff>1208880</xdr:colOff>
      <xdr:row>4</xdr:row>
      <xdr:rowOff>1315080</xdr:rowOff>
    </xdr:to>
    <xdr:pic>
      <xdr:nvPicPr>
        <xdr:cNvPr id="449" name="图片 8" descr="8"/>
        <xdr:cNvPicPr/>
      </xdr:nvPicPr>
      <xdr:blipFill>
        <a:blip r:embed="rId97"/>
        <a:stretch/>
      </xdr:blipFill>
      <xdr:spPr>
        <a:xfrm>
          <a:off x="5605920" y="1541520"/>
          <a:ext cx="1170720" cy="1170720"/>
        </a:xfrm>
        <a:prstGeom prst="rect">
          <a:avLst/>
        </a:prstGeom>
        <a:noFill/>
        <a:ln w="0">
          <a:noFill/>
        </a:ln>
      </xdr:spPr>
    </xdr:pic>
    <xdr:clientData/>
  </xdr:twoCellAnchor>
  <xdr:twoCellAnchor editAs="twoCell">
    <xdr:from>
      <xdr:col>0</xdr:col>
      <xdr:colOff>9360</xdr:colOff>
      <xdr:row>4</xdr:row>
      <xdr:rowOff>0</xdr:rowOff>
    </xdr:from>
    <xdr:to>
      <xdr:col>0</xdr:col>
      <xdr:colOff>836640</xdr:colOff>
      <xdr:row>4</xdr:row>
      <xdr:rowOff>297000</xdr:rowOff>
    </xdr:to>
    <xdr:pic>
      <xdr:nvPicPr>
        <xdr:cNvPr id="450" name="图片 54" descr="快充"/>
        <xdr:cNvPicPr/>
      </xdr:nvPicPr>
      <xdr:blipFill>
        <a:blip r:embed="rId98"/>
        <a:stretch/>
      </xdr:blipFill>
      <xdr:spPr>
        <a:xfrm>
          <a:off x="9360" y="1397160"/>
          <a:ext cx="827280" cy="297000"/>
        </a:xfrm>
        <a:prstGeom prst="rect">
          <a:avLst/>
        </a:prstGeom>
        <a:noFill/>
        <a:ln w="9525">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38160</xdr:colOff>
      <xdr:row>34</xdr:row>
      <xdr:rowOff>174960</xdr:rowOff>
    </xdr:from>
    <xdr:to>
      <xdr:col>1</xdr:col>
      <xdr:colOff>1208880</xdr:colOff>
      <xdr:row>35</xdr:row>
      <xdr:rowOff>586440</xdr:rowOff>
    </xdr:to>
    <xdr:pic>
      <xdr:nvPicPr>
        <xdr:cNvPr id="451" name="图片 117" descr="1"/>
        <xdr:cNvPicPr/>
      </xdr:nvPicPr>
      <xdr:blipFill>
        <a:blip r:embed="rId1"/>
        <a:stretch/>
      </xdr:blipFill>
      <xdr:spPr>
        <a:xfrm>
          <a:off x="4039920" y="39799080"/>
          <a:ext cx="1170720" cy="1173240"/>
        </a:xfrm>
        <a:prstGeom prst="rect">
          <a:avLst/>
        </a:prstGeom>
        <a:noFill/>
        <a:ln w="9525">
          <a:noFill/>
        </a:ln>
      </xdr:spPr>
    </xdr:pic>
    <xdr:clientData/>
  </xdr:twoCellAnchor>
  <xdr:twoCellAnchor editAs="oneCell">
    <xdr:from>
      <xdr:col>1</xdr:col>
      <xdr:colOff>38160</xdr:colOff>
      <xdr:row>31</xdr:row>
      <xdr:rowOff>176400</xdr:rowOff>
    </xdr:from>
    <xdr:to>
      <xdr:col>1</xdr:col>
      <xdr:colOff>1208880</xdr:colOff>
      <xdr:row>32</xdr:row>
      <xdr:rowOff>584640</xdr:rowOff>
    </xdr:to>
    <xdr:pic>
      <xdr:nvPicPr>
        <xdr:cNvPr id="452" name="图片 121" descr="1"/>
        <xdr:cNvPicPr/>
      </xdr:nvPicPr>
      <xdr:blipFill>
        <a:blip r:embed="rId2"/>
        <a:stretch/>
      </xdr:blipFill>
      <xdr:spPr>
        <a:xfrm>
          <a:off x="4039920" y="36815760"/>
          <a:ext cx="1170720" cy="1170360"/>
        </a:xfrm>
        <a:prstGeom prst="rect">
          <a:avLst/>
        </a:prstGeom>
        <a:noFill/>
        <a:ln w="9525">
          <a:noFill/>
        </a:ln>
      </xdr:spPr>
    </xdr:pic>
    <xdr:clientData/>
  </xdr:twoCellAnchor>
  <xdr:twoCellAnchor editAs="twoCell">
    <xdr:from>
      <xdr:col>0</xdr:col>
      <xdr:colOff>9360</xdr:colOff>
      <xdr:row>31</xdr:row>
      <xdr:rowOff>3240</xdr:rowOff>
    </xdr:from>
    <xdr:to>
      <xdr:col>0</xdr:col>
      <xdr:colOff>837360</xdr:colOff>
      <xdr:row>31</xdr:row>
      <xdr:rowOff>299880</xdr:rowOff>
    </xdr:to>
    <xdr:pic>
      <xdr:nvPicPr>
        <xdr:cNvPr id="453" name="图片 189" descr="快充"/>
        <xdr:cNvPicPr/>
      </xdr:nvPicPr>
      <xdr:blipFill>
        <a:blip r:embed="rId3"/>
        <a:stretch/>
      </xdr:blipFill>
      <xdr:spPr>
        <a:xfrm>
          <a:off x="9360" y="36642600"/>
          <a:ext cx="828000" cy="296640"/>
        </a:xfrm>
        <a:prstGeom prst="rect">
          <a:avLst/>
        </a:prstGeom>
        <a:noFill/>
        <a:ln w="9525">
          <a:noFill/>
        </a:ln>
      </xdr:spPr>
    </xdr:pic>
    <xdr:clientData/>
  </xdr:twoCellAnchor>
  <xdr:twoCellAnchor editAs="twoCell">
    <xdr:from>
      <xdr:col>0</xdr:col>
      <xdr:colOff>9360</xdr:colOff>
      <xdr:row>34</xdr:row>
      <xdr:rowOff>0</xdr:rowOff>
    </xdr:from>
    <xdr:to>
      <xdr:col>0</xdr:col>
      <xdr:colOff>837360</xdr:colOff>
      <xdr:row>34</xdr:row>
      <xdr:rowOff>297000</xdr:rowOff>
    </xdr:to>
    <xdr:pic>
      <xdr:nvPicPr>
        <xdr:cNvPr id="454" name="图片 190" descr="快充"/>
        <xdr:cNvPicPr/>
      </xdr:nvPicPr>
      <xdr:blipFill>
        <a:blip r:embed="rId4"/>
        <a:stretch/>
      </xdr:blipFill>
      <xdr:spPr>
        <a:xfrm>
          <a:off x="9360" y="39624120"/>
          <a:ext cx="828000" cy="297000"/>
        </a:xfrm>
        <a:prstGeom prst="rect">
          <a:avLst/>
        </a:prstGeom>
        <a:noFill/>
        <a:ln w="9525">
          <a:noFill/>
        </a:ln>
      </xdr:spPr>
    </xdr:pic>
    <xdr:clientData/>
  </xdr:twoCellAnchor>
  <xdr:twoCellAnchor editAs="oneCell">
    <xdr:from>
      <xdr:col>1</xdr:col>
      <xdr:colOff>38160</xdr:colOff>
      <xdr:row>25</xdr:row>
      <xdr:rowOff>143640</xdr:rowOff>
    </xdr:from>
    <xdr:to>
      <xdr:col>1</xdr:col>
      <xdr:colOff>1208880</xdr:colOff>
      <xdr:row>25</xdr:row>
      <xdr:rowOff>1316160</xdr:rowOff>
    </xdr:to>
    <xdr:pic>
      <xdr:nvPicPr>
        <xdr:cNvPr id="455" name="图片 2" descr="2(4)"/>
        <xdr:cNvPicPr/>
      </xdr:nvPicPr>
      <xdr:blipFill>
        <a:blip r:embed="rId5"/>
        <a:stretch/>
      </xdr:blipFill>
      <xdr:spPr>
        <a:xfrm>
          <a:off x="4039920" y="28020240"/>
          <a:ext cx="1170720" cy="1172520"/>
        </a:xfrm>
        <a:prstGeom prst="rect">
          <a:avLst/>
        </a:prstGeom>
        <a:noFill/>
        <a:ln w="9525">
          <a:noFill/>
        </a:ln>
      </xdr:spPr>
    </xdr:pic>
    <xdr:clientData/>
  </xdr:twoCellAnchor>
  <xdr:twoCellAnchor editAs="oneCell">
    <xdr:from>
      <xdr:col>2</xdr:col>
      <xdr:colOff>38160</xdr:colOff>
      <xdr:row>25</xdr:row>
      <xdr:rowOff>146160</xdr:rowOff>
    </xdr:from>
    <xdr:to>
      <xdr:col>2</xdr:col>
      <xdr:colOff>1208880</xdr:colOff>
      <xdr:row>25</xdr:row>
      <xdr:rowOff>1313640</xdr:rowOff>
    </xdr:to>
    <xdr:pic>
      <xdr:nvPicPr>
        <xdr:cNvPr id="456" name="图片 7" descr="9(2)"/>
        <xdr:cNvPicPr/>
      </xdr:nvPicPr>
      <xdr:blipFill>
        <a:blip r:embed="rId6"/>
        <a:stretch/>
      </xdr:blipFill>
      <xdr:spPr>
        <a:xfrm>
          <a:off x="5605920" y="28022760"/>
          <a:ext cx="1170720" cy="1167480"/>
        </a:xfrm>
        <a:prstGeom prst="rect">
          <a:avLst/>
        </a:prstGeom>
        <a:noFill/>
        <a:ln w="9525">
          <a:noFill/>
        </a:ln>
      </xdr:spPr>
    </xdr:pic>
    <xdr:clientData/>
  </xdr:twoCellAnchor>
  <xdr:twoCellAnchor editAs="oneCell">
    <xdr:from>
      <xdr:col>1</xdr:col>
      <xdr:colOff>38160</xdr:colOff>
      <xdr:row>23</xdr:row>
      <xdr:rowOff>143640</xdr:rowOff>
    </xdr:from>
    <xdr:to>
      <xdr:col>1</xdr:col>
      <xdr:colOff>1208880</xdr:colOff>
      <xdr:row>23</xdr:row>
      <xdr:rowOff>1316160</xdr:rowOff>
    </xdr:to>
    <xdr:pic>
      <xdr:nvPicPr>
        <xdr:cNvPr id="457" name="图片 11" descr="2(2)"/>
        <xdr:cNvPicPr/>
      </xdr:nvPicPr>
      <xdr:blipFill>
        <a:blip r:embed="rId7"/>
        <a:stretch/>
      </xdr:blipFill>
      <xdr:spPr>
        <a:xfrm>
          <a:off x="4039920" y="25099200"/>
          <a:ext cx="1170720" cy="1172520"/>
        </a:xfrm>
        <a:prstGeom prst="rect">
          <a:avLst/>
        </a:prstGeom>
        <a:noFill/>
        <a:ln w="9525">
          <a:noFill/>
        </a:ln>
      </xdr:spPr>
    </xdr:pic>
    <xdr:clientData/>
  </xdr:twoCellAnchor>
  <xdr:twoCellAnchor editAs="oneCell">
    <xdr:from>
      <xdr:col>1</xdr:col>
      <xdr:colOff>38160</xdr:colOff>
      <xdr:row>24</xdr:row>
      <xdr:rowOff>145800</xdr:rowOff>
    </xdr:from>
    <xdr:to>
      <xdr:col>1</xdr:col>
      <xdr:colOff>1208880</xdr:colOff>
      <xdr:row>24</xdr:row>
      <xdr:rowOff>1313640</xdr:rowOff>
    </xdr:to>
    <xdr:pic>
      <xdr:nvPicPr>
        <xdr:cNvPr id="458" name="图片 12" descr="2(3)"/>
        <xdr:cNvPicPr/>
      </xdr:nvPicPr>
      <xdr:blipFill>
        <a:blip r:embed="rId8"/>
        <a:stretch/>
      </xdr:blipFill>
      <xdr:spPr>
        <a:xfrm>
          <a:off x="4039920" y="26561880"/>
          <a:ext cx="1170720" cy="1167840"/>
        </a:xfrm>
        <a:prstGeom prst="rect">
          <a:avLst/>
        </a:prstGeom>
        <a:noFill/>
        <a:ln w="9525">
          <a:noFill/>
        </a:ln>
      </xdr:spPr>
    </xdr:pic>
    <xdr:clientData/>
  </xdr:twoCellAnchor>
  <xdr:twoCellAnchor editAs="oneCell">
    <xdr:from>
      <xdr:col>2</xdr:col>
      <xdr:colOff>38160</xdr:colOff>
      <xdr:row>24</xdr:row>
      <xdr:rowOff>143640</xdr:rowOff>
    </xdr:from>
    <xdr:to>
      <xdr:col>2</xdr:col>
      <xdr:colOff>1208880</xdr:colOff>
      <xdr:row>24</xdr:row>
      <xdr:rowOff>1316160</xdr:rowOff>
    </xdr:to>
    <xdr:pic>
      <xdr:nvPicPr>
        <xdr:cNvPr id="459" name="图片 13" descr="9(1)"/>
        <xdr:cNvPicPr/>
      </xdr:nvPicPr>
      <xdr:blipFill>
        <a:blip r:embed="rId9"/>
        <a:stretch/>
      </xdr:blipFill>
      <xdr:spPr>
        <a:xfrm>
          <a:off x="5605920" y="26559720"/>
          <a:ext cx="1170720" cy="1172520"/>
        </a:xfrm>
        <a:prstGeom prst="rect">
          <a:avLst/>
        </a:prstGeom>
        <a:noFill/>
        <a:ln w="9525">
          <a:noFill/>
        </a:ln>
      </xdr:spPr>
    </xdr:pic>
    <xdr:clientData/>
  </xdr:twoCellAnchor>
  <xdr:twoCellAnchor editAs="oneCell">
    <xdr:from>
      <xdr:col>2</xdr:col>
      <xdr:colOff>38160</xdr:colOff>
      <xdr:row>23</xdr:row>
      <xdr:rowOff>143640</xdr:rowOff>
    </xdr:from>
    <xdr:to>
      <xdr:col>2</xdr:col>
      <xdr:colOff>1208880</xdr:colOff>
      <xdr:row>23</xdr:row>
      <xdr:rowOff>1316160</xdr:rowOff>
    </xdr:to>
    <xdr:pic>
      <xdr:nvPicPr>
        <xdr:cNvPr id="460" name="图片 14" descr="9"/>
        <xdr:cNvPicPr/>
      </xdr:nvPicPr>
      <xdr:blipFill>
        <a:blip r:embed="rId10"/>
        <a:stretch/>
      </xdr:blipFill>
      <xdr:spPr>
        <a:xfrm>
          <a:off x="5605920" y="25099200"/>
          <a:ext cx="1170720" cy="1172520"/>
        </a:xfrm>
        <a:prstGeom prst="rect">
          <a:avLst/>
        </a:prstGeom>
        <a:noFill/>
        <a:ln w="9525">
          <a:noFill/>
        </a:ln>
      </xdr:spPr>
    </xdr:pic>
    <xdr:clientData/>
  </xdr:twoCellAnchor>
  <xdr:twoCellAnchor editAs="twoCell">
    <xdr:from>
      <xdr:col>0</xdr:col>
      <xdr:colOff>9360</xdr:colOff>
      <xdr:row>29</xdr:row>
      <xdr:rowOff>3240</xdr:rowOff>
    </xdr:from>
    <xdr:to>
      <xdr:col>0</xdr:col>
      <xdr:colOff>837360</xdr:colOff>
      <xdr:row>29</xdr:row>
      <xdr:rowOff>299880</xdr:rowOff>
    </xdr:to>
    <xdr:pic>
      <xdr:nvPicPr>
        <xdr:cNvPr id="461" name="图片 37" descr="快充"/>
        <xdr:cNvPicPr/>
      </xdr:nvPicPr>
      <xdr:blipFill>
        <a:blip r:embed="rId11"/>
        <a:stretch/>
      </xdr:blipFill>
      <xdr:spPr>
        <a:xfrm>
          <a:off x="9360" y="33721920"/>
          <a:ext cx="828000" cy="296640"/>
        </a:xfrm>
        <a:prstGeom prst="rect">
          <a:avLst/>
        </a:prstGeom>
        <a:noFill/>
        <a:ln w="9525">
          <a:noFill/>
        </a:ln>
      </xdr:spPr>
    </xdr:pic>
    <xdr:clientData/>
  </xdr:twoCellAnchor>
  <xdr:twoCellAnchor editAs="twoCell">
    <xdr:from>
      <xdr:col>0</xdr:col>
      <xdr:colOff>9360</xdr:colOff>
      <xdr:row>31</xdr:row>
      <xdr:rowOff>3240</xdr:rowOff>
    </xdr:from>
    <xdr:to>
      <xdr:col>0</xdr:col>
      <xdr:colOff>837360</xdr:colOff>
      <xdr:row>31</xdr:row>
      <xdr:rowOff>299880</xdr:rowOff>
    </xdr:to>
    <xdr:pic>
      <xdr:nvPicPr>
        <xdr:cNvPr id="462" name="图片 38" descr="快充"/>
        <xdr:cNvPicPr/>
      </xdr:nvPicPr>
      <xdr:blipFill>
        <a:blip r:embed="rId12"/>
        <a:stretch/>
      </xdr:blipFill>
      <xdr:spPr>
        <a:xfrm>
          <a:off x="9360" y="36642600"/>
          <a:ext cx="828000" cy="296640"/>
        </a:xfrm>
        <a:prstGeom prst="rect">
          <a:avLst/>
        </a:prstGeom>
        <a:noFill/>
        <a:ln w="9525">
          <a:noFill/>
        </a:ln>
      </xdr:spPr>
    </xdr:pic>
    <xdr:clientData/>
  </xdr:twoCellAnchor>
  <xdr:twoCellAnchor editAs="twoCell">
    <xdr:from>
      <xdr:col>0</xdr:col>
      <xdr:colOff>9360</xdr:colOff>
      <xdr:row>34</xdr:row>
      <xdr:rowOff>0</xdr:rowOff>
    </xdr:from>
    <xdr:to>
      <xdr:col>0</xdr:col>
      <xdr:colOff>837360</xdr:colOff>
      <xdr:row>34</xdr:row>
      <xdr:rowOff>297000</xdr:rowOff>
    </xdr:to>
    <xdr:pic>
      <xdr:nvPicPr>
        <xdr:cNvPr id="463" name="图片 39" descr="快充"/>
        <xdr:cNvPicPr/>
      </xdr:nvPicPr>
      <xdr:blipFill>
        <a:blip r:embed="rId13"/>
        <a:stretch/>
      </xdr:blipFill>
      <xdr:spPr>
        <a:xfrm>
          <a:off x="9360" y="39624120"/>
          <a:ext cx="828000" cy="297000"/>
        </a:xfrm>
        <a:prstGeom prst="rect">
          <a:avLst/>
        </a:prstGeom>
        <a:noFill/>
        <a:ln w="9525">
          <a:noFill/>
        </a:ln>
      </xdr:spPr>
    </xdr:pic>
    <xdr:clientData/>
  </xdr:twoCellAnchor>
  <xdr:twoCellAnchor editAs="twoCell">
    <xdr:from>
      <xdr:col>0</xdr:col>
      <xdr:colOff>9360</xdr:colOff>
      <xdr:row>25</xdr:row>
      <xdr:rowOff>5760</xdr:rowOff>
    </xdr:from>
    <xdr:to>
      <xdr:col>0</xdr:col>
      <xdr:colOff>837360</xdr:colOff>
      <xdr:row>25</xdr:row>
      <xdr:rowOff>297000</xdr:rowOff>
    </xdr:to>
    <xdr:pic>
      <xdr:nvPicPr>
        <xdr:cNvPr id="464" name="图片 54" descr="快充"/>
        <xdr:cNvPicPr/>
      </xdr:nvPicPr>
      <xdr:blipFill>
        <a:blip r:embed="rId14"/>
        <a:stretch/>
      </xdr:blipFill>
      <xdr:spPr>
        <a:xfrm>
          <a:off x="9360" y="27882360"/>
          <a:ext cx="828000" cy="291240"/>
        </a:xfrm>
        <a:prstGeom prst="rect">
          <a:avLst/>
        </a:prstGeom>
        <a:noFill/>
        <a:ln w="9525">
          <a:noFill/>
        </a:ln>
      </xdr:spPr>
    </xdr:pic>
    <xdr:clientData/>
  </xdr:twoCellAnchor>
  <xdr:twoCellAnchor editAs="twoCell">
    <xdr:from>
      <xdr:col>0</xdr:col>
      <xdr:colOff>9360</xdr:colOff>
      <xdr:row>24</xdr:row>
      <xdr:rowOff>5760</xdr:rowOff>
    </xdr:from>
    <xdr:to>
      <xdr:col>0</xdr:col>
      <xdr:colOff>837360</xdr:colOff>
      <xdr:row>24</xdr:row>
      <xdr:rowOff>297000</xdr:rowOff>
    </xdr:to>
    <xdr:pic>
      <xdr:nvPicPr>
        <xdr:cNvPr id="465" name="图片 56" descr="快充"/>
        <xdr:cNvPicPr/>
      </xdr:nvPicPr>
      <xdr:blipFill>
        <a:blip r:embed="rId15"/>
        <a:stretch/>
      </xdr:blipFill>
      <xdr:spPr>
        <a:xfrm>
          <a:off x="9360" y="26421840"/>
          <a:ext cx="828000" cy="291240"/>
        </a:xfrm>
        <a:prstGeom prst="rect">
          <a:avLst/>
        </a:prstGeom>
        <a:noFill/>
        <a:ln w="9525">
          <a:noFill/>
        </a:ln>
      </xdr:spPr>
    </xdr:pic>
    <xdr:clientData/>
  </xdr:twoCellAnchor>
  <xdr:twoCellAnchor editAs="twoCell">
    <xdr:from>
      <xdr:col>0</xdr:col>
      <xdr:colOff>9360</xdr:colOff>
      <xdr:row>23</xdr:row>
      <xdr:rowOff>5760</xdr:rowOff>
    </xdr:from>
    <xdr:to>
      <xdr:col>0</xdr:col>
      <xdr:colOff>837360</xdr:colOff>
      <xdr:row>23</xdr:row>
      <xdr:rowOff>297000</xdr:rowOff>
    </xdr:to>
    <xdr:pic>
      <xdr:nvPicPr>
        <xdr:cNvPr id="466" name="图片 58" descr="快充"/>
        <xdr:cNvPicPr/>
      </xdr:nvPicPr>
      <xdr:blipFill>
        <a:blip r:embed="rId16"/>
        <a:stretch/>
      </xdr:blipFill>
      <xdr:spPr>
        <a:xfrm>
          <a:off x="9360" y="24961320"/>
          <a:ext cx="828000" cy="291240"/>
        </a:xfrm>
        <a:prstGeom prst="rect">
          <a:avLst/>
        </a:prstGeom>
        <a:noFill/>
        <a:ln w="9525">
          <a:noFill/>
        </a:ln>
      </xdr:spPr>
    </xdr:pic>
    <xdr:clientData/>
  </xdr:twoCellAnchor>
  <xdr:twoCellAnchor editAs="twoCell">
    <xdr:from>
      <xdr:col>0</xdr:col>
      <xdr:colOff>9360</xdr:colOff>
      <xdr:row>30</xdr:row>
      <xdr:rowOff>5760</xdr:rowOff>
    </xdr:from>
    <xdr:to>
      <xdr:col>0</xdr:col>
      <xdr:colOff>837360</xdr:colOff>
      <xdr:row>30</xdr:row>
      <xdr:rowOff>297000</xdr:rowOff>
    </xdr:to>
    <xdr:pic>
      <xdr:nvPicPr>
        <xdr:cNvPr id="467" name="图片 68" descr="快充"/>
        <xdr:cNvPicPr/>
      </xdr:nvPicPr>
      <xdr:blipFill>
        <a:blip r:embed="rId17"/>
        <a:stretch/>
      </xdr:blipFill>
      <xdr:spPr>
        <a:xfrm>
          <a:off x="9360" y="35184600"/>
          <a:ext cx="828000" cy="291240"/>
        </a:xfrm>
        <a:prstGeom prst="rect">
          <a:avLst/>
        </a:prstGeom>
        <a:noFill/>
        <a:ln w="9525">
          <a:noFill/>
        </a:ln>
      </xdr:spPr>
    </xdr:pic>
    <xdr:clientData/>
  </xdr:twoCellAnchor>
  <xdr:twoCellAnchor editAs="twoCell">
    <xdr:from>
      <xdr:col>0</xdr:col>
      <xdr:colOff>9360</xdr:colOff>
      <xdr:row>33</xdr:row>
      <xdr:rowOff>5760</xdr:rowOff>
    </xdr:from>
    <xdr:to>
      <xdr:col>0</xdr:col>
      <xdr:colOff>837360</xdr:colOff>
      <xdr:row>33</xdr:row>
      <xdr:rowOff>297000</xdr:rowOff>
    </xdr:to>
    <xdr:pic>
      <xdr:nvPicPr>
        <xdr:cNvPr id="468" name="图片 71" descr="快充"/>
        <xdr:cNvPicPr/>
      </xdr:nvPicPr>
      <xdr:blipFill>
        <a:blip r:embed="rId18"/>
        <a:stretch/>
      </xdr:blipFill>
      <xdr:spPr>
        <a:xfrm>
          <a:off x="9360" y="38169360"/>
          <a:ext cx="828000" cy="291240"/>
        </a:xfrm>
        <a:prstGeom prst="rect">
          <a:avLst/>
        </a:prstGeom>
        <a:noFill/>
        <a:ln w="9525">
          <a:noFill/>
        </a:ln>
      </xdr:spPr>
    </xdr:pic>
    <xdr:clientData/>
  </xdr:twoCellAnchor>
  <xdr:twoCellAnchor editAs="oneCell">
    <xdr:from>
      <xdr:col>1</xdr:col>
      <xdr:colOff>38160</xdr:colOff>
      <xdr:row>49</xdr:row>
      <xdr:rowOff>140760</xdr:rowOff>
    </xdr:from>
    <xdr:to>
      <xdr:col>1</xdr:col>
      <xdr:colOff>1208880</xdr:colOff>
      <xdr:row>49</xdr:row>
      <xdr:rowOff>1319040</xdr:rowOff>
    </xdr:to>
    <xdr:pic>
      <xdr:nvPicPr>
        <xdr:cNvPr id="469" name="图片 67" descr="1(1)"/>
        <xdr:cNvPicPr/>
      </xdr:nvPicPr>
      <xdr:blipFill>
        <a:blip r:embed="rId19"/>
        <a:stretch/>
      </xdr:blipFill>
      <xdr:spPr>
        <a:xfrm>
          <a:off x="4039920" y="53582400"/>
          <a:ext cx="1170720" cy="1178280"/>
        </a:xfrm>
        <a:prstGeom prst="rect">
          <a:avLst/>
        </a:prstGeom>
        <a:noFill/>
        <a:ln w="9525">
          <a:noFill/>
        </a:ln>
      </xdr:spPr>
    </xdr:pic>
    <xdr:clientData/>
  </xdr:twoCellAnchor>
  <xdr:twoCellAnchor editAs="oneCell">
    <xdr:from>
      <xdr:col>2</xdr:col>
      <xdr:colOff>38160</xdr:colOff>
      <xdr:row>49</xdr:row>
      <xdr:rowOff>144000</xdr:rowOff>
    </xdr:from>
    <xdr:to>
      <xdr:col>2</xdr:col>
      <xdr:colOff>1208880</xdr:colOff>
      <xdr:row>49</xdr:row>
      <xdr:rowOff>1315440</xdr:rowOff>
    </xdr:to>
    <xdr:pic>
      <xdr:nvPicPr>
        <xdr:cNvPr id="470" name="图片 70" descr="8(1)"/>
        <xdr:cNvPicPr/>
      </xdr:nvPicPr>
      <xdr:blipFill>
        <a:blip r:embed="rId20"/>
        <a:stretch/>
      </xdr:blipFill>
      <xdr:spPr>
        <a:xfrm>
          <a:off x="5605920" y="53585640"/>
          <a:ext cx="1170720" cy="1171440"/>
        </a:xfrm>
        <a:prstGeom prst="rect">
          <a:avLst/>
        </a:prstGeom>
        <a:noFill/>
        <a:ln w="9525">
          <a:noFill/>
        </a:ln>
      </xdr:spPr>
    </xdr:pic>
    <xdr:clientData/>
  </xdr:twoCellAnchor>
  <xdr:twoCellAnchor editAs="oneCell">
    <xdr:from>
      <xdr:col>1</xdr:col>
      <xdr:colOff>38160</xdr:colOff>
      <xdr:row>22</xdr:row>
      <xdr:rowOff>145800</xdr:rowOff>
    </xdr:from>
    <xdr:to>
      <xdr:col>1</xdr:col>
      <xdr:colOff>1208880</xdr:colOff>
      <xdr:row>22</xdr:row>
      <xdr:rowOff>1313640</xdr:rowOff>
    </xdr:to>
    <xdr:pic>
      <xdr:nvPicPr>
        <xdr:cNvPr id="471" name="图片 95" descr="1"/>
        <xdr:cNvPicPr/>
      </xdr:nvPicPr>
      <xdr:blipFill>
        <a:blip r:embed="rId21"/>
        <a:stretch/>
      </xdr:blipFill>
      <xdr:spPr>
        <a:xfrm>
          <a:off x="4039920" y="23640840"/>
          <a:ext cx="1170720" cy="1167840"/>
        </a:xfrm>
        <a:prstGeom prst="rect">
          <a:avLst/>
        </a:prstGeom>
        <a:noFill/>
        <a:ln w="9525">
          <a:noFill/>
        </a:ln>
      </xdr:spPr>
    </xdr:pic>
    <xdr:clientData/>
  </xdr:twoCellAnchor>
  <xdr:twoCellAnchor editAs="oneCell">
    <xdr:from>
      <xdr:col>2</xdr:col>
      <xdr:colOff>38160</xdr:colOff>
      <xdr:row>22</xdr:row>
      <xdr:rowOff>143280</xdr:rowOff>
    </xdr:from>
    <xdr:to>
      <xdr:col>2</xdr:col>
      <xdr:colOff>1208880</xdr:colOff>
      <xdr:row>22</xdr:row>
      <xdr:rowOff>1316520</xdr:rowOff>
    </xdr:to>
    <xdr:pic>
      <xdr:nvPicPr>
        <xdr:cNvPr id="472" name="图片 103" descr="8"/>
        <xdr:cNvPicPr/>
      </xdr:nvPicPr>
      <xdr:blipFill>
        <a:blip r:embed="rId22"/>
        <a:stretch/>
      </xdr:blipFill>
      <xdr:spPr>
        <a:xfrm>
          <a:off x="5605920" y="23638320"/>
          <a:ext cx="1170720" cy="1173240"/>
        </a:xfrm>
        <a:prstGeom prst="rect">
          <a:avLst/>
        </a:prstGeom>
        <a:noFill/>
        <a:ln w="9525">
          <a:noFill/>
        </a:ln>
      </xdr:spPr>
    </xdr:pic>
    <xdr:clientData/>
  </xdr:twoCellAnchor>
  <xdr:twoCellAnchor editAs="oneCell">
    <xdr:from>
      <xdr:col>2</xdr:col>
      <xdr:colOff>38160</xdr:colOff>
      <xdr:row>31</xdr:row>
      <xdr:rowOff>174600</xdr:rowOff>
    </xdr:from>
    <xdr:to>
      <xdr:col>2</xdr:col>
      <xdr:colOff>1208880</xdr:colOff>
      <xdr:row>32</xdr:row>
      <xdr:rowOff>586080</xdr:rowOff>
    </xdr:to>
    <xdr:pic>
      <xdr:nvPicPr>
        <xdr:cNvPr id="473" name="图片 74" descr="11"/>
        <xdr:cNvPicPr/>
      </xdr:nvPicPr>
      <xdr:blipFill>
        <a:blip r:embed="rId23"/>
        <a:stretch/>
      </xdr:blipFill>
      <xdr:spPr>
        <a:xfrm>
          <a:off x="5605920" y="36813960"/>
          <a:ext cx="1170720" cy="1173600"/>
        </a:xfrm>
        <a:prstGeom prst="rect">
          <a:avLst/>
        </a:prstGeom>
        <a:noFill/>
        <a:ln w="9525">
          <a:noFill/>
        </a:ln>
      </xdr:spPr>
    </xdr:pic>
    <xdr:clientData/>
  </xdr:twoCellAnchor>
  <xdr:twoCellAnchor editAs="oneCell">
    <xdr:from>
      <xdr:col>2</xdr:col>
      <xdr:colOff>38160</xdr:colOff>
      <xdr:row>34</xdr:row>
      <xdr:rowOff>175320</xdr:rowOff>
    </xdr:from>
    <xdr:to>
      <xdr:col>2</xdr:col>
      <xdr:colOff>1208880</xdr:colOff>
      <xdr:row>35</xdr:row>
      <xdr:rowOff>586080</xdr:rowOff>
    </xdr:to>
    <xdr:pic>
      <xdr:nvPicPr>
        <xdr:cNvPr id="474" name="图片 76" descr="11"/>
        <xdr:cNvPicPr/>
      </xdr:nvPicPr>
      <xdr:blipFill>
        <a:blip r:embed="rId24"/>
        <a:stretch/>
      </xdr:blipFill>
      <xdr:spPr>
        <a:xfrm>
          <a:off x="5605920" y="39799440"/>
          <a:ext cx="1170720" cy="1172520"/>
        </a:xfrm>
        <a:prstGeom prst="rect">
          <a:avLst/>
        </a:prstGeom>
        <a:noFill/>
        <a:ln w="9525">
          <a:noFill/>
        </a:ln>
      </xdr:spPr>
    </xdr:pic>
    <xdr:clientData/>
  </xdr:twoCellAnchor>
  <xdr:twoCellAnchor editAs="oneCell">
    <xdr:from>
      <xdr:col>2</xdr:col>
      <xdr:colOff>38160</xdr:colOff>
      <xdr:row>33</xdr:row>
      <xdr:rowOff>143280</xdr:rowOff>
    </xdr:from>
    <xdr:to>
      <xdr:col>2</xdr:col>
      <xdr:colOff>1208880</xdr:colOff>
      <xdr:row>33</xdr:row>
      <xdr:rowOff>1316520</xdr:rowOff>
    </xdr:to>
    <xdr:pic>
      <xdr:nvPicPr>
        <xdr:cNvPr id="475" name="图片 8" descr="10"/>
        <xdr:cNvPicPr/>
      </xdr:nvPicPr>
      <xdr:blipFill>
        <a:blip r:embed="rId25"/>
        <a:stretch/>
      </xdr:blipFill>
      <xdr:spPr>
        <a:xfrm>
          <a:off x="5605920" y="38306880"/>
          <a:ext cx="1170720" cy="1173240"/>
        </a:xfrm>
        <a:prstGeom prst="rect">
          <a:avLst/>
        </a:prstGeom>
        <a:noFill/>
        <a:ln w="9525">
          <a:noFill/>
        </a:ln>
      </xdr:spPr>
    </xdr:pic>
    <xdr:clientData/>
  </xdr:twoCellAnchor>
  <xdr:twoCellAnchor editAs="oneCell">
    <xdr:from>
      <xdr:col>1</xdr:col>
      <xdr:colOff>38160</xdr:colOff>
      <xdr:row>33</xdr:row>
      <xdr:rowOff>143280</xdr:rowOff>
    </xdr:from>
    <xdr:to>
      <xdr:col>1</xdr:col>
      <xdr:colOff>1208880</xdr:colOff>
      <xdr:row>33</xdr:row>
      <xdr:rowOff>1316520</xdr:rowOff>
    </xdr:to>
    <xdr:pic>
      <xdr:nvPicPr>
        <xdr:cNvPr id="476" name="图片 27" descr="3"/>
        <xdr:cNvPicPr/>
      </xdr:nvPicPr>
      <xdr:blipFill>
        <a:blip r:embed="rId26"/>
        <a:stretch/>
      </xdr:blipFill>
      <xdr:spPr>
        <a:xfrm>
          <a:off x="4039920" y="38306880"/>
          <a:ext cx="1170720" cy="1173240"/>
        </a:xfrm>
        <a:prstGeom prst="rect">
          <a:avLst/>
        </a:prstGeom>
        <a:noFill/>
        <a:ln w="9525">
          <a:noFill/>
        </a:ln>
      </xdr:spPr>
    </xdr:pic>
    <xdr:clientData/>
  </xdr:twoCellAnchor>
  <xdr:twoCellAnchor editAs="oneCell">
    <xdr:from>
      <xdr:col>1</xdr:col>
      <xdr:colOff>38160</xdr:colOff>
      <xdr:row>26</xdr:row>
      <xdr:rowOff>143280</xdr:rowOff>
    </xdr:from>
    <xdr:to>
      <xdr:col>1</xdr:col>
      <xdr:colOff>1208880</xdr:colOff>
      <xdr:row>26</xdr:row>
      <xdr:rowOff>1316520</xdr:rowOff>
    </xdr:to>
    <xdr:pic>
      <xdr:nvPicPr>
        <xdr:cNvPr id="477" name="图片 33" descr="1"/>
        <xdr:cNvPicPr/>
      </xdr:nvPicPr>
      <xdr:blipFill>
        <a:blip r:embed="rId27"/>
        <a:stretch/>
      </xdr:blipFill>
      <xdr:spPr>
        <a:xfrm>
          <a:off x="4039920" y="29480400"/>
          <a:ext cx="1170720" cy="1173240"/>
        </a:xfrm>
        <a:prstGeom prst="rect">
          <a:avLst/>
        </a:prstGeom>
        <a:noFill/>
        <a:ln w="9525">
          <a:noFill/>
        </a:ln>
      </xdr:spPr>
    </xdr:pic>
    <xdr:clientData/>
  </xdr:twoCellAnchor>
  <xdr:twoCellAnchor editAs="oneCell">
    <xdr:from>
      <xdr:col>1</xdr:col>
      <xdr:colOff>38160</xdr:colOff>
      <xdr:row>27</xdr:row>
      <xdr:rowOff>143280</xdr:rowOff>
    </xdr:from>
    <xdr:to>
      <xdr:col>1</xdr:col>
      <xdr:colOff>1208880</xdr:colOff>
      <xdr:row>27</xdr:row>
      <xdr:rowOff>1316520</xdr:rowOff>
    </xdr:to>
    <xdr:pic>
      <xdr:nvPicPr>
        <xdr:cNvPr id="478" name="图片 42" descr="3"/>
        <xdr:cNvPicPr/>
      </xdr:nvPicPr>
      <xdr:blipFill>
        <a:blip r:embed="rId28"/>
        <a:stretch/>
      </xdr:blipFill>
      <xdr:spPr>
        <a:xfrm>
          <a:off x="4039920" y="30940920"/>
          <a:ext cx="1170720" cy="1173240"/>
        </a:xfrm>
        <a:prstGeom prst="rect">
          <a:avLst/>
        </a:prstGeom>
        <a:noFill/>
        <a:ln w="9525">
          <a:noFill/>
        </a:ln>
      </xdr:spPr>
    </xdr:pic>
    <xdr:clientData/>
  </xdr:twoCellAnchor>
  <xdr:twoCellAnchor editAs="oneCell">
    <xdr:from>
      <xdr:col>2</xdr:col>
      <xdr:colOff>38160</xdr:colOff>
      <xdr:row>26</xdr:row>
      <xdr:rowOff>143280</xdr:rowOff>
    </xdr:from>
    <xdr:to>
      <xdr:col>2</xdr:col>
      <xdr:colOff>1208880</xdr:colOff>
      <xdr:row>26</xdr:row>
      <xdr:rowOff>1316520</xdr:rowOff>
    </xdr:to>
    <xdr:pic>
      <xdr:nvPicPr>
        <xdr:cNvPr id="479" name="图片 43" descr="2"/>
        <xdr:cNvPicPr/>
      </xdr:nvPicPr>
      <xdr:blipFill>
        <a:blip r:embed="rId29"/>
        <a:stretch/>
      </xdr:blipFill>
      <xdr:spPr>
        <a:xfrm>
          <a:off x="5605920" y="29480400"/>
          <a:ext cx="1170720" cy="1173240"/>
        </a:xfrm>
        <a:prstGeom prst="rect">
          <a:avLst/>
        </a:prstGeom>
        <a:noFill/>
        <a:ln w="9525">
          <a:noFill/>
        </a:ln>
      </xdr:spPr>
    </xdr:pic>
    <xdr:clientData/>
  </xdr:twoCellAnchor>
  <xdr:twoCellAnchor editAs="oneCell">
    <xdr:from>
      <xdr:col>2</xdr:col>
      <xdr:colOff>38160</xdr:colOff>
      <xdr:row>27</xdr:row>
      <xdr:rowOff>143280</xdr:rowOff>
    </xdr:from>
    <xdr:to>
      <xdr:col>2</xdr:col>
      <xdr:colOff>1208880</xdr:colOff>
      <xdr:row>27</xdr:row>
      <xdr:rowOff>1316520</xdr:rowOff>
    </xdr:to>
    <xdr:pic>
      <xdr:nvPicPr>
        <xdr:cNvPr id="480" name="图片 45" descr="4"/>
        <xdr:cNvPicPr/>
      </xdr:nvPicPr>
      <xdr:blipFill>
        <a:blip r:embed="rId30"/>
        <a:stretch/>
      </xdr:blipFill>
      <xdr:spPr>
        <a:xfrm>
          <a:off x="5605920" y="30940920"/>
          <a:ext cx="1170720" cy="1173240"/>
        </a:xfrm>
        <a:prstGeom prst="rect">
          <a:avLst/>
        </a:prstGeom>
        <a:noFill/>
        <a:ln w="9525">
          <a:noFill/>
        </a:ln>
      </xdr:spPr>
    </xdr:pic>
    <xdr:clientData/>
  </xdr:twoCellAnchor>
  <xdr:twoCellAnchor editAs="oneCell">
    <xdr:from>
      <xdr:col>1</xdr:col>
      <xdr:colOff>38160</xdr:colOff>
      <xdr:row>28</xdr:row>
      <xdr:rowOff>143280</xdr:rowOff>
    </xdr:from>
    <xdr:to>
      <xdr:col>1</xdr:col>
      <xdr:colOff>1208880</xdr:colOff>
      <xdr:row>28</xdr:row>
      <xdr:rowOff>1316520</xdr:rowOff>
    </xdr:to>
    <xdr:pic>
      <xdr:nvPicPr>
        <xdr:cNvPr id="481" name="图片 47" descr="5"/>
        <xdr:cNvPicPr/>
      </xdr:nvPicPr>
      <xdr:blipFill>
        <a:blip r:embed="rId31"/>
        <a:stretch/>
      </xdr:blipFill>
      <xdr:spPr>
        <a:xfrm>
          <a:off x="4039920" y="32401440"/>
          <a:ext cx="1170720" cy="1173240"/>
        </a:xfrm>
        <a:prstGeom prst="rect">
          <a:avLst/>
        </a:prstGeom>
        <a:noFill/>
        <a:ln w="9525">
          <a:noFill/>
        </a:ln>
      </xdr:spPr>
    </xdr:pic>
    <xdr:clientData/>
  </xdr:twoCellAnchor>
  <xdr:twoCellAnchor editAs="oneCell">
    <xdr:from>
      <xdr:col>2</xdr:col>
      <xdr:colOff>38160</xdr:colOff>
      <xdr:row>28</xdr:row>
      <xdr:rowOff>143280</xdr:rowOff>
    </xdr:from>
    <xdr:to>
      <xdr:col>2</xdr:col>
      <xdr:colOff>1208880</xdr:colOff>
      <xdr:row>28</xdr:row>
      <xdr:rowOff>1316520</xdr:rowOff>
    </xdr:to>
    <xdr:pic>
      <xdr:nvPicPr>
        <xdr:cNvPr id="482" name="图片 48" descr="6"/>
        <xdr:cNvPicPr/>
      </xdr:nvPicPr>
      <xdr:blipFill>
        <a:blip r:embed="rId32"/>
        <a:stretch/>
      </xdr:blipFill>
      <xdr:spPr>
        <a:xfrm>
          <a:off x="5605920" y="32401440"/>
          <a:ext cx="1170720" cy="1173240"/>
        </a:xfrm>
        <a:prstGeom prst="rect">
          <a:avLst/>
        </a:prstGeom>
        <a:noFill/>
        <a:ln w="9525">
          <a:noFill/>
        </a:ln>
      </xdr:spPr>
    </xdr:pic>
    <xdr:clientData/>
  </xdr:twoCellAnchor>
  <xdr:twoCellAnchor editAs="twoCell">
    <xdr:from>
      <xdr:col>0</xdr:col>
      <xdr:colOff>9360</xdr:colOff>
      <xdr:row>26</xdr:row>
      <xdr:rowOff>12240</xdr:rowOff>
    </xdr:from>
    <xdr:to>
      <xdr:col>0</xdr:col>
      <xdr:colOff>837360</xdr:colOff>
      <xdr:row>26</xdr:row>
      <xdr:rowOff>309240</xdr:rowOff>
    </xdr:to>
    <xdr:pic>
      <xdr:nvPicPr>
        <xdr:cNvPr id="483" name="图片 61" descr="快充"/>
        <xdr:cNvPicPr/>
      </xdr:nvPicPr>
      <xdr:blipFill>
        <a:blip r:embed="rId33"/>
        <a:stretch/>
      </xdr:blipFill>
      <xdr:spPr>
        <a:xfrm>
          <a:off x="9360" y="29349360"/>
          <a:ext cx="828000" cy="297000"/>
        </a:xfrm>
        <a:prstGeom prst="rect">
          <a:avLst/>
        </a:prstGeom>
        <a:noFill/>
        <a:ln w="9525">
          <a:noFill/>
        </a:ln>
      </xdr:spPr>
    </xdr:pic>
    <xdr:clientData/>
  </xdr:twoCellAnchor>
  <xdr:twoCellAnchor editAs="twoCell">
    <xdr:from>
      <xdr:col>0</xdr:col>
      <xdr:colOff>9360</xdr:colOff>
      <xdr:row>27</xdr:row>
      <xdr:rowOff>12240</xdr:rowOff>
    </xdr:from>
    <xdr:to>
      <xdr:col>0</xdr:col>
      <xdr:colOff>837360</xdr:colOff>
      <xdr:row>27</xdr:row>
      <xdr:rowOff>309240</xdr:rowOff>
    </xdr:to>
    <xdr:pic>
      <xdr:nvPicPr>
        <xdr:cNvPr id="484" name="图片 78" descr="快充"/>
        <xdr:cNvPicPr/>
      </xdr:nvPicPr>
      <xdr:blipFill>
        <a:blip r:embed="rId34"/>
        <a:stretch/>
      </xdr:blipFill>
      <xdr:spPr>
        <a:xfrm>
          <a:off x="9360" y="30809880"/>
          <a:ext cx="828000" cy="297000"/>
        </a:xfrm>
        <a:prstGeom prst="rect">
          <a:avLst/>
        </a:prstGeom>
        <a:noFill/>
        <a:ln w="9525">
          <a:noFill/>
        </a:ln>
      </xdr:spPr>
    </xdr:pic>
    <xdr:clientData/>
  </xdr:twoCellAnchor>
  <xdr:twoCellAnchor editAs="twoCell">
    <xdr:from>
      <xdr:col>0</xdr:col>
      <xdr:colOff>9360</xdr:colOff>
      <xdr:row>28</xdr:row>
      <xdr:rowOff>12240</xdr:rowOff>
    </xdr:from>
    <xdr:to>
      <xdr:col>0</xdr:col>
      <xdr:colOff>837360</xdr:colOff>
      <xdr:row>28</xdr:row>
      <xdr:rowOff>309240</xdr:rowOff>
    </xdr:to>
    <xdr:pic>
      <xdr:nvPicPr>
        <xdr:cNvPr id="485" name="图片 81" descr="快充"/>
        <xdr:cNvPicPr/>
      </xdr:nvPicPr>
      <xdr:blipFill>
        <a:blip r:embed="rId35"/>
        <a:stretch/>
      </xdr:blipFill>
      <xdr:spPr>
        <a:xfrm>
          <a:off x="9360" y="32270400"/>
          <a:ext cx="828000" cy="297000"/>
        </a:xfrm>
        <a:prstGeom prst="rect">
          <a:avLst/>
        </a:prstGeom>
        <a:noFill/>
        <a:ln w="9525">
          <a:noFill/>
        </a:ln>
      </xdr:spPr>
    </xdr:pic>
    <xdr:clientData/>
  </xdr:twoCellAnchor>
  <xdr:twoCellAnchor editAs="oneCell">
    <xdr:from>
      <xdr:col>1</xdr:col>
      <xdr:colOff>38160</xdr:colOff>
      <xdr:row>18</xdr:row>
      <xdr:rowOff>140400</xdr:rowOff>
    </xdr:from>
    <xdr:to>
      <xdr:col>1</xdr:col>
      <xdr:colOff>1208880</xdr:colOff>
      <xdr:row>18</xdr:row>
      <xdr:rowOff>1319400</xdr:rowOff>
    </xdr:to>
    <xdr:pic>
      <xdr:nvPicPr>
        <xdr:cNvPr id="486" name="图片 51" descr="2(2)"/>
        <xdr:cNvPicPr/>
      </xdr:nvPicPr>
      <xdr:blipFill>
        <a:blip r:embed="rId36"/>
        <a:stretch/>
      </xdr:blipFill>
      <xdr:spPr>
        <a:xfrm>
          <a:off x="4039920" y="19190520"/>
          <a:ext cx="1170720" cy="1179000"/>
        </a:xfrm>
        <a:prstGeom prst="rect">
          <a:avLst/>
        </a:prstGeom>
        <a:noFill/>
        <a:ln w="9525">
          <a:noFill/>
        </a:ln>
      </xdr:spPr>
    </xdr:pic>
    <xdr:clientData/>
  </xdr:twoCellAnchor>
  <xdr:twoCellAnchor editAs="oneCell">
    <xdr:from>
      <xdr:col>1</xdr:col>
      <xdr:colOff>38160</xdr:colOff>
      <xdr:row>19</xdr:row>
      <xdr:rowOff>144000</xdr:rowOff>
    </xdr:from>
    <xdr:to>
      <xdr:col>1</xdr:col>
      <xdr:colOff>1208880</xdr:colOff>
      <xdr:row>19</xdr:row>
      <xdr:rowOff>1316160</xdr:rowOff>
    </xdr:to>
    <xdr:pic>
      <xdr:nvPicPr>
        <xdr:cNvPr id="487" name="图片 53" descr="2(3)"/>
        <xdr:cNvPicPr/>
      </xdr:nvPicPr>
      <xdr:blipFill>
        <a:blip r:embed="rId37"/>
        <a:stretch/>
      </xdr:blipFill>
      <xdr:spPr>
        <a:xfrm>
          <a:off x="4039920" y="20654640"/>
          <a:ext cx="1170720" cy="1172160"/>
        </a:xfrm>
        <a:prstGeom prst="rect">
          <a:avLst/>
        </a:prstGeom>
        <a:noFill/>
        <a:ln w="9525">
          <a:noFill/>
        </a:ln>
      </xdr:spPr>
    </xdr:pic>
    <xdr:clientData/>
  </xdr:twoCellAnchor>
  <xdr:twoCellAnchor editAs="oneCell">
    <xdr:from>
      <xdr:col>1</xdr:col>
      <xdr:colOff>38160</xdr:colOff>
      <xdr:row>16</xdr:row>
      <xdr:rowOff>174960</xdr:rowOff>
    </xdr:from>
    <xdr:to>
      <xdr:col>1</xdr:col>
      <xdr:colOff>1208880</xdr:colOff>
      <xdr:row>17</xdr:row>
      <xdr:rowOff>586080</xdr:rowOff>
    </xdr:to>
    <xdr:pic>
      <xdr:nvPicPr>
        <xdr:cNvPr id="488" name="图片 79" descr="2"/>
        <xdr:cNvPicPr/>
      </xdr:nvPicPr>
      <xdr:blipFill>
        <a:blip r:embed="rId38"/>
        <a:stretch/>
      </xdr:blipFill>
      <xdr:spPr>
        <a:xfrm>
          <a:off x="4039920" y="17700840"/>
          <a:ext cx="1170720" cy="1173240"/>
        </a:xfrm>
        <a:prstGeom prst="rect">
          <a:avLst/>
        </a:prstGeom>
        <a:noFill/>
        <a:ln w="9525">
          <a:noFill/>
        </a:ln>
      </xdr:spPr>
    </xdr:pic>
    <xdr:clientData/>
  </xdr:twoCellAnchor>
  <xdr:twoCellAnchor editAs="oneCell">
    <xdr:from>
      <xdr:col>1</xdr:col>
      <xdr:colOff>38160</xdr:colOff>
      <xdr:row>20</xdr:row>
      <xdr:rowOff>174600</xdr:rowOff>
    </xdr:from>
    <xdr:to>
      <xdr:col>1</xdr:col>
      <xdr:colOff>1208880</xdr:colOff>
      <xdr:row>21</xdr:row>
      <xdr:rowOff>587160</xdr:rowOff>
    </xdr:to>
    <xdr:pic>
      <xdr:nvPicPr>
        <xdr:cNvPr id="489" name="图片 91" descr="3(4)"/>
        <xdr:cNvPicPr/>
      </xdr:nvPicPr>
      <xdr:blipFill>
        <a:blip r:embed="rId39"/>
        <a:stretch/>
      </xdr:blipFill>
      <xdr:spPr>
        <a:xfrm>
          <a:off x="4039920" y="22145760"/>
          <a:ext cx="1170720" cy="1174320"/>
        </a:xfrm>
        <a:prstGeom prst="rect">
          <a:avLst/>
        </a:prstGeom>
        <a:noFill/>
        <a:ln w="9525">
          <a:noFill/>
        </a:ln>
      </xdr:spPr>
    </xdr:pic>
    <xdr:clientData/>
  </xdr:twoCellAnchor>
  <xdr:twoCellAnchor editAs="oneCell">
    <xdr:from>
      <xdr:col>1</xdr:col>
      <xdr:colOff>38160</xdr:colOff>
      <xdr:row>12</xdr:row>
      <xdr:rowOff>173520</xdr:rowOff>
    </xdr:from>
    <xdr:to>
      <xdr:col>1</xdr:col>
      <xdr:colOff>1208880</xdr:colOff>
      <xdr:row>13</xdr:row>
      <xdr:rowOff>587520</xdr:rowOff>
    </xdr:to>
    <xdr:pic>
      <xdr:nvPicPr>
        <xdr:cNvPr id="490" name="图片 94" descr="3"/>
        <xdr:cNvPicPr/>
      </xdr:nvPicPr>
      <xdr:blipFill>
        <a:blip r:embed="rId40"/>
        <a:stretch/>
      </xdr:blipFill>
      <xdr:spPr>
        <a:xfrm>
          <a:off x="4039920" y="13254480"/>
          <a:ext cx="1170720" cy="1176120"/>
        </a:xfrm>
        <a:prstGeom prst="rect">
          <a:avLst/>
        </a:prstGeom>
        <a:noFill/>
        <a:ln w="9525">
          <a:noFill/>
        </a:ln>
      </xdr:spPr>
    </xdr:pic>
    <xdr:clientData/>
  </xdr:twoCellAnchor>
  <xdr:twoCellAnchor editAs="oneCell">
    <xdr:from>
      <xdr:col>2</xdr:col>
      <xdr:colOff>38160</xdr:colOff>
      <xdr:row>19</xdr:row>
      <xdr:rowOff>140760</xdr:rowOff>
    </xdr:from>
    <xdr:to>
      <xdr:col>2</xdr:col>
      <xdr:colOff>1208880</xdr:colOff>
      <xdr:row>19</xdr:row>
      <xdr:rowOff>1319040</xdr:rowOff>
    </xdr:to>
    <xdr:pic>
      <xdr:nvPicPr>
        <xdr:cNvPr id="491" name="图片 102" descr="9(1)"/>
        <xdr:cNvPicPr/>
      </xdr:nvPicPr>
      <xdr:blipFill>
        <a:blip r:embed="rId41"/>
        <a:stretch/>
      </xdr:blipFill>
      <xdr:spPr>
        <a:xfrm>
          <a:off x="5605920" y="20651400"/>
          <a:ext cx="1170720" cy="1178280"/>
        </a:xfrm>
        <a:prstGeom prst="rect">
          <a:avLst/>
        </a:prstGeom>
        <a:noFill/>
        <a:ln w="9525">
          <a:noFill/>
        </a:ln>
      </xdr:spPr>
    </xdr:pic>
    <xdr:clientData/>
  </xdr:twoCellAnchor>
  <xdr:twoCellAnchor editAs="oneCell">
    <xdr:from>
      <xdr:col>2</xdr:col>
      <xdr:colOff>38160</xdr:colOff>
      <xdr:row>18</xdr:row>
      <xdr:rowOff>144000</xdr:rowOff>
    </xdr:from>
    <xdr:to>
      <xdr:col>2</xdr:col>
      <xdr:colOff>1208880</xdr:colOff>
      <xdr:row>18</xdr:row>
      <xdr:rowOff>1315440</xdr:rowOff>
    </xdr:to>
    <xdr:pic>
      <xdr:nvPicPr>
        <xdr:cNvPr id="492" name="图片 110" descr="9"/>
        <xdr:cNvPicPr/>
      </xdr:nvPicPr>
      <xdr:blipFill>
        <a:blip r:embed="rId42"/>
        <a:stretch/>
      </xdr:blipFill>
      <xdr:spPr>
        <a:xfrm>
          <a:off x="5605920" y="19194120"/>
          <a:ext cx="1170720" cy="1171440"/>
        </a:xfrm>
        <a:prstGeom prst="rect">
          <a:avLst/>
        </a:prstGeom>
        <a:noFill/>
        <a:ln w="9525">
          <a:noFill/>
        </a:ln>
      </xdr:spPr>
    </xdr:pic>
    <xdr:clientData/>
  </xdr:twoCellAnchor>
  <xdr:twoCellAnchor editAs="oneCell">
    <xdr:from>
      <xdr:col>2</xdr:col>
      <xdr:colOff>38160</xdr:colOff>
      <xdr:row>16</xdr:row>
      <xdr:rowOff>172800</xdr:rowOff>
    </xdr:from>
    <xdr:to>
      <xdr:col>2</xdr:col>
      <xdr:colOff>1208880</xdr:colOff>
      <xdr:row>17</xdr:row>
      <xdr:rowOff>588600</xdr:rowOff>
    </xdr:to>
    <xdr:pic>
      <xdr:nvPicPr>
        <xdr:cNvPr id="493" name="图片 119" descr="11(4)"/>
        <xdr:cNvPicPr/>
      </xdr:nvPicPr>
      <xdr:blipFill>
        <a:blip r:embed="rId43"/>
        <a:stretch/>
      </xdr:blipFill>
      <xdr:spPr>
        <a:xfrm>
          <a:off x="5605920" y="17698680"/>
          <a:ext cx="1170720" cy="1177920"/>
        </a:xfrm>
        <a:prstGeom prst="rect">
          <a:avLst/>
        </a:prstGeom>
        <a:noFill/>
        <a:ln w="9525">
          <a:noFill/>
        </a:ln>
      </xdr:spPr>
    </xdr:pic>
    <xdr:clientData/>
  </xdr:twoCellAnchor>
  <xdr:twoCellAnchor editAs="oneCell">
    <xdr:from>
      <xdr:col>2</xdr:col>
      <xdr:colOff>38160</xdr:colOff>
      <xdr:row>20</xdr:row>
      <xdr:rowOff>173880</xdr:rowOff>
    </xdr:from>
    <xdr:to>
      <xdr:col>2</xdr:col>
      <xdr:colOff>1208880</xdr:colOff>
      <xdr:row>21</xdr:row>
      <xdr:rowOff>587520</xdr:rowOff>
    </xdr:to>
    <xdr:pic>
      <xdr:nvPicPr>
        <xdr:cNvPr id="494" name="图片 122" descr="11(6)"/>
        <xdr:cNvPicPr/>
      </xdr:nvPicPr>
      <xdr:blipFill>
        <a:blip r:embed="rId44"/>
        <a:stretch/>
      </xdr:blipFill>
      <xdr:spPr>
        <a:xfrm>
          <a:off x="5605920" y="22145040"/>
          <a:ext cx="1170720" cy="1175400"/>
        </a:xfrm>
        <a:prstGeom prst="rect">
          <a:avLst/>
        </a:prstGeom>
        <a:noFill/>
        <a:ln w="9525">
          <a:noFill/>
        </a:ln>
      </xdr:spPr>
    </xdr:pic>
    <xdr:clientData/>
  </xdr:twoCellAnchor>
  <xdr:twoCellAnchor editAs="oneCell">
    <xdr:from>
      <xdr:col>2</xdr:col>
      <xdr:colOff>38160</xdr:colOff>
      <xdr:row>12</xdr:row>
      <xdr:rowOff>176400</xdr:rowOff>
    </xdr:from>
    <xdr:to>
      <xdr:col>2</xdr:col>
      <xdr:colOff>1208880</xdr:colOff>
      <xdr:row>13</xdr:row>
      <xdr:rowOff>584640</xdr:rowOff>
    </xdr:to>
    <xdr:pic>
      <xdr:nvPicPr>
        <xdr:cNvPr id="495" name="图片 124" descr="11"/>
        <xdr:cNvPicPr/>
      </xdr:nvPicPr>
      <xdr:blipFill>
        <a:blip r:embed="rId45"/>
        <a:stretch/>
      </xdr:blipFill>
      <xdr:spPr>
        <a:xfrm>
          <a:off x="5605920" y="13257360"/>
          <a:ext cx="1170720" cy="1170360"/>
        </a:xfrm>
        <a:prstGeom prst="rect">
          <a:avLst/>
        </a:prstGeom>
        <a:noFill/>
        <a:ln w="9525">
          <a:noFill/>
        </a:ln>
      </xdr:spPr>
    </xdr:pic>
    <xdr:clientData/>
  </xdr:twoCellAnchor>
  <xdr:twoCellAnchor editAs="twoCell">
    <xdr:from>
      <xdr:col>0</xdr:col>
      <xdr:colOff>9360</xdr:colOff>
      <xdr:row>12</xdr:row>
      <xdr:rowOff>0</xdr:rowOff>
    </xdr:from>
    <xdr:to>
      <xdr:col>0</xdr:col>
      <xdr:colOff>837360</xdr:colOff>
      <xdr:row>12</xdr:row>
      <xdr:rowOff>297000</xdr:rowOff>
    </xdr:to>
    <xdr:pic>
      <xdr:nvPicPr>
        <xdr:cNvPr id="496" name="图片 127" descr="快充"/>
        <xdr:cNvPicPr/>
      </xdr:nvPicPr>
      <xdr:blipFill>
        <a:blip r:embed="rId46"/>
        <a:stretch/>
      </xdr:blipFill>
      <xdr:spPr>
        <a:xfrm>
          <a:off x="9360" y="13080960"/>
          <a:ext cx="828000" cy="297000"/>
        </a:xfrm>
        <a:prstGeom prst="rect">
          <a:avLst/>
        </a:prstGeom>
        <a:noFill/>
        <a:ln w="9525">
          <a:noFill/>
        </a:ln>
      </xdr:spPr>
    </xdr:pic>
    <xdr:clientData/>
  </xdr:twoCellAnchor>
  <xdr:twoCellAnchor editAs="twoCell">
    <xdr:from>
      <xdr:col>0</xdr:col>
      <xdr:colOff>9360</xdr:colOff>
      <xdr:row>14</xdr:row>
      <xdr:rowOff>0</xdr:rowOff>
    </xdr:from>
    <xdr:to>
      <xdr:col>0</xdr:col>
      <xdr:colOff>837360</xdr:colOff>
      <xdr:row>14</xdr:row>
      <xdr:rowOff>297000</xdr:rowOff>
    </xdr:to>
    <xdr:pic>
      <xdr:nvPicPr>
        <xdr:cNvPr id="497" name="图片 134" descr="快充"/>
        <xdr:cNvPicPr/>
      </xdr:nvPicPr>
      <xdr:blipFill>
        <a:blip r:embed="rId47"/>
        <a:stretch/>
      </xdr:blipFill>
      <xdr:spPr>
        <a:xfrm>
          <a:off x="9360" y="14604840"/>
          <a:ext cx="828000" cy="297000"/>
        </a:xfrm>
        <a:prstGeom prst="rect">
          <a:avLst/>
        </a:prstGeom>
        <a:noFill/>
        <a:ln w="9525">
          <a:noFill/>
        </a:ln>
      </xdr:spPr>
    </xdr:pic>
    <xdr:clientData/>
  </xdr:twoCellAnchor>
  <xdr:twoCellAnchor editAs="twoCell">
    <xdr:from>
      <xdr:col>0</xdr:col>
      <xdr:colOff>9360</xdr:colOff>
      <xdr:row>15</xdr:row>
      <xdr:rowOff>0</xdr:rowOff>
    </xdr:from>
    <xdr:to>
      <xdr:col>0</xdr:col>
      <xdr:colOff>837360</xdr:colOff>
      <xdr:row>15</xdr:row>
      <xdr:rowOff>297000</xdr:rowOff>
    </xdr:to>
    <xdr:pic>
      <xdr:nvPicPr>
        <xdr:cNvPr id="498" name="图片 138" descr="快充"/>
        <xdr:cNvPicPr/>
      </xdr:nvPicPr>
      <xdr:blipFill>
        <a:blip r:embed="rId48"/>
        <a:stretch/>
      </xdr:blipFill>
      <xdr:spPr>
        <a:xfrm>
          <a:off x="9360" y="16065360"/>
          <a:ext cx="828000" cy="297000"/>
        </a:xfrm>
        <a:prstGeom prst="rect">
          <a:avLst/>
        </a:prstGeom>
        <a:noFill/>
        <a:ln w="9525">
          <a:noFill/>
        </a:ln>
      </xdr:spPr>
    </xdr:pic>
    <xdr:clientData/>
  </xdr:twoCellAnchor>
  <xdr:twoCellAnchor editAs="oneCell">
    <xdr:from>
      <xdr:col>1</xdr:col>
      <xdr:colOff>38160</xdr:colOff>
      <xdr:row>43</xdr:row>
      <xdr:rowOff>173520</xdr:rowOff>
    </xdr:from>
    <xdr:to>
      <xdr:col>1</xdr:col>
      <xdr:colOff>1208880</xdr:colOff>
      <xdr:row>44</xdr:row>
      <xdr:rowOff>587880</xdr:rowOff>
    </xdr:to>
    <xdr:pic>
      <xdr:nvPicPr>
        <xdr:cNvPr id="499" name="图片 26" descr="3(1)"/>
        <xdr:cNvPicPr/>
      </xdr:nvPicPr>
      <xdr:blipFill>
        <a:blip r:embed="rId49"/>
        <a:stretch/>
      </xdr:blipFill>
      <xdr:spPr>
        <a:xfrm>
          <a:off x="4039920" y="49043160"/>
          <a:ext cx="1170720" cy="1176480"/>
        </a:xfrm>
        <a:prstGeom prst="rect">
          <a:avLst/>
        </a:prstGeom>
        <a:noFill/>
        <a:ln w="9525">
          <a:noFill/>
        </a:ln>
      </xdr:spPr>
    </xdr:pic>
    <xdr:clientData/>
  </xdr:twoCellAnchor>
  <xdr:twoCellAnchor editAs="oneCell">
    <xdr:from>
      <xdr:col>2</xdr:col>
      <xdr:colOff>38160</xdr:colOff>
      <xdr:row>43</xdr:row>
      <xdr:rowOff>175320</xdr:rowOff>
    </xdr:from>
    <xdr:to>
      <xdr:col>2</xdr:col>
      <xdr:colOff>1208880</xdr:colOff>
      <xdr:row>44</xdr:row>
      <xdr:rowOff>585720</xdr:rowOff>
    </xdr:to>
    <xdr:pic>
      <xdr:nvPicPr>
        <xdr:cNvPr id="500" name="图片 40" descr="11(1)"/>
        <xdr:cNvPicPr/>
      </xdr:nvPicPr>
      <xdr:blipFill>
        <a:blip r:embed="rId50"/>
        <a:stretch/>
      </xdr:blipFill>
      <xdr:spPr>
        <a:xfrm>
          <a:off x="5605920" y="49044960"/>
          <a:ext cx="1170720" cy="1172520"/>
        </a:xfrm>
        <a:prstGeom prst="rect">
          <a:avLst/>
        </a:prstGeom>
        <a:noFill/>
        <a:ln w="9525">
          <a:noFill/>
        </a:ln>
      </xdr:spPr>
    </xdr:pic>
    <xdr:clientData/>
  </xdr:twoCellAnchor>
  <xdr:twoCellAnchor editAs="twoCell">
    <xdr:from>
      <xdr:col>0</xdr:col>
      <xdr:colOff>9360</xdr:colOff>
      <xdr:row>43</xdr:row>
      <xdr:rowOff>0</xdr:rowOff>
    </xdr:from>
    <xdr:to>
      <xdr:col>0</xdr:col>
      <xdr:colOff>837360</xdr:colOff>
      <xdr:row>43</xdr:row>
      <xdr:rowOff>297000</xdr:rowOff>
    </xdr:to>
    <xdr:pic>
      <xdr:nvPicPr>
        <xdr:cNvPr id="501" name="图片 41" descr="快充"/>
        <xdr:cNvPicPr/>
      </xdr:nvPicPr>
      <xdr:blipFill>
        <a:blip r:embed="rId51"/>
        <a:stretch/>
      </xdr:blipFill>
      <xdr:spPr>
        <a:xfrm>
          <a:off x="9360" y="48869640"/>
          <a:ext cx="828000" cy="297000"/>
        </a:xfrm>
        <a:prstGeom prst="rect">
          <a:avLst/>
        </a:prstGeom>
        <a:noFill/>
        <a:ln w="9525">
          <a:noFill/>
        </a:ln>
      </xdr:spPr>
    </xdr:pic>
    <xdr:clientData/>
  </xdr:twoCellAnchor>
  <xdr:twoCellAnchor editAs="oneCell">
    <xdr:from>
      <xdr:col>1</xdr:col>
      <xdr:colOff>38160</xdr:colOff>
      <xdr:row>45</xdr:row>
      <xdr:rowOff>175320</xdr:rowOff>
    </xdr:from>
    <xdr:to>
      <xdr:col>1</xdr:col>
      <xdr:colOff>1208880</xdr:colOff>
      <xdr:row>46</xdr:row>
      <xdr:rowOff>585720</xdr:rowOff>
    </xdr:to>
    <xdr:pic>
      <xdr:nvPicPr>
        <xdr:cNvPr id="502" name="图片 52" descr="2(1)"/>
        <xdr:cNvPicPr/>
      </xdr:nvPicPr>
      <xdr:blipFill>
        <a:blip r:embed="rId52"/>
        <a:stretch/>
      </xdr:blipFill>
      <xdr:spPr>
        <a:xfrm>
          <a:off x="4039920" y="50568840"/>
          <a:ext cx="1170720" cy="1172520"/>
        </a:xfrm>
        <a:prstGeom prst="rect">
          <a:avLst/>
        </a:prstGeom>
        <a:noFill/>
        <a:ln w="9525">
          <a:noFill/>
        </a:ln>
      </xdr:spPr>
    </xdr:pic>
    <xdr:clientData/>
  </xdr:twoCellAnchor>
  <xdr:twoCellAnchor editAs="oneCell">
    <xdr:from>
      <xdr:col>2</xdr:col>
      <xdr:colOff>38160</xdr:colOff>
      <xdr:row>45</xdr:row>
      <xdr:rowOff>174600</xdr:rowOff>
    </xdr:from>
    <xdr:to>
      <xdr:col>2</xdr:col>
      <xdr:colOff>1208880</xdr:colOff>
      <xdr:row>46</xdr:row>
      <xdr:rowOff>586800</xdr:rowOff>
    </xdr:to>
    <xdr:pic>
      <xdr:nvPicPr>
        <xdr:cNvPr id="503" name="图片 64" descr="11(5)"/>
        <xdr:cNvPicPr/>
      </xdr:nvPicPr>
      <xdr:blipFill>
        <a:blip r:embed="rId53"/>
        <a:stretch/>
      </xdr:blipFill>
      <xdr:spPr>
        <a:xfrm>
          <a:off x="5605920" y="50568120"/>
          <a:ext cx="1170720" cy="1174320"/>
        </a:xfrm>
        <a:prstGeom prst="rect">
          <a:avLst/>
        </a:prstGeom>
        <a:noFill/>
        <a:ln w="9525">
          <a:noFill/>
        </a:ln>
      </xdr:spPr>
    </xdr:pic>
    <xdr:clientData/>
  </xdr:twoCellAnchor>
  <xdr:twoCellAnchor editAs="oneCell">
    <xdr:from>
      <xdr:col>1</xdr:col>
      <xdr:colOff>38160</xdr:colOff>
      <xdr:row>47</xdr:row>
      <xdr:rowOff>174600</xdr:rowOff>
    </xdr:from>
    <xdr:to>
      <xdr:col>1</xdr:col>
      <xdr:colOff>1208880</xdr:colOff>
      <xdr:row>48</xdr:row>
      <xdr:rowOff>587160</xdr:rowOff>
    </xdr:to>
    <xdr:pic>
      <xdr:nvPicPr>
        <xdr:cNvPr id="504" name="图片 85" descr="3(5)"/>
        <xdr:cNvPicPr/>
      </xdr:nvPicPr>
      <xdr:blipFill>
        <a:blip r:embed="rId54"/>
        <a:stretch/>
      </xdr:blipFill>
      <xdr:spPr>
        <a:xfrm>
          <a:off x="4039920" y="52092360"/>
          <a:ext cx="1170720" cy="1174320"/>
        </a:xfrm>
        <a:prstGeom prst="rect">
          <a:avLst/>
        </a:prstGeom>
        <a:noFill/>
        <a:ln w="9525">
          <a:noFill/>
        </a:ln>
      </xdr:spPr>
    </xdr:pic>
    <xdr:clientData/>
  </xdr:twoCellAnchor>
  <xdr:twoCellAnchor editAs="oneCell">
    <xdr:from>
      <xdr:col>2</xdr:col>
      <xdr:colOff>38160</xdr:colOff>
      <xdr:row>47</xdr:row>
      <xdr:rowOff>175320</xdr:rowOff>
    </xdr:from>
    <xdr:to>
      <xdr:col>2</xdr:col>
      <xdr:colOff>1208880</xdr:colOff>
      <xdr:row>48</xdr:row>
      <xdr:rowOff>586080</xdr:rowOff>
    </xdr:to>
    <xdr:pic>
      <xdr:nvPicPr>
        <xdr:cNvPr id="505" name="图片 88" descr="11(7)"/>
        <xdr:cNvPicPr/>
      </xdr:nvPicPr>
      <xdr:blipFill>
        <a:blip r:embed="rId55"/>
        <a:stretch/>
      </xdr:blipFill>
      <xdr:spPr>
        <a:xfrm>
          <a:off x="5605920" y="52093080"/>
          <a:ext cx="1170720" cy="1172520"/>
        </a:xfrm>
        <a:prstGeom prst="rect">
          <a:avLst/>
        </a:prstGeom>
        <a:noFill/>
        <a:ln w="9525">
          <a:noFill/>
        </a:ln>
      </xdr:spPr>
    </xdr:pic>
    <xdr:clientData/>
  </xdr:twoCellAnchor>
  <xdr:twoCellAnchor editAs="oneCell">
    <xdr:from>
      <xdr:col>1</xdr:col>
      <xdr:colOff>38160</xdr:colOff>
      <xdr:row>30</xdr:row>
      <xdr:rowOff>143640</xdr:rowOff>
    </xdr:from>
    <xdr:to>
      <xdr:col>1</xdr:col>
      <xdr:colOff>1208880</xdr:colOff>
      <xdr:row>30</xdr:row>
      <xdr:rowOff>1316160</xdr:rowOff>
    </xdr:to>
    <xdr:pic>
      <xdr:nvPicPr>
        <xdr:cNvPr id="506" name="图片 1" descr="3"/>
        <xdr:cNvPicPr/>
      </xdr:nvPicPr>
      <xdr:blipFill>
        <a:blip r:embed="rId56"/>
        <a:stretch/>
      </xdr:blipFill>
      <xdr:spPr>
        <a:xfrm>
          <a:off x="4039920" y="35322480"/>
          <a:ext cx="1170720" cy="1172520"/>
        </a:xfrm>
        <a:prstGeom prst="rect">
          <a:avLst/>
        </a:prstGeom>
        <a:noFill/>
        <a:ln w="9525">
          <a:noFill/>
        </a:ln>
      </xdr:spPr>
    </xdr:pic>
    <xdr:clientData/>
  </xdr:twoCellAnchor>
  <xdr:twoCellAnchor editAs="oneCell">
    <xdr:from>
      <xdr:col>2</xdr:col>
      <xdr:colOff>38160</xdr:colOff>
      <xdr:row>30</xdr:row>
      <xdr:rowOff>143280</xdr:rowOff>
    </xdr:from>
    <xdr:to>
      <xdr:col>2</xdr:col>
      <xdr:colOff>1208880</xdr:colOff>
      <xdr:row>30</xdr:row>
      <xdr:rowOff>1316520</xdr:rowOff>
    </xdr:to>
    <xdr:pic>
      <xdr:nvPicPr>
        <xdr:cNvPr id="507" name="图片 5" descr="10"/>
        <xdr:cNvPicPr/>
      </xdr:nvPicPr>
      <xdr:blipFill>
        <a:blip r:embed="rId57"/>
        <a:stretch/>
      </xdr:blipFill>
      <xdr:spPr>
        <a:xfrm>
          <a:off x="5605920" y="35322120"/>
          <a:ext cx="1170720" cy="1173240"/>
        </a:xfrm>
        <a:prstGeom prst="rect">
          <a:avLst/>
        </a:prstGeom>
        <a:noFill/>
        <a:ln w="9525">
          <a:noFill/>
        </a:ln>
      </xdr:spPr>
    </xdr:pic>
    <xdr:clientData/>
  </xdr:twoCellAnchor>
  <xdr:twoCellAnchor editAs="oneCell">
    <xdr:from>
      <xdr:col>1</xdr:col>
      <xdr:colOff>38160</xdr:colOff>
      <xdr:row>11</xdr:row>
      <xdr:rowOff>140760</xdr:rowOff>
    </xdr:from>
    <xdr:to>
      <xdr:col>1</xdr:col>
      <xdr:colOff>1208880</xdr:colOff>
      <xdr:row>11</xdr:row>
      <xdr:rowOff>1319040</xdr:rowOff>
    </xdr:to>
    <xdr:pic>
      <xdr:nvPicPr>
        <xdr:cNvPr id="508" name="图片 10" descr="1"/>
        <xdr:cNvPicPr/>
      </xdr:nvPicPr>
      <xdr:blipFill>
        <a:blip r:embed="rId58"/>
        <a:stretch/>
      </xdr:blipFill>
      <xdr:spPr>
        <a:xfrm>
          <a:off x="4039920" y="11761200"/>
          <a:ext cx="1170720" cy="1178280"/>
        </a:xfrm>
        <a:prstGeom prst="rect">
          <a:avLst/>
        </a:prstGeom>
        <a:noFill/>
        <a:ln w="9525">
          <a:noFill/>
        </a:ln>
      </xdr:spPr>
    </xdr:pic>
    <xdr:clientData/>
  </xdr:twoCellAnchor>
  <xdr:twoCellAnchor editAs="oneCell">
    <xdr:from>
      <xdr:col>2</xdr:col>
      <xdr:colOff>38160</xdr:colOff>
      <xdr:row>11</xdr:row>
      <xdr:rowOff>144360</xdr:rowOff>
    </xdr:from>
    <xdr:to>
      <xdr:col>2</xdr:col>
      <xdr:colOff>1208880</xdr:colOff>
      <xdr:row>11</xdr:row>
      <xdr:rowOff>1315080</xdr:rowOff>
    </xdr:to>
    <xdr:pic>
      <xdr:nvPicPr>
        <xdr:cNvPr id="509" name="图片 17" descr="8"/>
        <xdr:cNvPicPr/>
      </xdr:nvPicPr>
      <xdr:blipFill>
        <a:blip r:embed="rId59"/>
        <a:stretch/>
      </xdr:blipFill>
      <xdr:spPr>
        <a:xfrm>
          <a:off x="5605920" y="11764800"/>
          <a:ext cx="1170720" cy="1170720"/>
        </a:xfrm>
        <a:prstGeom prst="rect">
          <a:avLst/>
        </a:prstGeom>
        <a:noFill/>
        <a:ln w="9525">
          <a:noFill/>
        </a:ln>
      </xdr:spPr>
    </xdr:pic>
    <xdr:clientData/>
  </xdr:twoCellAnchor>
  <xdr:twoCellAnchor editAs="twoCell">
    <xdr:from>
      <xdr:col>0</xdr:col>
      <xdr:colOff>9360</xdr:colOff>
      <xdr:row>11</xdr:row>
      <xdr:rowOff>0</xdr:rowOff>
    </xdr:from>
    <xdr:to>
      <xdr:col>0</xdr:col>
      <xdr:colOff>837360</xdr:colOff>
      <xdr:row>11</xdr:row>
      <xdr:rowOff>297000</xdr:rowOff>
    </xdr:to>
    <xdr:pic>
      <xdr:nvPicPr>
        <xdr:cNvPr id="510" name="图片 18" descr="快充"/>
        <xdr:cNvPicPr/>
      </xdr:nvPicPr>
      <xdr:blipFill>
        <a:blip r:embed="rId60"/>
        <a:stretch/>
      </xdr:blipFill>
      <xdr:spPr>
        <a:xfrm>
          <a:off x="9360" y="11620440"/>
          <a:ext cx="828000" cy="297000"/>
        </a:xfrm>
        <a:prstGeom prst="rect">
          <a:avLst/>
        </a:prstGeom>
        <a:noFill/>
        <a:ln w="9525">
          <a:noFill/>
        </a:ln>
      </xdr:spPr>
    </xdr:pic>
    <xdr:clientData/>
  </xdr:twoCellAnchor>
  <xdr:twoCellAnchor editAs="oneCell">
    <xdr:from>
      <xdr:col>1</xdr:col>
      <xdr:colOff>38160</xdr:colOff>
      <xdr:row>41</xdr:row>
      <xdr:rowOff>140760</xdr:rowOff>
    </xdr:from>
    <xdr:to>
      <xdr:col>1</xdr:col>
      <xdr:colOff>1208880</xdr:colOff>
      <xdr:row>41</xdr:row>
      <xdr:rowOff>1319040</xdr:rowOff>
    </xdr:to>
    <xdr:pic>
      <xdr:nvPicPr>
        <xdr:cNvPr id="511" name="图片 28" descr="1"/>
        <xdr:cNvPicPr/>
      </xdr:nvPicPr>
      <xdr:blipFill>
        <a:blip r:embed="rId61"/>
        <a:stretch/>
      </xdr:blipFill>
      <xdr:spPr>
        <a:xfrm>
          <a:off x="4039920" y="46089360"/>
          <a:ext cx="1170720" cy="1178280"/>
        </a:xfrm>
        <a:prstGeom prst="rect">
          <a:avLst/>
        </a:prstGeom>
        <a:noFill/>
        <a:ln w="9525">
          <a:noFill/>
        </a:ln>
      </xdr:spPr>
    </xdr:pic>
    <xdr:clientData/>
  </xdr:twoCellAnchor>
  <xdr:twoCellAnchor editAs="oneCell">
    <xdr:from>
      <xdr:col>2</xdr:col>
      <xdr:colOff>38160</xdr:colOff>
      <xdr:row>41</xdr:row>
      <xdr:rowOff>146880</xdr:rowOff>
    </xdr:from>
    <xdr:to>
      <xdr:col>2</xdr:col>
      <xdr:colOff>1208880</xdr:colOff>
      <xdr:row>41</xdr:row>
      <xdr:rowOff>1312560</xdr:rowOff>
    </xdr:to>
    <xdr:pic>
      <xdr:nvPicPr>
        <xdr:cNvPr id="512" name="图片 29" descr="9"/>
        <xdr:cNvPicPr/>
      </xdr:nvPicPr>
      <xdr:blipFill>
        <a:blip r:embed="rId62"/>
        <a:stretch/>
      </xdr:blipFill>
      <xdr:spPr>
        <a:xfrm>
          <a:off x="5605920" y="46095480"/>
          <a:ext cx="1170720" cy="1165680"/>
        </a:xfrm>
        <a:prstGeom prst="rect">
          <a:avLst/>
        </a:prstGeom>
        <a:noFill/>
        <a:ln w="9525">
          <a:noFill/>
        </a:ln>
      </xdr:spPr>
    </xdr:pic>
    <xdr:clientData/>
  </xdr:twoCellAnchor>
  <xdr:twoCellAnchor editAs="oneCell">
    <xdr:from>
      <xdr:col>1</xdr:col>
      <xdr:colOff>38160</xdr:colOff>
      <xdr:row>42</xdr:row>
      <xdr:rowOff>143280</xdr:rowOff>
    </xdr:from>
    <xdr:to>
      <xdr:col>1</xdr:col>
      <xdr:colOff>1208880</xdr:colOff>
      <xdr:row>42</xdr:row>
      <xdr:rowOff>1316520</xdr:rowOff>
    </xdr:to>
    <xdr:pic>
      <xdr:nvPicPr>
        <xdr:cNvPr id="513" name="图片 30" descr="1"/>
        <xdr:cNvPicPr/>
      </xdr:nvPicPr>
      <xdr:blipFill>
        <a:blip r:embed="rId63"/>
        <a:stretch/>
      </xdr:blipFill>
      <xdr:spPr>
        <a:xfrm>
          <a:off x="4039920" y="47552400"/>
          <a:ext cx="1170720" cy="1173240"/>
        </a:xfrm>
        <a:prstGeom prst="rect">
          <a:avLst/>
        </a:prstGeom>
        <a:noFill/>
        <a:ln w="9525">
          <a:noFill/>
        </a:ln>
      </xdr:spPr>
    </xdr:pic>
    <xdr:clientData/>
  </xdr:twoCellAnchor>
  <xdr:twoCellAnchor editAs="oneCell">
    <xdr:from>
      <xdr:col>2</xdr:col>
      <xdr:colOff>38160</xdr:colOff>
      <xdr:row>42</xdr:row>
      <xdr:rowOff>143640</xdr:rowOff>
    </xdr:from>
    <xdr:to>
      <xdr:col>2</xdr:col>
      <xdr:colOff>1208880</xdr:colOff>
      <xdr:row>42</xdr:row>
      <xdr:rowOff>1316160</xdr:rowOff>
    </xdr:to>
    <xdr:pic>
      <xdr:nvPicPr>
        <xdr:cNvPr id="514" name="图片 31" descr="8"/>
        <xdr:cNvPicPr/>
      </xdr:nvPicPr>
      <xdr:blipFill>
        <a:blip r:embed="rId64"/>
        <a:stretch/>
      </xdr:blipFill>
      <xdr:spPr>
        <a:xfrm>
          <a:off x="5605920" y="47552760"/>
          <a:ext cx="1170720" cy="1172520"/>
        </a:xfrm>
        <a:prstGeom prst="rect">
          <a:avLst/>
        </a:prstGeom>
        <a:noFill/>
        <a:ln w="9525">
          <a:noFill/>
        </a:ln>
      </xdr:spPr>
    </xdr:pic>
    <xdr:clientData/>
  </xdr:twoCellAnchor>
  <xdr:twoCellAnchor editAs="oneCell">
    <xdr:from>
      <xdr:col>1</xdr:col>
      <xdr:colOff>38160</xdr:colOff>
      <xdr:row>10</xdr:row>
      <xdr:rowOff>140760</xdr:rowOff>
    </xdr:from>
    <xdr:to>
      <xdr:col>1</xdr:col>
      <xdr:colOff>1208880</xdr:colOff>
      <xdr:row>10</xdr:row>
      <xdr:rowOff>1319040</xdr:rowOff>
    </xdr:to>
    <xdr:pic>
      <xdr:nvPicPr>
        <xdr:cNvPr id="515" name="图片 35" descr="1"/>
        <xdr:cNvPicPr/>
      </xdr:nvPicPr>
      <xdr:blipFill>
        <a:blip r:embed="rId65"/>
        <a:stretch/>
      </xdr:blipFill>
      <xdr:spPr>
        <a:xfrm>
          <a:off x="4039920" y="10300680"/>
          <a:ext cx="1170720" cy="1178280"/>
        </a:xfrm>
        <a:prstGeom prst="rect">
          <a:avLst/>
        </a:prstGeom>
        <a:noFill/>
        <a:ln w="9525">
          <a:noFill/>
        </a:ln>
      </xdr:spPr>
    </xdr:pic>
    <xdr:clientData/>
  </xdr:twoCellAnchor>
  <xdr:twoCellAnchor editAs="oneCell">
    <xdr:from>
      <xdr:col>2</xdr:col>
      <xdr:colOff>38160</xdr:colOff>
      <xdr:row>10</xdr:row>
      <xdr:rowOff>146880</xdr:rowOff>
    </xdr:from>
    <xdr:to>
      <xdr:col>2</xdr:col>
      <xdr:colOff>1208880</xdr:colOff>
      <xdr:row>10</xdr:row>
      <xdr:rowOff>1312560</xdr:rowOff>
    </xdr:to>
    <xdr:pic>
      <xdr:nvPicPr>
        <xdr:cNvPr id="516" name="图片 44" descr="9"/>
        <xdr:cNvPicPr/>
      </xdr:nvPicPr>
      <xdr:blipFill>
        <a:blip r:embed="rId66"/>
        <a:stretch/>
      </xdr:blipFill>
      <xdr:spPr>
        <a:xfrm>
          <a:off x="5605920" y="10306800"/>
          <a:ext cx="1170720" cy="1165680"/>
        </a:xfrm>
        <a:prstGeom prst="rect">
          <a:avLst/>
        </a:prstGeom>
        <a:noFill/>
        <a:ln w="9525">
          <a:noFill/>
        </a:ln>
      </xdr:spPr>
    </xdr:pic>
    <xdr:clientData/>
  </xdr:twoCellAnchor>
  <xdr:twoCellAnchor editAs="oneCell">
    <xdr:from>
      <xdr:col>1</xdr:col>
      <xdr:colOff>38160</xdr:colOff>
      <xdr:row>9</xdr:row>
      <xdr:rowOff>143280</xdr:rowOff>
    </xdr:from>
    <xdr:to>
      <xdr:col>1</xdr:col>
      <xdr:colOff>1208880</xdr:colOff>
      <xdr:row>9</xdr:row>
      <xdr:rowOff>1316520</xdr:rowOff>
    </xdr:to>
    <xdr:pic>
      <xdr:nvPicPr>
        <xdr:cNvPr id="517" name="图片 3" descr="1"/>
        <xdr:cNvPicPr/>
      </xdr:nvPicPr>
      <xdr:blipFill>
        <a:blip r:embed="rId67"/>
        <a:stretch/>
      </xdr:blipFill>
      <xdr:spPr>
        <a:xfrm>
          <a:off x="4039920" y="8842680"/>
          <a:ext cx="1170720" cy="1173240"/>
        </a:xfrm>
        <a:prstGeom prst="rect">
          <a:avLst/>
        </a:prstGeom>
        <a:noFill/>
        <a:ln w="9525">
          <a:noFill/>
        </a:ln>
      </xdr:spPr>
    </xdr:pic>
    <xdr:clientData/>
  </xdr:twoCellAnchor>
  <xdr:twoCellAnchor editAs="oneCell">
    <xdr:from>
      <xdr:col>2</xdr:col>
      <xdr:colOff>38160</xdr:colOff>
      <xdr:row>9</xdr:row>
      <xdr:rowOff>144000</xdr:rowOff>
    </xdr:from>
    <xdr:to>
      <xdr:col>2</xdr:col>
      <xdr:colOff>1208880</xdr:colOff>
      <xdr:row>9</xdr:row>
      <xdr:rowOff>1315440</xdr:rowOff>
    </xdr:to>
    <xdr:pic>
      <xdr:nvPicPr>
        <xdr:cNvPr id="518" name="图片 4" descr="8"/>
        <xdr:cNvPicPr/>
      </xdr:nvPicPr>
      <xdr:blipFill>
        <a:blip r:embed="rId68"/>
        <a:stretch/>
      </xdr:blipFill>
      <xdr:spPr>
        <a:xfrm>
          <a:off x="5605920" y="8843400"/>
          <a:ext cx="1170720" cy="1171440"/>
        </a:xfrm>
        <a:prstGeom prst="rect">
          <a:avLst/>
        </a:prstGeom>
        <a:noFill/>
        <a:ln w="9525">
          <a:noFill/>
        </a:ln>
      </xdr:spPr>
    </xdr:pic>
    <xdr:clientData/>
  </xdr:twoCellAnchor>
  <xdr:twoCellAnchor editAs="twoCell">
    <xdr:from>
      <xdr:col>0</xdr:col>
      <xdr:colOff>9360</xdr:colOff>
      <xdr:row>9</xdr:row>
      <xdr:rowOff>0</xdr:rowOff>
    </xdr:from>
    <xdr:to>
      <xdr:col>0</xdr:col>
      <xdr:colOff>837360</xdr:colOff>
      <xdr:row>9</xdr:row>
      <xdr:rowOff>297000</xdr:rowOff>
    </xdr:to>
    <xdr:pic>
      <xdr:nvPicPr>
        <xdr:cNvPr id="519" name="图片 25" descr="快充"/>
        <xdr:cNvPicPr/>
      </xdr:nvPicPr>
      <xdr:blipFill>
        <a:blip r:embed="rId69"/>
        <a:stretch/>
      </xdr:blipFill>
      <xdr:spPr>
        <a:xfrm>
          <a:off x="9360" y="8699400"/>
          <a:ext cx="828000" cy="297000"/>
        </a:xfrm>
        <a:prstGeom prst="rect">
          <a:avLst/>
        </a:prstGeom>
        <a:noFill/>
        <a:ln w="9525">
          <a:noFill/>
        </a:ln>
      </xdr:spPr>
    </xdr:pic>
    <xdr:clientData/>
  </xdr:twoCellAnchor>
  <xdr:twoCellAnchor editAs="oneCell">
    <xdr:from>
      <xdr:col>1</xdr:col>
      <xdr:colOff>38160</xdr:colOff>
      <xdr:row>15</xdr:row>
      <xdr:rowOff>140760</xdr:rowOff>
    </xdr:from>
    <xdr:to>
      <xdr:col>1</xdr:col>
      <xdr:colOff>1208880</xdr:colOff>
      <xdr:row>15</xdr:row>
      <xdr:rowOff>1319040</xdr:rowOff>
    </xdr:to>
    <xdr:pic>
      <xdr:nvPicPr>
        <xdr:cNvPr id="520" name="图片 15" descr="3(3)"/>
        <xdr:cNvPicPr/>
      </xdr:nvPicPr>
      <xdr:blipFill>
        <a:blip r:embed="rId70"/>
        <a:stretch/>
      </xdr:blipFill>
      <xdr:spPr>
        <a:xfrm>
          <a:off x="4039920" y="16206120"/>
          <a:ext cx="1170720" cy="1178280"/>
        </a:xfrm>
        <a:prstGeom prst="rect">
          <a:avLst/>
        </a:prstGeom>
        <a:noFill/>
        <a:ln w="9525">
          <a:noFill/>
        </a:ln>
      </xdr:spPr>
    </xdr:pic>
    <xdr:clientData/>
  </xdr:twoCellAnchor>
  <xdr:twoCellAnchor editAs="oneCell">
    <xdr:from>
      <xdr:col>2</xdr:col>
      <xdr:colOff>38160</xdr:colOff>
      <xdr:row>15</xdr:row>
      <xdr:rowOff>144360</xdr:rowOff>
    </xdr:from>
    <xdr:to>
      <xdr:col>2</xdr:col>
      <xdr:colOff>1208880</xdr:colOff>
      <xdr:row>15</xdr:row>
      <xdr:rowOff>1315080</xdr:rowOff>
    </xdr:to>
    <xdr:pic>
      <xdr:nvPicPr>
        <xdr:cNvPr id="521" name="图片 16" descr="9"/>
        <xdr:cNvPicPr/>
      </xdr:nvPicPr>
      <xdr:blipFill>
        <a:blip r:embed="rId71"/>
        <a:stretch/>
      </xdr:blipFill>
      <xdr:spPr>
        <a:xfrm>
          <a:off x="5605920" y="16209720"/>
          <a:ext cx="1170720" cy="1170720"/>
        </a:xfrm>
        <a:prstGeom prst="rect">
          <a:avLst/>
        </a:prstGeom>
        <a:noFill/>
        <a:ln w="9525">
          <a:noFill/>
        </a:ln>
      </xdr:spPr>
    </xdr:pic>
    <xdr:clientData/>
  </xdr:twoCellAnchor>
  <xdr:twoCellAnchor editAs="oneCell">
    <xdr:from>
      <xdr:col>1</xdr:col>
      <xdr:colOff>38160</xdr:colOff>
      <xdr:row>14</xdr:row>
      <xdr:rowOff>144000</xdr:rowOff>
    </xdr:from>
    <xdr:to>
      <xdr:col>1</xdr:col>
      <xdr:colOff>1208880</xdr:colOff>
      <xdr:row>14</xdr:row>
      <xdr:rowOff>1315440</xdr:rowOff>
    </xdr:to>
    <xdr:pic>
      <xdr:nvPicPr>
        <xdr:cNvPr id="522" name="图片 19" descr="4"/>
        <xdr:cNvPicPr/>
      </xdr:nvPicPr>
      <xdr:blipFill>
        <a:blip r:embed="rId72"/>
        <a:stretch/>
      </xdr:blipFill>
      <xdr:spPr>
        <a:xfrm>
          <a:off x="4039920" y="14748840"/>
          <a:ext cx="1170720" cy="1171440"/>
        </a:xfrm>
        <a:prstGeom prst="rect">
          <a:avLst/>
        </a:prstGeom>
        <a:noFill/>
        <a:ln w="9525">
          <a:noFill/>
        </a:ln>
      </xdr:spPr>
    </xdr:pic>
    <xdr:clientData/>
  </xdr:twoCellAnchor>
  <xdr:twoCellAnchor editAs="oneCell">
    <xdr:from>
      <xdr:col>2</xdr:col>
      <xdr:colOff>38160</xdr:colOff>
      <xdr:row>14</xdr:row>
      <xdr:rowOff>143280</xdr:rowOff>
    </xdr:from>
    <xdr:to>
      <xdr:col>2</xdr:col>
      <xdr:colOff>1208880</xdr:colOff>
      <xdr:row>14</xdr:row>
      <xdr:rowOff>1316520</xdr:rowOff>
    </xdr:to>
    <xdr:pic>
      <xdr:nvPicPr>
        <xdr:cNvPr id="523" name="图片 21" descr="10"/>
        <xdr:cNvPicPr/>
      </xdr:nvPicPr>
      <xdr:blipFill>
        <a:blip r:embed="rId73"/>
        <a:stretch/>
      </xdr:blipFill>
      <xdr:spPr>
        <a:xfrm>
          <a:off x="5605920" y="14748120"/>
          <a:ext cx="1170720" cy="1173240"/>
        </a:xfrm>
        <a:prstGeom prst="rect">
          <a:avLst/>
        </a:prstGeom>
        <a:noFill/>
        <a:ln w="9525">
          <a:noFill/>
        </a:ln>
      </xdr:spPr>
    </xdr:pic>
    <xdr:clientData/>
  </xdr:twoCellAnchor>
  <xdr:twoCellAnchor editAs="oneCell">
    <xdr:from>
      <xdr:col>1</xdr:col>
      <xdr:colOff>38160</xdr:colOff>
      <xdr:row>40</xdr:row>
      <xdr:rowOff>143280</xdr:rowOff>
    </xdr:from>
    <xdr:to>
      <xdr:col>1</xdr:col>
      <xdr:colOff>1208880</xdr:colOff>
      <xdr:row>40</xdr:row>
      <xdr:rowOff>1316520</xdr:rowOff>
    </xdr:to>
    <xdr:pic>
      <xdr:nvPicPr>
        <xdr:cNvPr id="524" name="图片 6" descr="1"/>
        <xdr:cNvPicPr/>
      </xdr:nvPicPr>
      <xdr:blipFill>
        <a:blip r:embed="rId74"/>
        <a:stretch/>
      </xdr:blipFill>
      <xdr:spPr>
        <a:xfrm>
          <a:off x="4039920" y="44631360"/>
          <a:ext cx="1170720" cy="1173240"/>
        </a:xfrm>
        <a:prstGeom prst="rect">
          <a:avLst/>
        </a:prstGeom>
        <a:noFill/>
        <a:ln w="9525">
          <a:noFill/>
        </a:ln>
      </xdr:spPr>
    </xdr:pic>
    <xdr:clientData/>
  </xdr:twoCellAnchor>
  <xdr:twoCellAnchor editAs="oneCell">
    <xdr:from>
      <xdr:col>2</xdr:col>
      <xdr:colOff>38160</xdr:colOff>
      <xdr:row>40</xdr:row>
      <xdr:rowOff>144000</xdr:rowOff>
    </xdr:from>
    <xdr:to>
      <xdr:col>2</xdr:col>
      <xdr:colOff>1208880</xdr:colOff>
      <xdr:row>40</xdr:row>
      <xdr:rowOff>1315440</xdr:rowOff>
    </xdr:to>
    <xdr:pic>
      <xdr:nvPicPr>
        <xdr:cNvPr id="525" name="图片 9" descr="9"/>
        <xdr:cNvPicPr/>
      </xdr:nvPicPr>
      <xdr:blipFill>
        <a:blip r:embed="rId75"/>
        <a:stretch/>
      </xdr:blipFill>
      <xdr:spPr>
        <a:xfrm>
          <a:off x="5605920" y="44632080"/>
          <a:ext cx="1170720" cy="1171440"/>
        </a:xfrm>
        <a:prstGeom prst="rect">
          <a:avLst/>
        </a:prstGeom>
        <a:noFill/>
        <a:ln w="9525">
          <a:noFill/>
        </a:ln>
      </xdr:spPr>
    </xdr:pic>
    <xdr:clientData/>
  </xdr:twoCellAnchor>
  <xdr:twoCellAnchor editAs="oneCell">
    <xdr:from>
      <xdr:col>1</xdr:col>
      <xdr:colOff>38160</xdr:colOff>
      <xdr:row>8</xdr:row>
      <xdr:rowOff>140760</xdr:rowOff>
    </xdr:from>
    <xdr:to>
      <xdr:col>1</xdr:col>
      <xdr:colOff>1208880</xdr:colOff>
      <xdr:row>8</xdr:row>
      <xdr:rowOff>1319040</xdr:rowOff>
    </xdr:to>
    <xdr:pic>
      <xdr:nvPicPr>
        <xdr:cNvPr id="526" name="图片 36" descr="1"/>
        <xdr:cNvPicPr/>
      </xdr:nvPicPr>
      <xdr:blipFill>
        <a:blip r:embed="rId76"/>
        <a:stretch/>
      </xdr:blipFill>
      <xdr:spPr>
        <a:xfrm>
          <a:off x="4039920" y="7379640"/>
          <a:ext cx="1170720" cy="1178280"/>
        </a:xfrm>
        <a:prstGeom prst="rect">
          <a:avLst/>
        </a:prstGeom>
        <a:noFill/>
        <a:ln w="9525">
          <a:noFill/>
        </a:ln>
      </xdr:spPr>
    </xdr:pic>
    <xdr:clientData/>
  </xdr:twoCellAnchor>
  <xdr:twoCellAnchor editAs="oneCell">
    <xdr:from>
      <xdr:col>2</xdr:col>
      <xdr:colOff>38160</xdr:colOff>
      <xdr:row>8</xdr:row>
      <xdr:rowOff>144000</xdr:rowOff>
    </xdr:from>
    <xdr:to>
      <xdr:col>2</xdr:col>
      <xdr:colOff>1208880</xdr:colOff>
      <xdr:row>8</xdr:row>
      <xdr:rowOff>1315440</xdr:rowOff>
    </xdr:to>
    <xdr:pic>
      <xdr:nvPicPr>
        <xdr:cNvPr id="527" name="图片 46" descr="9"/>
        <xdr:cNvPicPr/>
      </xdr:nvPicPr>
      <xdr:blipFill>
        <a:blip r:embed="rId77"/>
        <a:stretch/>
      </xdr:blipFill>
      <xdr:spPr>
        <a:xfrm>
          <a:off x="5605920" y="7382880"/>
          <a:ext cx="1170720" cy="1171440"/>
        </a:xfrm>
        <a:prstGeom prst="rect">
          <a:avLst/>
        </a:prstGeom>
        <a:noFill/>
        <a:ln w="9525">
          <a:noFill/>
        </a:ln>
      </xdr:spPr>
    </xdr:pic>
    <xdr:clientData/>
  </xdr:twoCellAnchor>
  <xdr:twoCellAnchor editAs="twoCell">
    <xdr:from>
      <xdr:col>0</xdr:col>
      <xdr:colOff>9360</xdr:colOff>
      <xdr:row>8</xdr:row>
      <xdr:rowOff>0</xdr:rowOff>
    </xdr:from>
    <xdr:to>
      <xdr:col>0</xdr:col>
      <xdr:colOff>836640</xdr:colOff>
      <xdr:row>8</xdr:row>
      <xdr:rowOff>297000</xdr:rowOff>
    </xdr:to>
    <xdr:pic>
      <xdr:nvPicPr>
        <xdr:cNvPr id="528" name="图片 49" descr="快充"/>
        <xdr:cNvPicPr/>
      </xdr:nvPicPr>
      <xdr:blipFill>
        <a:blip r:embed="rId78"/>
        <a:stretch/>
      </xdr:blipFill>
      <xdr:spPr>
        <a:xfrm>
          <a:off x="9360" y="7238880"/>
          <a:ext cx="827280" cy="297000"/>
        </a:xfrm>
        <a:prstGeom prst="rect">
          <a:avLst/>
        </a:prstGeom>
        <a:noFill/>
        <a:ln w="9525">
          <a:noFill/>
        </a:ln>
      </xdr:spPr>
    </xdr:pic>
    <xdr:clientData/>
  </xdr:twoCellAnchor>
  <xdr:twoCellAnchor editAs="oneCell">
    <xdr:from>
      <xdr:col>1</xdr:col>
      <xdr:colOff>38160</xdr:colOff>
      <xdr:row>39</xdr:row>
      <xdr:rowOff>144360</xdr:rowOff>
    </xdr:from>
    <xdr:to>
      <xdr:col>1</xdr:col>
      <xdr:colOff>1208880</xdr:colOff>
      <xdr:row>39</xdr:row>
      <xdr:rowOff>1315080</xdr:rowOff>
    </xdr:to>
    <xdr:pic>
      <xdr:nvPicPr>
        <xdr:cNvPr id="529" name="图片 1" descr="3"/>
        <xdr:cNvPicPr/>
      </xdr:nvPicPr>
      <xdr:blipFill>
        <a:blip r:embed="rId79"/>
        <a:stretch/>
      </xdr:blipFill>
      <xdr:spPr>
        <a:xfrm>
          <a:off x="4039920" y="43171920"/>
          <a:ext cx="1170720" cy="1170720"/>
        </a:xfrm>
        <a:prstGeom prst="rect">
          <a:avLst/>
        </a:prstGeom>
        <a:noFill/>
        <a:ln w="0">
          <a:noFill/>
        </a:ln>
      </xdr:spPr>
    </xdr:pic>
    <xdr:clientData/>
  </xdr:twoCellAnchor>
  <xdr:twoCellAnchor editAs="oneCell">
    <xdr:from>
      <xdr:col>2</xdr:col>
      <xdr:colOff>38160</xdr:colOff>
      <xdr:row>39</xdr:row>
      <xdr:rowOff>144360</xdr:rowOff>
    </xdr:from>
    <xdr:to>
      <xdr:col>2</xdr:col>
      <xdr:colOff>1208880</xdr:colOff>
      <xdr:row>39</xdr:row>
      <xdr:rowOff>1315080</xdr:rowOff>
    </xdr:to>
    <xdr:pic>
      <xdr:nvPicPr>
        <xdr:cNvPr id="530" name="图片 2" descr="4"/>
        <xdr:cNvPicPr/>
      </xdr:nvPicPr>
      <xdr:blipFill>
        <a:blip r:embed="rId80"/>
        <a:stretch/>
      </xdr:blipFill>
      <xdr:spPr>
        <a:xfrm>
          <a:off x="5605920" y="43171920"/>
          <a:ext cx="1170720" cy="1170720"/>
        </a:xfrm>
        <a:prstGeom prst="rect">
          <a:avLst/>
        </a:prstGeom>
        <a:noFill/>
        <a:ln w="0">
          <a:noFill/>
        </a:ln>
      </xdr:spPr>
    </xdr:pic>
    <xdr:clientData/>
  </xdr:twoCellAnchor>
  <xdr:twoCellAnchor editAs="oneCell">
    <xdr:from>
      <xdr:col>1</xdr:col>
      <xdr:colOff>38160</xdr:colOff>
      <xdr:row>7</xdr:row>
      <xdr:rowOff>141480</xdr:rowOff>
    </xdr:from>
    <xdr:to>
      <xdr:col>1</xdr:col>
      <xdr:colOff>1208880</xdr:colOff>
      <xdr:row>7</xdr:row>
      <xdr:rowOff>1318680</xdr:rowOff>
    </xdr:to>
    <xdr:pic>
      <xdr:nvPicPr>
        <xdr:cNvPr id="531" name="图片 4" descr="1"/>
        <xdr:cNvPicPr/>
      </xdr:nvPicPr>
      <xdr:blipFill>
        <a:blip r:embed="rId81"/>
        <a:stretch/>
      </xdr:blipFill>
      <xdr:spPr>
        <a:xfrm>
          <a:off x="4039920" y="5919840"/>
          <a:ext cx="1170720" cy="1177200"/>
        </a:xfrm>
        <a:prstGeom prst="rect">
          <a:avLst/>
        </a:prstGeom>
        <a:noFill/>
        <a:ln w="0">
          <a:noFill/>
        </a:ln>
      </xdr:spPr>
    </xdr:pic>
    <xdr:clientData/>
  </xdr:twoCellAnchor>
  <xdr:twoCellAnchor editAs="oneCell">
    <xdr:from>
      <xdr:col>2</xdr:col>
      <xdr:colOff>38160</xdr:colOff>
      <xdr:row>7</xdr:row>
      <xdr:rowOff>141480</xdr:rowOff>
    </xdr:from>
    <xdr:to>
      <xdr:col>2</xdr:col>
      <xdr:colOff>1208880</xdr:colOff>
      <xdr:row>7</xdr:row>
      <xdr:rowOff>1318680</xdr:rowOff>
    </xdr:to>
    <xdr:pic>
      <xdr:nvPicPr>
        <xdr:cNvPr id="532" name="图片 5" descr="2"/>
        <xdr:cNvPicPr/>
      </xdr:nvPicPr>
      <xdr:blipFill>
        <a:blip r:embed="rId82"/>
        <a:stretch/>
      </xdr:blipFill>
      <xdr:spPr>
        <a:xfrm>
          <a:off x="5605920" y="5919840"/>
          <a:ext cx="1170720" cy="1177200"/>
        </a:xfrm>
        <a:prstGeom prst="rect">
          <a:avLst/>
        </a:prstGeom>
        <a:noFill/>
        <a:ln w="0">
          <a:noFill/>
        </a:ln>
      </xdr:spPr>
    </xdr:pic>
    <xdr:clientData/>
  </xdr:twoCellAnchor>
  <xdr:twoCellAnchor editAs="twoCell">
    <xdr:from>
      <xdr:col>0</xdr:col>
      <xdr:colOff>0</xdr:colOff>
      <xdr:row>7</xdr:row>
      <xdr:rowOff>0</xdr:rowOff>
    </xdr:from>
    <xdr:to>
      <xdr:col>0</xdr:col>
      <xdr:colOff>828000</xdr:colOff>
      <xdr:row>7</xdr:row>
      <xdr:rowOff>297000</xdr:rowOff>
    </xdr:to>
    <xdr:pic>
      <xdr:nvPicPr>
        <xdr:cNvPr id="533" name="图片 63" descr="新品"/>
        <xdr:cNvPicPr/>
      </xdr:nvPicPr>
      <xdr:blipFill>
        <a:blip r:embed="rId83"/>
        <a:stretch/>
      </xdr:blipFill>
      <xdr:spPr>
        <a:xfrm>
          <a:off x="0" y="5778360"/>
          <a:ext cx="828000" cy="297000"/>
        </a:xfrm>
        <a:prstGeom prst="rect">
          <a:avLst/>
        </a:prstGeom>
        <a:noFill/>
        <a:ln w="9525">
          <a:noFill/>
        </a:ln>
      </xdr:spPr>
    </xdr:pic>
    <xdr:clientData/>
  </xdr:twoCellAnchor>
  <xdr:twoCellAnchor editAs="oneCell">
    <xdr:from>
      <xdr:col>1</xdr:col>
      <xdr:colOff>38160</xdr:colOff>
      <xdr:row>51</xdr:row>
      <xdr:rowOff>144360</xdr:rowOff>
    </xdr:from>
    <xdr:to>
      <xdr:col>1</xdr:col>
      <xdr:colOff>1208880</xdr:colOff>
      <xdr:row>51</xdr:row>
      <xdr:rowOff>1315080</xdr:rowOff>
    </xdr:to>
    <xdr:pic>
      <xdr:nvPicPr>
        <xdr:cNvPr id="534" name="图片 7" descr="4"/>
        <xdr:cNvPicPr/>
      </xdr:nvPicPr>
      <xdr:blipFill>
        <a:blip r:embed="rId84"/>
        <a:stretch/>
      </xdr:blipFill>
      <xdr:spPr>
        <a:xfrm>
          <a:off x="4039920" y="56507040"/>
          <a:ext cx="1170720" cy="1170720"/>
        </a:xfrm>
        <a:prstGeom prst="rect">
          <a:avLst/>
        </a:prstGeom>
        <a:noFill/>
        <a:ln w="0">
          <a:noFill/>
        </a:ln>
      </xdr:spPr>
    </xdr:pic>
    <xdr:clientData/>
  </xdr:twoCellAnchor>
  <xdr:twoCellAnchor editAs="oneCell">
    <xdr:from>
      <xdr:col>2</xdr:col>
      <xdr:colOff>38160</xdr:colOff>
      <xdr:row>51</xdr:row>
      <xdr:rowOff>144360</xdr:rowOff>
    </xdr:from>
    <xdr:to>
      <xdr:col>2</xdr:col>
      <xdr:colOff>1208880</xdr:colOff>
      <xdr:row>51</xdr:row>
      <xdr:rowOff>1315080</xdr:rowOff>
    </xdr:to>
    <xdr:pic>
      <xdr:nvPicPr>
        <xdr:cNvPr id="535" name="图片 8" descr="10"/>
        <xdr:cNvPicPr/>
      </xdr:nvPicPr>
      <xdr:blipFill>
        <a:blip r:embed="rId85"/>
        <a:stretch/>
      </xdr:blipFill>
      <xdr:spPr>
        <a:xfrm>
          <a:off x="5605920" y="56507040"/>
          <a:ext cx="1170720" cy="1170720"/>
        </a:xfrm>
        <a:prstGeom prst="rect">
          <a:avLst/>
        </a:prstGeom>
        <a:noFill/>
        <a:ln w="0">
          <a:noFill/>
        </a:ln>
      </xdr:spPr>
    </xdr:pic>
    <xdr:clientData/>
  </xdr:twoCellAnchor>
  <xdr:twoCellAnchor editAs="twoCell">
    <xdr:from>
      <xdr:col>0</xdr:col>
      <xdr:colOff>9360</xdr:colOff>
      <xdr:row>50</xdr:row>
      <xdr:rowOff>3240</xdr:rowOff>
    </xdr:from>
    <xdr:to>
      <xdr:col>0</xdr:col>
      <xdr:colOff>837360</xdr:colOff>
      <xdr:row>50</xdr:row>
      <xdr:rowOff>299880</xdr:rowOff>
    </xdr:to>
    <xdr:pic>
      <xdr:nvPicPr>
        <xdr:cNvPr id="536" name="图片 188" descr="快充"/>
        <xdr:cNvPicPr/>
      </xdr:nvPicPr>
      <xdr:blipFill>
        <a:blip r:embed="rId86"/>
        <a:stretch/>
      </xdr:blipFill>
      <xdr:spPr>
        <a:xfrm>
          <a:off x="9360" y="54905400"/>
          <a:ext cx="828000" cy="296640"/>
        </a:xfrm>
        <a:prstGeom prst="rect">
          <a:avLst/>
        </a:prstGeom>
        <a:noFill/>
        <a:ln w="9525">
          <a:noFill/>
        </a:ln>
      </xdr:spPr>
    </xdr:pic>
    <xdr:clientData/>
  </xdr:twoCellAnchor>
  <xdr:twoCellAnchor editAs="oneCell">
    <xdr:from>
      <xdr:col>1</xdr:col>
      <xdr:colOff>38160</xdr:colOff>
      <xdr:row>50</xdr:row>
      <xdr:rowOff>144360</xdr:rowOff>
    </xdr:from>
    <xdr:to>
      <xdr:col>1</xdr:col>
      <xdr:colOff>1208880</xdr:colOff>
      <xdr:row>50</xdr:row>
      <xdr:rowOff>1315080</xdr:rowOff>
    </xdr:to>
    <xdr:pic>
      <xdr:nvPicPr>
        <xdr:cNvPr id="537" name="图片 10" descr="4"/>
        <xdr:cNvPicPr/>
      </xdr:nvPicPr>
      <xdr:blipFill>
        <a:blip r:embed="rId87"/>
        <a:stretch/>
      </xdr:blipFill>
      <xdr:spPr>
        <a:xfrm>
          <a:off x="4039920" y="55046520"/>
          <a:ext cx="1170720" cy="1170720"/>
        </a:xfrm>
        <a:prstGeom prst="rect">
          <a:avLst/>
        </a:prstGeom>
        <a:noFill/>
        <a:ln w="0">
          <a:noFill/>
        </a:ln>
      </xdr:spPr>
    </xdr:pic>
    <xdr:clientData/>
  </xdr:twoCellAnchor>
  <xdr:twoCellAnchor editAs="oneCell">
    <xdr:from>
      <xdr:col>2</xdr:col>
      <xdr:colOff>38160</xdr:colOff>
      <xdr:row>50</xdr:row>
      <xdr:rowOff>144360</xdr:rowOff>
    </xdr:from>
    <xdr:to>
      <xdr:col>2</xdr:col>
      <xdr:colOff>1208880</xdr:colOff>
      <xdr:row>50</xdr:row>
      <xdr:rowOff>1315080</xdr:rowOff>
    </xdr:to>
    <xdr:pic>
      <xdr:nvPicPr>
        <xdr:cNvPr id="538" name="图片 11" descr="10"/>
        <xdr:cNvPicPr/>
      </xdr:nvPicPr>
      <xdr:blipFill>
        <a:blip r:embed="rId88"/>
        <a:stretch/>
      </xdr:blipFill>
      <xdr:spPr>
        <a:xfrm>
          <a:off x="5605920" y="55046520"/>
          <a:ext cx="1170720" cy="1170720"/>
        </a:xfrm>
        <a:prstGeom prst="rect">
          <a:avLst/>
        </a:prstGeom>
        <a:noFill/>
        <a:ln w="0">
          <a:noFill/>
        </a:ln>
      </xdr:spPr>
    </xdr:pic>
    <xdr:clientData/>
  </xdr:twoCellAnchor>
  <xdr:twoCellAnchor editAs="oneCell">
    <xdr:from>
      <xdr:col>1</xdr:col>
      <xdr:colOff>38160</xdr:colOff>
      <xdr:row>29</xdr:row>
      <xdr:rowOff>144000</xdr:rowOff>
    </xdr:from>
    <xdr:to>
      <xdr:col>1</xdr:col>
      <xdr:colOff>1208880</xdr:colOff>
      <xdr:row>29</xdr:row>
      <xdr:rowOff>1315440</xdr:rowOff>
    </xdr:to>
    <xdr:pic>
      <xdr:nvPicPr>
        <xdr:cNvPr id="539" name="图片 126" descr="3"/>
        <xdr:cNvPicPr/>
      </xdr:nvPicPr>
      <xdr:blipFill>
        <a:blip r:embed="rId89"/>
        <a:stretch/>
      </xdr:blipFill>
      <xdr:spPr>
        <a:xfrm>
          <a:off x="4039920" y="33862680"/>
          <a:ext cx="1170720" cy="1171440"/>
        </a:xfrm>
        <a:prstGeom prst="rect">
          <a:avLst/>
        </a:prstGeom>
        <a:noFill/>
        <a:ln w="9525">
          <a:noFill/>
        </a:ln>
      </xdr:spPr>
    </xdr:pic>
    <xdr:clientData/>
  </xdr:twoCellAnchor>
  <xdr:twoCellAnchor editAs="oneCell">
    <xdr:from>
      <xdr:col>2</xdr:col>
      <xdr:colOff>38160</xdr:colOff>
      <xdr:row>29</xdr:row>
      <xdr:rowOff>144360</xdr:rowOff>
    </xdr:from>
    <xdr:to>
      <xdr:col>2</xdr:col>
      <xdr:colOff>1208880</xdr:colOff>
      <xdr:row>29</xdr:row>
      <xdr:rowOff>1315080</xdr:rowOff>
    </xdr:to>
    <xdr:pic>
      <xdr:nvPicPr>
        <xdr:cNvPr id="540" name="图片 20" descr="10"/>
        <xdr:cNvPicPr/>
      </xdr:nvPicPr>
      <xdr:blipFill>
        <a:blip r:embed="rId90"/>
        <a:stretch/>
      </xdr:blipFill>
      <xdr:spPr>
        <a:xfrm>
          <a:off x="5605920" y="33863040"/>
          <a:ext cx="1170720" cy="1170720"/>
        </a:xfrm>
        <a:prstGeom prst="rect">
          <a:avLst/>
        </a:prstGeom>
        <a:noFill/>
        <a:ln w="0">
          <a:noFill/>
        </a:ln>
      </xdr:spPr>
    </xdr:pic>
    <xdr:clientData/>
  </xdr:twoCellAnchor>
  <xdr:twoCellAnchor editAs="oneCell">
    <xdr:from>
      <xdr:col>1</xdr:col>
      <xdr:colOff>38160</xdr:colOff>
      <xdr:row>5</xdr:row>
      <xdr:rowOff>145080</xdr:rowOff>
    </xdr:from>
    <xdr:to>
      <xdr:col>1</xdr:col>
      <xdr:colOff>1208880</xdr:colOff>
      <xdr:row>5</xdr:row>
      <xdr:rowOff>1314720</xdr:rowOff>
    </xdr:to>
    <xdr:pic>
      <xdr:nvPicPr>
        <xdr:cNvPr id="541" name="图片 12" descr="1"/>
        <xdr:cNvPicPr/>
      </xdr:nvPicPr>
      <xdr:blipFill>
        <a:blip r:embed="rId91"/>
        <a:stretch/>
      </xdr:blipFill>
      <xdr:spPr>
        <a:xfrm>
          <a:off x="4039920" y="3002760"/>
          <a:ext cx="1170720" cy="1169640"/>
        </a:xfrm>
        <a:prstGeom prst="rect">
          <a:avLst/>
        </a:prstGeom>
        <a:noFill/>
        <a:ln w="0">
          <a:noFill/>
        </a:ln>
      </xdr:spPr>
    </xdr:pic>
    <xdr:clientData/>
  </xdr:twoCellAnchor>
  <xdr:twoCellAnchor editAs="oneCell">
    <xdr:from>
      <xdr:col>2</xdr:col>
      <xdr:colOff>38160</xdr:colOff>
      <xdr:row>5</xdr:row>
      <xdr:rowOff>144000</xdr:rowOff>
    </xdr:from>
    <xdr:to>
      <xdr:col>2</xdr:col>
      <xdr:colOff>1208880</xdr:colOff>
      <xdr:row>5</xdr:row>
      <xdr:rowOff>1316160</xdr:rowOff>
    </xdr:to>
    <xdr:pic>
      <xdr:nvPicPr>
        <xdr:cNvPr id="542" name="图片 13" descr="8"/>
        <xdr:cNvPicPr/>
      </xdr:nvPicPr>
      <xdr:blipFill>
        <a:blip r:embed="rId92"/>
        <a:stretch/>
      </xdr:blipFill>
      <xdr:spPr>
        <a:xfrm>
          <a:off x="5605920" y="3001680"/>
          <a:ext cx="1170720" cy="1172160"/>
        </a:xfrm>
        <a:prstGeom prst="rect">
          <a:avLst/>
        </a:prstGeom>
        <a:noFill/>
        <a:ln w="0">
          <a:noFill/>
        </a:ln>
      </xdr:spPr>
    </xdr:pic>
    <xdr:clientData/>
  </xdr:twoCellAnchor>
  <xdr:twoCellAnchor editAs="oneCell">
    <xdr:from>
      <xdr:col>1</xdr:col>
      <xdr:colOff>38160</xdr:colOff>
      <xdr:row>6</xdr:row>
      <xdr:rowOff>142200</xdr:rowOff>
    </xdr:from>
    <xdr:to>
      <xdr:col>1</xdr:col>
      <xdr:colOff>1208880</xdr:colOff>
      <xdr:row>6</xdr:row>
      <xdr:rowOff>1317600</xdr:rowOff>
    </xdr:to>
    <xdr:pic>
      <xdr:nvPicPr>
        <xdr:cNvPr id="543" name="图片 19" descr="1"/>
        <xdr:cNvPicPr/>
      </xdr:nvPicPr>
      <xdr:blipFill>
        <a:blip r:embed="rId93"/>
        <a:stretch/>
      </xdr:blipFill>
      <xdr:spPr>
        <a:xfrm>
          <a:off x="4039920" y="4460040"/>
          <a:ext cx="1170720" cy="1175400"/>
        </a:xfrm>
        <a:prstGeom prst="rect">
          <a:avLst/>
        </a:prstGeom>
        <a:noFill/>
        <a:ln w="0">
          <a:noFill/>
        </a:ln>
      </xdr:spPr>
    </xdr:pic>
    <xdr:clientData/>
  </xdr:twoCellAnchor>
  <xdr:twoCellAnchor editAs="oneCell">
    <xdr:from>
      <xdr:col>2</xdr:col>
      <xdr:colOff>38160</xdr:colOff>
      <xdr:row>6</xdr:row>
      <xdr:rowOff>144720</xdr:rowOff>
    </xdr:from>
    <xdr:to>
      <xdr:col>2</xdr:col>
      <xdr:colOff>1208880</xdr:colOff>
      <xdr:row>6</xdr:row>
      <xdr:rowOff>1315080</xdr:rowOff>
    </xdr:to>
    <xdr:pic>
      <xdr:nvPicPr>
        <xdr:cNvPr id="544" name="图片 21" descr="8"/>
        <xdr:cNvPicPr/>
      </xdr:nvPicPr>
      <xdr:blipFill>
        <a:blip r:embed="rId94"/>
        <a:stretch/>
      </xdr:blipFill>
      <xdr:spPr>
        <a:xfrm>
          <a:off x="5605920" y="4462560"/>
          <a:ext cx="1170720" cy="1170360"/>
        </a:xfrm>
        <a:prstGeom prst="rect">
          <a:avLst/>
        </a:prstGeom>
        <a:noFill/>
        <a:ln w="0">
          <a:noFill/>
        </a:ln>
      </xdr:spPr>
    </xdr:pic>
    <xdr:clientData/>
  </xdr:twoCellAnchor>
  <xdr:twoCellAnchor editAs="twoCell">
    <xdr:from>
      <xdr:col>0</xdr:col>
      <xdr:colOff>9360</xdr:colOff>
      <xdr:row>5</xdr:row>
      <xdr:rowOff>0</xdr:rowOff>
    </xdr:from>
    <xdr:to>
      <xdr:col>0</xdr:col>
      <xdr:colOff>836640</xdr:colOff>
      <xdr:row>5</xdr:row>
      <xdr:rowOff>297000</xdr:rowOff>
    </xdr:to>
    <xdr:pic>
      <xdr:nvPicPr>
        <xdr:cNvPr id="545" name="图片 54" descr="快充"/>
        <xdr:cNvPicPr/>
      </xdr:nvPicPr>
      <xdr:blipFill>
        <a:blip r:embed="rId95"/>
        <a:stretch/>
      </xdr:blipFill>
      <xdr:spPr>
        <a:xfrm>
          <a:off x="9360" y="2857680"/>
          <a:ext cx="827280" cy="297000"/>
        </a:xfrm>
        <a:prstGeom prst="rect">
          <a:avLst/>
        </a:prstGeom>
        <a:noFill/>
        <a:ln w="9525">
          <a:noFill/>
        </a:ln>
      </xdr:spPr>
    </xdr:pic>
    <xdr:clientData/>
  </xdr:twoCellAnchor>
  <xdr:twoCellAnchor editAs="twoCell">
    <xdr:from>
      <xdr:col>0</xdr:col>
      <xdr:colOff>9360</xdr:colOff>
      <xdr:row>6</xdr:row>
      <xdr:rowOff>0</xdr:rowOff>
    </xdr:from>
    <xdr:to>
      <xdr:col>0</xdr:col>
      <xdr:colOff>836640</xdr:colOff>
      <xdr:row>6</xdr:row>
      <xdr:rowOff>297000</xdr:rowOff>
    </xdr:to>
    <xdr:pic>
      <xdr:nvPicPr>
        <xdr:cNvPr id="546" name="图片 54" descr="快充"/>
        <xdr:cNvPicPr/>
      </xdr:nvPicPr>
      <xdr:blipFill>
        <a:blip r:embed="rId96"/>
        <a:stretch/>
      </xdr:blipFill>
      <xdr:spPr>
        <a:xfrm>
          <a:off x="9360" y="4317840"/>
          <a:ext cx="827280" cy="297000"/>
        </a:xfrm>
        <a:prstGeom prst="rect">
          <a:avLst/>
        </a:prstGeom>
        <a:noFill/>
        <a:ln w="9525">
          <a:noFill/>
        </a:ln>
      </xdr:spPr>
    </xdr:pic>
    <xdr:clientData/>
  </xdr:twoCellAnchor>
  <xdr:twoCellAnchor editAs="oneCell">
    <xdr:from>
      <xdr:col>2</xdr:col>
      <xdr:colOff>38160</xdr:colOff>
      <xdr:row>38</xdr:row>
      <xdr:rowOff>141840</xdr:rowOff>
    </xdr:from>
    <xdr:to>
      <xdr:col>2</xdr:col>
      <xdr:colOff>1208880</xdr:colOff>
      <xdr:row>38</xdr:row>
      <xdr:rowOff>1317960</xdr:rowOff>
    </xdr:to>
    <xdr:pic>
      <xdr:nvPicPr>
        <xdr:cNvPr id="547" name="图片 16" descr="8"/>
        <xdr:cNvPicPr/>
      </xdr:nvPicPr>
      <xdr:blipFill>
        <a:blip r:embed="rId97"/>
        <a:stretch/>
      </xdr:blipFill>
      <xdr:spPr>
        <a:xfrm>
          <a:off x="5605920" y="41708880"/>
          <a:ext cx="1170720" cy="1176120"/>
        </a:xfrm>
        <a:prstGeom prst="rect">
          <a:avLst/>
        </a:prstGeom>
        <a:noFill/>
        <a:ln w="0">
          <a:noFill/>
        </a:ln>
      </xdr:spPr>
    </xdr:pic>
    <xdr:clientData/>
  </xdr:twoCellAnchor>
  <xdr:twoCellAnchor editAs="oneCell">
    <xdr:from>
      <xdr:col>1</xdr:col>
      <xdr:colOff>38160</xdr:colOff>
      <xdr:row>38</xdr:row>
      <xdr:rowOff>144720</xdr:rowOff>
    </xdr:from>
    <xdr:to>
      <xdr:col>1</xdr:col>
      <xdr:colOff>1208880</xdr:colOff>
      <xdr:row>38</xdr:row>
      <xdr:rowOff>1315080</xdr:rowOff>
    </xdr:to>
    <xdr:pic>
      <xdr:nvPicPr>
        <xdr:cNvPr id="548" name="图片 17" descr="1"/>
        <xdr:cNvPicPr/>
      </xdr:nvPicPr>
      <xdr:blipFill>
        <a:blip r:embed="rId98"/>
        <a:stretch/>
      </xdr:blipFill>
      <xdr:spPr>
        <a:xfrm>
          <a:off x="4039920" y="41711760"/>
          <a:ext cx="1170720" cy="1170360"/>
        </a:xfrm>
        <a:prstGeom prst="rect">
          <a:avLst/>
        </a:prstGeom>
        <a:noFill/>
        <a:ln w="0">
          <a:noFill/>
        </a:ln>
      </xdr:spPr>
    </xdr:pic>
    <xdr:clientData/>
  </xdr:twoCellAnchor>
  <xdr:twoCellAnchor editAs="twoCell">
    <xdr:from>
      <xdr:col>0</xdr:col>
      <xdr:colOff>9360</xdr:colOff>
      <xdr:row>38</xdr:row>
      <xdr:rowOff>0</xdr:rowOff>
    </xdr:from>
    <xdr:to>
      <xdr:col>0</xdr:col>
      <xdr:colOff>836640</xdr:colOff>
      <xdr:row>38</xdr:row>
      <xdr:rowOff>297000</xdr:rowOff>
    </xdr:to>
    <xdr:pic>
      <xdr:nvPicPr>
        <xdr:cNvPr id="549" name="图片 54" descr="快充"/>
        <xdr:cNvPicPr/>
      </xdr:nvPicPr>
      <xdr:blipFill>
        <a:blip r:embed="rId99"/>
        <a:stretch/>
      </xdr:blipFill>
      <xdr:spPr>
        <a:xfrm>
          <a:off x="9360" y="41567040"/>
          <a:ext cx="827280" cy="297000"/>
        </a:xfrm>
        <a:prstGeom prst="rect">
          <a:avLst/>
        </a:prstGeom>
        <a:noFill/>
        <a:ln w="9525">
          <a:noFill/>
        </a:ln>
      </xdr:spPr>
    </xdr:pic>
    <xdr:clientData/>
  </xdr:twoCellAnchor>
  <xdr:twoCellAnchor editAs="oneCell">
    <xdr:from>
      <xdr:col>1</xdr:col>
      <xdr:colOff>38160</xdr:colOff>
      <xdr:row>4</xdr:row>
      <xdr:rowOff>142200</xdr:rowOff>
    </xdr:from>
    <xdr:to>
      <xdr:col>1</xdr:col>
      <xdr:colOff>1208880</xdr:colOff>
      <xdr:row>4</xdr:row>
      <xdr:rowOff>1317600</xdr:rowOff>
    </xdr:to>
    <xdr:pic>
      <xdr:nvPicPr>
        <xdr:cNvPr id="550" name="图片 3" descr="2"/>
        <xdr:cNvPicPr/>
      </xdr:nvPicPr>
      <xdr:blipFill>
        <a:blip r:embed="rId100"/>
        <a:stretch/>
      </xdr:blipFill>
      <xdr:spPr>
        <a:xfrm>
          <a:off x="4039920" y="1539360"/>
          <a:ext cx="1170720" cy="1175400"/>
        </a:xfrm>
        <a:prstGeom prst="rect">
          <a:avLst/>
        </a:prstGeom>
        <a:noFill/>
        <a:ln w="0">
          <a:noFill/>
        </a:ln>
      </xdr:spPr>
    </xdr:pic>
    <xdr:clientData/>
  </xdr:twoCellAnchor>
  <xdr:twoCellAnchor editAs="oneCell">
    <xdr:from>
      <xdr:col>2</xdr:col>
      <xdr:colOff>38160</xdr:colOff>
      <xdr:row>4</xdr:row>
      <xdr:rowOff>144360</xdr:rowOff>
    </xdr:from>
    <xdr:to>
      <xdr:col>2</xdr:col>
      <xdr:colOff>1208880</xdr:colOff>
      <xdr:row>4</xdr:row>
      <xdr:rowOff>1315080</xdr:rowOff>
    </xdr:to>
    <xdr:pic>
      <xdr:nvPicPr>
        <xdr:cNvPr id="551" name="图片 14" descr="8"/>
        <xdr:cNvPicPr/>
      </xdr:nvPicPr>
      <xdr:blipFill>
        <a:blip r:embed="rId101"/>
        <a:stretch/>
      </xdr:blipFill>
      <xdr:spPr>
        <a:xfrm>
          <a:off x="5605920" y="1541520"/>
          <a:ext cx="1170720" cy="1170720"/>
        </a:xfrm>
        <a:prstGeom prst="rect">
          <a:avLst/>
        </a:prstGeom>
        <a:noFill/>
        <a:ln w="0">
          <a:noFill/>
        </a:ln>
      </xdr:spPr>
    </xdr:pic>
    <xdr:clientData/>
  </xdr:twoCellAnchor>
  <xdr:twoCellAnchor editAs="twoCell">
    <xdr:from>
      <xdr:col>0</xdr:col>
      <xdr:colOff>9360</xdr:colOff>
      <xdr:row>4</xdr:row>
      <xdr:rowOff>0</xdr:rowOff>
    </xdr:from>
    <xdr:to>
      <xdr:col>0</xdr:col>
      <xdr:colOff>836640</xdr:colOff>
      <xdr:row>4</xdr:row>
      <xdr:rowOff>297000</xdr:rowOff>
    </xdr:to>
    <xdr:pic>
      <xdr:nvPicPr>
        <xdr:cNvPr id="552" name="图片 54" descr="快充"/>
        <xdr:cNvPicPr/>
      </xdr:nvPicPr>
      <xdr:blipFill>
        <a:blip r:embed="rId102"/>
        <a:stretch/>
      </xdr:blipFill>
      <xdr:spPr>
        <a:xfrm>
          <a:off x="9360" y="1397160"/>
          <a:ext cx="827280" cy="297000"/>
        </a:xfrm>
        <a:prstGeom prst="rect">
          <a:avLst/>
        </a:prstGeom>
        <a:noFill/>
        <a:ln w="9525">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38160</xdr:colOff>
      <xdr:row>136</xdr:row>
      <xdr:rowOff>144000</xdr:rowOff>
    </xdr:from>
    <xdr:to>
      <xdr:col>2</xdr:col>
      <xdr:colOff>1208880</xdr:colOff>
      <xdr:row>136</xdr:row>
      <xdr:rowOff>1316160</xdr:rowOff>
    </xdr:to>
    <xdr:pic>
      <xdr:nvPicPr>
        <xdr:cNvPr id="553" name="图片 31" descr="C:/Users/Ray/AppData/Local/Temp/picturecompress_20211118150939/output_2.jpgoutput_2"/>
        <xdr:cNvPicPr/>
      </xdr:nvPicPr>
      <xdr:blipFill>
        <a:blip r:embed="rId1"/>
        <a:stretch/>
      </xdr:blipFill>
      <xdr:spPr>
        <a:xfrm>
          <a:off x="5605920" y="158443200"/>
          <a:ext cx="1170720" cy="1172160"/>
        </a:xfrm>
        <a:prstGeom prst="rect">
          <a:avLst/>
        </a:prstGeom>
        <a:noFill/>
        <a:ln w="9525">
          <a:noFill/>
        </a:ln>
      </xdr:spPr>
    </xdr:pic>
    <xdr:clientData/>
  </xdr:twoCellAnchor>
  <xdr:twoCellAnchor editAs="oneCell">
    <xdr:from>
      <xdr:col>2</xdr:col>
      <xdr:colOff>38160</xdr:colOff>
      <xdr:row>137</xdr:row>
      <xdr:rowOff>146160</xdr:rowOff>
    </xdr:from>
    <xdr:to>
      <xdr:col>2</xdr:col>
      <xdr:colOff>1208880</xdr:colOff>
      <xdr:row>137</xdr:row>
      <xdr:rowOff>1314000</xdr:rowOff>
    </xdr:to>
    <xdr:pic>
      <xdr:nvPicPr>
        <xdr:cNvPr id="554" name="图片 24" descr="C:/Users/Ray/AppData/Local/Temp/picturecompress_20211118150939/output_6.jpgoutput_6"/>
        <xdr:cNvPicPr/>
      </xdr:nvPicPr>
      <xdr:blipFill>
        <a:blip r:embed="rId2"/>
        <a:stretch/>
      </xdr:blipFill>
      <xdr:spPr>
        <a:xfrm>
          <a:off x="5605920" y="159905880"/>
          <a:ext cx="1170720" cy="1167840"/>
        </a:xfrm>
        <a:prstGeom prst="rect">
          <a:avLst/>
        </a:prstGeom>
        <a:noFill/>
        <a:ln w="9525">
          <a:noFill/>
        </a:ln>
      </xdr:spPr>
    </xdr:pic>
    <xdr:clientData/>
  </xdr:twoCellAnchor>
  <xdr:twoCellAnchor editAs="oneCell">
    <xdr:from>
      <xdr:col>2</xdr:col>
      <xdr:colOff>38160</xdr:colOff>
      <xdr:row>138</xdr:row>
      <xdr:rowOff>146160</xdr:rowOff>
    </xdr:from>
    <xdr:to>
      <xdr:col>2</xdr:col>
      <xdr:colOff>1208880</xdr:colOff>
      <xdr:row>138</xdr:row>
      <xdr:rowOff>1314000</xdr:rowOff>
    </xdr:to>
    <xdr:pic>
      <xdr:nvPicPr>
        <xdr:cNvPr id="555" name="图片 25" descr="C:/Users/Ray/AppData/Local/Temp/picturecompress_20211118150939/output_7.jpgoutput_7"/>
        <xdr:cNvPicPr/>
      </xdr:nvPicPr>
      <xdr:blipFill>
        <a:blip r:embed="rId3"/>
        <a:stretch/>
      </xdr:blipFill>
      <xdr:spPr>
        <a:xfrm>
          <a:off x="5605920" y="161366400"/>
          <a:ext cx="1170720" cy="1167840"/>
        </a:xfrm>
        <a:prstGeom prst="rect">
          <a:avLst/>
        </a:prstGeom>
        <a:noFill/>
        <a:ln w="9525">
          <a:noFill/>
        </a:ln>
      </xdr:spPr>
    </xdr:pic>
    <xdr:clientData/>
  </xdr:twoCellAnchor>
  <xdr:twoCellAnchor editAs="oneCell">
    <xdr:from>
      <xdr:col>2</xdr:col>
      <xdr:colOff>38160</xdr:colOff>
      <xdr:row>142</xdr:row>
      <xdr:rowOff>115200</xdr:rowOff>
    </xdr:from>
    <xdr:to>
      <xdr:col>2</xdr:col>
      <xdr:colOff>1208880</xdr:colOff>
      <xdr:row>143</xdr:row>
      <xdr:rowOff>582480</xdr:rowOff>
    </xdr:to>
    <xdr:pic>
      <xdr:nvPicPr>
        <xdr:cNvPr id="556" name="图片 13" descr="C:/Users/Ray/AppData/Local/Temp/picturecompress_20211118150939/output_17.jpgoutput_17"/>
        <xdr:cNvPicPr/>
      </xdr:nvPicPr>
      <xdr:blipFill>
        <a:blip r:embed="rId4"/>
        <a:stretch/>
      </xdr:blipFill>
      <xdr:spPr>
        <a:xfrm>
          <a:off x="5605920" y="167177520"/>
          <a:ext cx="1170720" cy="1165680"/>
        </a:xfrm>
        <a:prstGeom prst="rect">
          <a:avLst/>
        </a:prstGeom>
        <a:noFill/>
        <a:ln w="9525">
          <a:noFill/>
        </a:ln>
      </xdr:spPr>
    </xdr:pic>
    <xdr:clientData/>
  </xdr:twoCellAnchor>
  <xdr:twoCellAnchor editAs="oneCell">
    <xdr:from>
      <xdr:col>2</xdr:col>
      <xdr:colOff>38160</xdr:colOff>
      <xdr:row>144</xdr:row>
      <xdr:rowOff>116280</xdr:rowOff>
    </xdr:from>
    <xdr:to>
      <xdr:col>2</xdr:col>
      <xdr:colOff>1208880</xdr:colOff>
      <xdr:row>145</xdr:row>
      <xdr:rowOff>581760</xdr:rowOff>
    </xdr:to>
    <xdr:pic>
      <xdr:nvPicPr>
        <xdr:cNvPr id="557" name="图片 15" descr="C:/Users/Ray/AppData/Local/Temp/picturecompress_20211118150939/output_18.jpgoutput_18"/>
        <xdr:cNvPicPr/>
      </xdr:nvPicPr>
      <xdr:blipFill>
        <a:blip r:embed="rId5"/>
        <a:stretch/>
      </xdr:blipFill>
      <xdr:spPr>
        <a:xfrm>
          <a:off x="5605920" y="168575400"/>
          <a:ext cx="1170720" cy="1163880"/>
        </a:xfrm>
        <a:prstGeom prst="rect">
          <a:avLst/>
        </a:prstGeom>
        <a:noFill/>
        <a:ln w="9525">
          <a:noFill/>
        </a:ln>
      </xdr:spPr>
    </xdr:pic>
    <xdr:clientData/>
  </xdr:twoCellAnchor>
  <xdr:twoCellAnchor editAs="oneCell">
    <xdr:from>
      <xdr:col>1</xdr:col>
      <xdr:colOff>38160</xdr:colOff>
      <xdr:row>133</xdr:row>
      <xdr:rowOff>115200</xdr:rowOff>
    </xdr:from>
    <xdr:to>
      <xdr:col>1</xdr:col>
      <xdr:colOff>1208880</xdr:colOff>
      <xdr:row>134</xdr:row>
      <xdr:rowOff>582480</xdr:rowOff>
    </xdr:to>
    <xdr:pic>
      <xdr:nvPicPr>
        <xdr:cNvPr id="558" name="图片 8" descr="C:/Users/Ray/AppData/Local/Temp/picturecompress_20211118150939/output_50.jpgoutput_50"/>
        <xdr:cNvPicPr/>
      </xdr:nvPicPr>
      <xdr:blipFill>
        <a:blip r:embed="rId6"/>
        <a:stretch/>
      </xdr:blipFill>
      <xdr:spPr>
        <a:xfrm>
          <a:off x="4039920" y="155556720"/>
          <a:ext cx="1170720" cy="1166040"/>
        </a:xfrm>
        <a:prstGeom prst="rect">
          <a:avLst/>
        </a:prstGeom>
        <a:noFill/>
        <a:ln w="9525">
          <a:noFill/>
        </a:ln>
      </xdr:spPr>
    </xdr:pic>
    <xdr:clientData/>
  </xdr:twoCellAnchor>
  <xdr:twoCellAnchor editAs="oneCell">
    <xdr:from>
      <xdr:col>1</xdr:col>
      <xdr:colOff>38160</xdr:colOff>
      <xdr:row>136</xdr:row>
      <xdr:rowOff>142920</xdr:rowOff>
    </xdr:from>
    <xdr:to>
      <xdr:col>1</xdr:col>
      <xdr:colOff>1208880</xdr:colOff>
      <xdr:row>136</xdr:row>
      <xdr:rowOff>1316880</xdr:rowOff>
    </xdr:to>
    <xdr:pic>
      <xdr:nvPicPr>
        <xdr:cNvPr id="559" name="图片 33" descr="C:/Users/Ray/AppData/Local/Temp/picturecompress_20211118150939/output_63.jpgoutput_63"/>
        <xdr:cNvPicPr/>
      </xdr:nvPicPr>
      <xdr:blipFill>
        <a:blip r:embed="rId7"/>
        <a:stretch/>
      </xdr:blipFill>
      <xdr:spPr>
        <a:xfrm>
          <a:off x="4039920" y="158442120"/>
          <a:ext cx="1170720" cy="1173960"/>
        </a:xfrm>
        <a:prstGeom prst="rect">
          <a:avLst/>
        </a:prstGeom>
        <a:noFill/>
        <a:ln w="9525">
          <a:noFill/>
        </a:ln>
      </xdr:spPr>
    </xdr:pic>
    <xdr:clientData/>
  </xdr:twoCellAnchor>
  <xdr:twoCellAnchor editAs="oneCell">
    <xdr:from>
      <xdr:col>1</xdr:col>
      <xdr:colOff>38160</xdr:colOff>
      <xdr:row>137</xdr:row>
      <xdr:rowOff>142920</xdr:rowOff>
    </xdr:from>
    <xdr:to>
      <xdr:col>1</xdr:col>
      <xdr:colOff>1208880</xdr:colOff>
      <xdr:row>137</xdr:row>
      <xdr:rowOff>1316880</xdr:rowOff>
    </xdr:to>
    <xdr:pic>
      <xdr:nvPicPr>
        <xdr:cNvPr id="560" name="图片 34" descr="C:/Users/Ray/AppData/Local/Temp/picturecompress_20211118150939/output_64.jpgoutput_64"/>
        <xdr:cNvPicPr/>
      </xdr:nvPicPr>
      <xdr:blipFill>
        <a:blip r:embed="rId8"/>
        <a:stretch/>
      </xdr:blipFill>
      <xdr:spPr>
        <a:xfrm>
          <a:off x="4039920" y="159902640"/>
          <a:ext cx="1170720" cy="1173960"/>
        </a:xfrm>
        <a:prstGeom prst="rect">
          <a:avLst/>
        </a:prstGeom>
        <a:noFill/>
        <a:ln w="9525">
          <a:noFill/>
        </a:ln>
      </xdr:spPr>
    </xdr:pic>
    <xdr:clientData/>
  </xdr:twoCellAnchor>
  <xdr:twoCellAnchor editAs="oneCell">
    <xdr:from>
      <xdr:col>1</xdr:col>
      <xdr:colOff>38160</xdr:colOff>
      <xdr:row>138</xdr:row>
      <xdr:rowOff>142920</xdr:rowOff>
    </xdr:from>
    <xdr:to>
      <xdr:col>1</xdr:col>
      <xdr:colOff>1208880</xdr:colOff>
      <xdr:row>138</xdr:row>
      <xdr:rowOff>1316880</xdr:rowOff>
    </xdr:to>
    <xdr:pic>
      <xdr:nvPicPr>
        <xdr:cNvPr id="561" name="图片 35" descr="C:/Users/Ray/AppData/Local/Temp/picturecompress_20211118150939/output_65.jpgoutput_65"/>
        <xdr:cNvPicPr/>
      </xdr:nvPicPr>
      <xdr:blipFill>
        <a:blip r:embed="rId9"/>
        <a:stretch/>
      </xdr:blipFill>
      <xdr:spPr>
        <a:xfrm>
          <a:off x="4039920" y="161363160"/>
          <a:ext cx="1170720" cy="1173960"/>
        </a:xfrm>
        <a:prstGeom prst="rect">
          <a:avLst/>
        </a:prstGeom>
        <a:noFill/>
        <a:ln w="9525">
          <a:noFill/>
        </a:ln>
      </xdr:spPr>
    </xdr:pic>
    <xdr:clientData/>
  </xdr:twoCellAnchor>
  <xdr:twoCellAnchor editAs="oneCell">
    <xdr:from>
      <xdr:col>1</xdr:col>
      <xdr:colOff>38160</xdr:colOff>
      <xdr:row>142</xdr:row>
      <xdr:rowOff>112320</xdr:rowOff>
    </xdr:from>
    <xdr:to>
      <xdr:col>1</xdr:col>
      <xdr:colOff>1208880</xdr:colOff>
      <xdr:row>143</xdr:row>
      <xdr:rowOff>585360</xdr:rowOff>
    </xdr:to>
    <xdr:pic>
      <xdr:nvPicPr>
        <xdr:cNvPr id="562" name="图片 9" descr="C:/Users/Ray/AppData/Local/Temp/picturecompress_20211118150939/output_95.jpgoutput_95"/>
        <xdr:cNvPicPr/>
      </xdr:nvPicPr>
      <xdr:blipFill>
        <a:blip r:embed="rId10"/>
        <a:stretch/>
      </xdr:blipFill>
      <xdr:spPr>
        <a:xfrm>
          <a:off x="4039920" y="167174640"/>
          <a:ext cx="1170720" cy="1171440"/>
        </a:xfrm>
        <a:prstGeom prst="rect">
          <a:avLst/>
        </a:prstGeom>
        <a:noFill/>
        <a:ln w="9525">
          <a:noFill/>
        </a:ln>
      </xdr:spPr>
    </xdr:pic>
    <xdr:clientData/>
  </xdr:twoCellAnchor>
  <xdr:twoCellAnchor editAs="oneCell">
    <xdr:from>
      <xdr:col>1</xdr:col>
      <xdr:colOff>38160</xdr:colOff>
      <xdr:row>144</xdr:row>
      <xdr:rowOff>112680</xdr:rowOff>
    </xdr:from>
    <xdr:to>
      <xdr:col>1</xdr:col>
      <xdr:colOff>1208880</xdr:colOff>
      <xdr:row>145</xdr:row>
      <xdr:rowOff>585000</xdr:rowOff>
    </xdr:to>
    <xdr:pic>
      <xdr:nvPicPr>
        <xdr:cNvPr id="563" name="图片 10" descr="C:/Users/Ray/AppData/Local/Temp/picturecompress_20211118150939/output_96.jpgoutput_96"/>
        <xdr:cNvPicPr/>
      </xdr:nvPicPr>
      <xdr:blipFill>
        <a:blip r:embed="rId11"/>
        <a:stretch/>
      </xdr:blipFill>
      <xdr:spPr>
        <a:xfrm>
          <a:off x="4039920" y="168571800"/>
          <a:ext cx="1170720" cy="1170720"/>
        </a:xfrm>
        <a:prstGeom prst="rect">
          <a:avLst/>
        </a:prstGeom>
        <a:noFill/>
        <a:ln w="9525">
          <a:noFill/>
        </a:ln>
      </xdr:spPr>
    </xdr:pic>
    <xdr:clientData/>
  </xdr:twoCellAnchor>
  <xdr:twoCellAnchor editAs="oneCell">
    <xdr:from>
      <xdr:col>2</xdr:col>
      <xdr:colOff>38160</xdr:colOff>
      <xdr:row>146</xdr:row>
      <xdr:rowOff>116640</xdr:rowOff>
    </xdr:from>
    <xdr:to>
      <xdr:col>2</xdr:col>
      <xdr:colOff>1208880</xdr:colOff>
      <xdr:row>147</xdr:row>
      <xdr:rowOff>581040</xdr:rowOff>
    </xdr:to>
    <xdr:pic>
      <xdr:nvPicPr>
        <xdr:cNvPr id="564" name="图片 17" descr="C:/Users/Ray/AppData/Local/Temp/picturecompress_20211118150939/output_99.jpgoutput_99"/>
        <xdr:cNvPicPr/>
      </xdr:nvPicPr>
      <xdr:blipFill>
        <a:blip r:embed="rId12"/>
        <a:stretch/>
      </xdr:blipFill>
      <xdr:spPr>
        <a:xfrm>
          <a:off x="5605920" y="169972920"/>
          <a:ext cx="1170720" cy="1162800"/>
        </a:xfrm>
        <a:prstGeom prst="rect">
          <a:avLst/>
        </a:prstGeom>
        <a:noFill/>
        <a:ln w="9525">
          <a:noFill/>
        </a:ln>
      </xdr:spPr>
    </xdr:pic>
    <xdr:clientData/>
  </xdr:twoCellAnchor>
  <xdr:twoCellAnchor editAs="oneCell">
    <xdr:from>
      <xdr:col>2</xdr:col>
      <xdr:colOff>38160</xdr:colOff>
      <xdr:row>148</xdr:row>
      <xdr:rowOff>115200</xdr:rowOff>
    </xdr:from>
    <xdr:to>
      <xdr:col>2</xdr:col>
      <xdr:colOff>1208880</xdr:colOff>
      <xdr:row>149</xdr:row>
      <xdr:rowOff>582480</xdr:rowOff>
    </xdr:to>
    <xdr:pic>
      <xdr:nvPicPr>
        <xdr:cNvPr id="565" name="图片 19" descr="C:/Users/Ray/AppData/Local/Temp/picturecompress_20211118150939/output_100.jpgoutput_100"/>
        <xdr:cNvPicPr/>
      </xdr:nvPicPr>
      <xdr:blipFill>
        <a:blip r:embed="rId13"/>
        <a:stretch/>
      </xdr:blipFill>
      <xdr:spPr>
        <a:xfrm>
          <a:off x="5605920" y="171368280"/>
          <a:ext cx="1170720" cy="1165680"/>
        </a:xfrm>
        <a:prstGeom prst="rect">
          <a:avLst/>
        </a:prstGeom>
        <a:noFill/>
        <a:ln w="9525">
          <a:noFill/>
        </a:ln>
      </xdr:spPr>
    </xdr:pic>
    <xdr:clientData/>
  </xdr:twoCellAnchor>
  <xdr:twoCellAnchor editAs="oneCell">
    <xdr:from>
      <xdr:col>1</xdr:col>
      <xdr:colOff>38160</xdr:colOff>
      <xdr:row>146</xdr:row>
      <xdr:rowOff>112680</xdr:rowOff>
    </xdr:from>
    <xdr:to>
      <xdr:col>1</xdr:col>
      <xdr:colOff>1208880</xdr:colOff>
      <xdr:row>147</xdr:row>
      <xdr:rowOff>585000</xdr:rowOff>
    </xdr:to>
    <xdr:pic>
      <xdr:nvPicPr>
        <xdr:cNvPr id="566" name="图片 19" descr="C:/Users/Ray/AppData/Local/Temp/picturecompress_20211118150939/output_101.jpgoutput_101"/>
        <xdr:cNvPicPr/>
      </xdr:nvPicPr>
      <xdr:blipFill>
        <a:blip r:embed="rId14"/>
        <a:stretch/>
      </xdr:blipFill>
      <xdr:spPr>
        <a:xfrm>
          <a:off x="4039920" y="169968960"/>
          <a:ext cx="1170720" cy="1170720"/>
        </a:xfrm>
        <a:prstGeom prst="rect">
          <a:avLst/>
        </a:prstGeom>
        <a:noFill/>
        <a:ln w="9525">
          <a:noFill/>
        </a:ln>
      </xdr:spPr>
    </xdr:pic>
    <xdr:clientData/>
  </xdr:twoCellAnchor>
  <xdr:twoCellAnchor editAs="oneCell">
    <xdr:from>
      <xdr:col>1</xdr:col>
      <xdr:colOff>38160</xdr:colOff>
      <xdr:row>148</xdr:row>
      <xdr:rowOff>112680</xdr:rowOff>
    </xdr:from>
    <xdr:to>
      <xdr:col>1</xdr:col>
      <xdr:colOff>1208880</xdr:colOff>
      <xdr:row>149</xdr:row>
      <xdr:rowOff>585000</xdr:rowOff>
    </xdr:to>
    <xdr:pic>
      <xdr:nvPicPr>
        <xdr:cNvPr id="567" name="图片 20" descr="C:/Users/Ray/AppData/Local/Temp/picturecompress_20211118150939/output_102.jpgoutput_102"/>
        <xdr:cNvPicPr/>
      </xdr:nvPicPr>
      <xdr:blipFill>
        <a:blip r:embed="rId15"/>
        <a:stretch/>
      </xdr:blipFill>
      <xdr:spPr>
        <a:xfrm>
          <a:off x="4039920" y="171365760"/>
          <a:ext cx="1170720" cy="1170720"/>
        </a:xfrm>
        <a:prstGeom prst="rect">
          <a:avLst/>
        </a:prstGeom>
        <a:noFill/>
        <a:ln w="9525">
          <a:noFill/>
        </a:ln>
      </xdr:spPr>
    </xdr:pic>
    <xdr:clientData/>
  </xdr:twoCellAnchor>
  <xdr:twoCellAnchor editAs="oneCell">
    <xdr:from>
      <xdr:col>1</xdr:col>
      <xdr:colOff>38160</xdr:colOff>
      <xdr:row>135</xdr:row>
      <xdr:rowOff>146880</xdr:rowOff>
    </xdr:from>
    <xdr:to>
      <xdr:col>1</xdr:col>
      <xdr:colOff>1208880</xdr:colOff>
      <xdr:row>135</xdr:row>
      <xdr:rowOff>1312920</xdr:rowOff>
    </xdr:to>
    <xdr:pic>
      <xdr:nvPicPr>
        <xdr:cNvPr id="568" name="图片 166" descr="C:/Users/Ray/AppData/Local/Temp/picturecompress_20211118150939/output_202.pngoutput_202"/>
        <xdr:cNvPicPr/>
      </xdr:nvPicPr>
      <xdr:blipFill>
        <a:blip r:embed="rId16"/>
        <a:stretch/>
      </xdr:blipFill>
      <xdr:spPr>
        <a:xfrm>
          <a:off x="4039920" y="156985560"/>
          <a:ext cx="1170720" cy="1166040"/>
        </a:xfrm>
        <a:prstGeom prst="rect">
          <a:avLst/>
        </a:prstGeom>
        <a:noFill/>
        <a:ln w="9525">
          <a:noFill/>
        </a:ln>
      </xdr:spPr>
    </xdr:pic>
    <xdr:clientData/>
  </xdr:twoCellAnchor>
  <xdr:twoCellAnchor editAs="oneCell">
    <xdr:from>
      <xdr:col>2</xdr:col>
      <xdr:colOff>38160</xdr:colOff>
      <xdr:row>128</xdr:row>
      <xdr:rowOff>174960</xdr:rowOff>
    </xdr:from>
    <xdr:to>
      <xdr:col>2</xdr:col>
      <xdr:colOff>1208880</xdr:colOff>
      <xdr:row>129</xdr:row>
      <xdr:rowOff>586440</xdr:rowOff>
    </xdr:to>
    <xdr:pic>
      <xdr:nvPicPr>
        <xdr:cNvPr id="569" name="图片 297" descr="9"/>
        <xdr:cNvPicPr/>
      </xdr:nvPicPr>
      <xdr:blipFill>
        <a:blip r:embed="rId17"/>
        <a:stretch/>
      </xdr:blipFill>
      <xdr:spPr>
        <a:xfrm>
          <a:off x="5605920" y="151108200"/>
          <a:ext cx="1170720" cy="1173240"/>
        </a:xfrm>
        <a:prstGeom prst="rect">
          <a:avLst/>
        </a:prstGeom>
        <a:noFill/>
        <a:ln w="9525">
          <a:noFill/>
        </a:ln>
      </xdr:spPr>
    </xdr:pic>
    <xdr:clientData/>
  </xdr:twoCellAnchor>
  <xdr:twoCellAnchor editAs="oneCell">
    <xdr:from>
      <xdr:col>1</xdr:col>
      <xdr:colOff>38160</xdr:colOff>
      <xdr:row>128</xdr:row>
      <xdr:rowOff>174960</xdr:rowOff>
    </xdr:from>
    <xdr:to>
      <xdr:col>1</xdr:col>
      <xdr:colOff>1208880</xdr:colOff>
      <xdr:row>129</xdr:row>
      <xdr:rowOff>586440</xdr:rowOff>
    </xdr:to>
    <xdr:pic>
      <xdr:nvPicPr>
        <xdr:cNvPr id="570" name="图片 298" descr="1665130967187"/>
        <xdr:cNvPicPr/>
      </xdr:nvPicPr>
      <xdr:blipFill>
        <a:blip r:embed="rId18"/>
        <a:stretch/>
      </xdr:blipFill>
      <xdr:spPr>
        <a:xfrm>
          <a:off x="4039920" y="151108200"/>
          <a:ext cx="1170720" cy="1173240"/>
        </a:xfrm>
        <a:prstGeom prst="rect">
          <a:avLst/>
        </a:prstGeom>
        <a:noFill/>
        <a:ln w="9525">
          <a:noFill/>
        </a:ln>
      </xdr:spPr>
    </xdr:pic>
    <xdr:clientData/>
  </xdr:twoCellAnchor>
  <xdr:twoCellAnchor editAs="oneCell">
    <xdr:from>
      <xdr:col>1</xdr:col>
      <xdr:colOff>38160</xdr:colOff>
      <xdr:row>130</xdr:row>
      <xdr:rowOff>176400</xdr:rowOff>
    </xdr:from>
    <xdr:to>
      <xdr:col>1</xdr:col>
      <xdr:colOff>1208880</xdr:colOff>
      <xdr:row>131</xdr:row>
      <xdr:rowOff>584640</xdr:rowOff>
    </xdr:to>
    <xdr:pic>
      <xdr:nvPicPr>
        <xdr:cNvPr id="571" name="图片 301" descr="1665131085861"/>
        <xdr:cNvPicPr/>
      </xdr:nvPicPr>
      <xdr:blipFill>
        <a:blip r:embed="rId19"/>
        <a:stretch/>
      </xdr:blipFill>
      <xdr:spPr>
        <a:xfrm>
          <a:off x="4039920" y="152633520"/>
          <a:ext cx="1170720" cy="1170360"/>
        </a:xfrm>
        <a:prstGeom prst="rect">
          <a:avLst/>
        </a:prstGeom>
        <a:noFill/>
        <a:ln w="9525">
          <a:noFill/>
        </a:ln>
      </xdr:spPr>
    </xdr:pic>
    <xdr:clientData/>
  </xdr:twoCellAnchor>
  <xdr:twoCellAnchor editAs="oneCell">
    <xdr:from>
      <xdr:col>2</xdr:col>
      <xdr:colOff>38160</xdr:colOff>
      <xdr:row>130</xdr:row>
      <xdr:rowOff>174960</xdr:rowOff>
    </xdr:from>
    <xdr:to>
      <xdr:col>2</xdr:col>
      <xdr:colOff>1208880</xdr:colOff>
      <xdr:row>131</xdr:row>
      <xdr:rowOff>586080</xdr:rowOff>
    </xdr:to>
    <xdr:pic>
      <xdr:nvPicPr>
        <xdr:cNvPr id="572" name="图片 302" descr="9"/>
        <xdr:cNvPicPr/>
      </xdr:nvPicPr>
      <xdr:blipFill>
        <a:blip r:embed="rId20"/>
        <a:stretch/>
      </xdr:blipFill>
      <xdr:spPr>
        <a:xfrm>
          <a:off x="5605920" y="152632080"/>
          <a:ext cx="1170720" cy="1173240"/>
        </a:xfrm>
        <a:prstGeom prst="rect">
          <a:avLst/>
        </a:prstGeom>
        <a:noFill/>
        <a:ln w="9525">
          <a:noFill/>
        </a:ln>
      </xdr:spPr>
    </xdr:pic>
    <xdr:clientData/>
  </xdr:twoCellAnchor>
  <xdr:twoCellAnchor editAs="oneCell">
    <xdr:from>
      <xdr:col>1</xdr:col>
      <xdr:colOff>38160</xdr:colOff>
      <xdr:row>19</xdr:row>
      <xdr:rowOff>146160</xdr:rowOff>
    </xdr:from>
    <xdr:to>
      <xdr:col>1</xdr:col>
      <xdr:colOff>1208880</xdr:colOff>
      <xdr:row>19</xdr:row>
      <xdr:rowOff>1313640</xdr:rowOff>
    </xdr:to>
    <xdr:pic>
      <xdr:nvPicPr>
        <xdr:cNvPr id="573" name="图片 322" descr="1665128142748"/>
        <xdr:cNvPicPr/>
      </xdr:nvPicPr>
      <xdr:blipFill>
        <a:blip r:embed="rId21"/>
        <a:stretch/>
      </xdr:blipFill>
      <xdr:spPr>
        <a:xfrm>
          <a:off x="4039920" y="23450760"/>
          <a:ext cx="1170720" cy="1167480"/>
        </a:xfrm>
        <a:prstGeom prst="rect">
          <a:avLst/>
        </a:prstGeom>
        <a:noFill/>
        <a:ln w="9525">
          <a:noFill/>
        </a:ln>
      </xdr:spPr>
    </xdr:pic>
    <xdr:clientData/>
  </xdr:twoCellAnchor>
  <xdr:twoCellAnchor editAs="oneCell">
    <xdr:from>
      <xdr:col>2</xdr:col>
      <xdr:colOff>38160</xdr:colOff>
      <xdr:row>19</xdr:row>
      <xdr:rowOff>145800</xdr:rowOff>
    </xdr:from>
    <xdr:to>
      <xdr:col>2</xdr:col>
      <xdr:colOff>1208880</xdr:colOff>
      <xdr:row>19</xdr:row>
      <xdr:rowOff>1313640</xdr:rowOff>
    </xdr:to>
    <xdr:pic>
      <xdr:nvPicPr>
        <xdr:cNvPr id="574" name="图片 323" descr="1665128152350"/>
        <xdr:cNvPicPr/>
      </xdr:nvPicPr>
      <xdr:blipFill>
        <a:blip r:embed="rId22"/>
        <a:stretch/>
      </xdr:blipFill>
      <xdr:spPr>
        <a:xfrm>
          <a:off x="5605920" y="23450400"/>
          <a:ext cx="1170720" cy="1167840"/>
        </a:xfrm>
        <a:prstGeom prst="rect">
          <a:avLst/>
        </a:prstGeom>
        <a:noFill/>
        <a:ln w="9525">
          <a:noFill/>
        </a:ln>
      </xdr:spPr>
    </xdr:pic>
    <xdr:clientData/>
  </xdr:twoCellAnchor>
  <xdr:twoCellAnchor editAs="oneCell">
    <xdr:from>
      <xdr:col>1</xdr:col>
      <xdr:colOff>38160</xdr:colOff>
      <xdr:row>20</xdr:row>
      <xdr:rowOff>145800</xdr:rowOff>
    </xdr:from>
    <xdr:to>
      <xdr:col>1</xdr:col>
      <xdr:colOff>1208880</xdr:colOff>
      <xdr:row>20</xdr:row>
      <xdr:rowOff>1313640</xdr:rowOff>
    </xdr:to>
    <xdr:pic>
      <xdr:nvPicPr>
        <xdr:cNvPr id="575" name="图片 324" descr="1665128163600"/>
        <xdr:cNvPicPr/>
      </xdr:nvPicPr>
      <xdr:blipFill>
        <a:blip r:embed="rId23"/>
        <a:stretch/>
      </xdr:blipFill>
      <xdr:spPr>
        <a:xfrm>
          <a:off x="4039920" y="24910920"/>
          <a:ext cx="1170720" cy="1167840"/>
        </a:xfrm>
        <a:prstGeom prst="rect">
          <a:avLst/>
        </a:prstGeom>
        <a:noFill/>
        <a:ln w="9525">
          <a:noFill/>
        </a:ln>
      </xdr:spPr>
    </xdr:pic>
    <xdr:clientData/>
  </xdr:twoCellAnchor>
  <xdr:twoCellAnchor editAs="oneCell">
    <xdr:from>
      <xdr:col>2</xdr:col>
      <xdr:colOff>38160</xdr:colOff>
      <xdr:row>20</xdr:row>
      <xdr:rowOff>146160</xdr:rowOff>
    </xdr:from>
    <xdr:to>
      <xdr:col>2</xdr:col>
      <xdr:colOff>1208880</xdr:colOff>
      <xdr:row>20</xdr:row>
      <xdr:rowOff>1313640</xdr:rowOff>
    </xdr:to>
    <xdr:pic>
      <xdr:nvPicPr>
        <xdr:cNvPr id="576" name="图片 325" descr="1665128170832"/>
        <xdr:cNvPicPr/>
      </xdr:nvPicPr>
      <xdr:blipFill>
        <a:blip r:embed="rId24"/>
        <a:stretch/>
      </xdr:blipFill>
      <xdr:spPr>
        <a:xfrm>
          <a:off x="5605920" y="24911280"/>
          <a:ext cx="1170720" cy="1167480"/>
        </a:xfrm>
        <a:prstGeom prst="rect">
          <a:avLst/>
        </a:prstGeom>
        <a:noFill/>
        <a:ln w="9525">
          <a:noFill/>
        </a:ln>
      </xdr:spPr>
    </xdr:pic>
    <xdr:clientData/>
  </xdr:twoCellAnchor>
  <xdr:twoCellAnchor editAs="oneCell">
    <xdr:from>
      <xdr:col>1</xdr:col>
      <xdr:colOff>38160</xdr:colOff>
      <xdr:row>127</xdr:row>
      <xdr:rowOff>143640</xdr:rowOff>
    </xdr:from>
    <xdr:to>
      <xdr:col>1</xdr:col>
      <xdr:colOff>1208880</xdr:colOff>
      <xdr:row>127</xdr:row>
      <xdr:rowOff>1316160</xdr:rowOff>
    </xdr:to>
    <xdr:pic>
      <xdr:nvPicPr>
        <xdr:cNvPr id="577" name="图片 346" descr="2"/>
        <xdr:cNvPicPr/>
      </xdr:nvPicPr>
      <xdr:blipFill>
        <a:blip r:embed="rId25"/>
        <a:stretch/>
      </xdr:blipFill>
      <xdr:spPr>
        <a:xfrm>
          <a:off x="4039920" y="149616360"/>
          <a:ext cx="1170720" cy="1172520"/>
        </a:xfrm>
        <a:prstGeom prst="rect">
          <a:avLst/>
        </a:prstGeom>
        <a:noFill/>
        <a:ln w="9525">
          <a:noFill/>
        </a:ln>
      </xdr:spPr>
    </xdr:pic>
    <xdr:clientData/>
  </xdr:twoCellAnchor>
  <xdr:twoCellAnchor editAs="oneCell">
    <xdr:from>
      <xdr:col>2</xdr:col>
      <xdr:colOff>38160</xdr:colOff>
      <xdr:row>127</xdr:row>
      <xdr:rowOff>140400</xdr:rowOff>
    </xdr:from>
    <xdr:to>
      <xdr:col>2</xdr:col>
      <xdr:colOff>1208880</xdr:colOff>
      <xdr:row>127</xdr:row>
      <xdr:rowOff>1319400</xdr:rowOff>
    </xdr:to>
    <xdr:pic>
      <xdr:nvPicPr>
        <xdr:cNvPr id="578" name="图片 347" descr="9"/>
        <xdr:cNvPicPr/>
      </xdr:nvPicPr>
      <xdr:blipFill>
        <a:blip r:embed="rId26"/>
        <a:stretch/>
      </xdr:blipFill>
      <xdr:spPr>
        <a:xfrm>
          <a:off x="5605920" y="149613120"/>
          <a:ext cx="1170720" cy="1179000"/>
        </a:xfrm>
        <a:prstGeom prst="rect">
          <a:avLst/>
        </a:prstGeom>
        <a:noFill/>
        <a:ln w="9525">
          <a:noFill/>
        </a:ln>
      </xdr:spPr>
    </xdr:pic>
    <xdr:clientData/>
  </xdr:twoCellAnchor>
  <xdr:twoCellAnchor editAs="oneCell">
    <xdr:from>
      <xdr:col>2</xdr:col>
      <xdr:colOff>38160</xdr:colOff>
      <xdr:row>135</xdr:row>
      <xdr:rowOff>140760</xdr:rowOff>
    </xdr:from>
    <xdr:to>
      <xdr:col>2</xdr:col>
      <xdr:colOff>1208880</xdr:colOff>
      <xdr:row>135</xdr:row>
      <xdr:rowOff>1319040</xdr:rowOff>
    </xdr:to>
    <xdr:pic>
      <xdr:nvPicPr>
        <xdr:cNvPr id="579" name="图片 363" descr="8d7346c0f90ef93dde6db6468b1ffbb"/>
        <xdr:cNvPicPr/>
      </xdr:nvPicPr>
      <xdr:blipFill>
        <a:blip r:embed="rId27"/>
        <a:stretch/>
      </xdr:blipFill>
      <xdr:spPr>
        <a:xfrm>
          <a:off x="5605920" y="156979440"/>
          <a:ext cx="1170720" cy="1178280"/>
        </a:xfrm>
        <a:prstGeom prst="rect">
          <a:avLst/>
        </a:prstGeom>
        <a:noFill/>
        <a:ln w="9525">
          <a:noFill/>
        </a:ln>
      </xdr:spPr>
    </xdr:pic>
    <xdr:clientData/>
  </xdr:twoCellAnchor>
  <xdr:twoCellAnchor editAs="oneCell">
    <xdr:from>
      <xdr:col>2</xdr:col>
      <xdr:colOff>38160</xdr:colOff>
      <xdr:row>133</xdr:row>
      <xdr:rowOff>109440</xdr:rowOff>
    </xdr:from>
    <xdr:to>
      <xdr:col>2</xdr:col>
      <xdr:colOff>1208880</xdr:colOff>
      <xdr:row>134</xdr:row>
      <xdr:rowOff>587880</xdr:rowOff>
    </xdr:to>
    <xdr:pic>
      <xdr:nvPicPr>
        <xdr:cNvPr id="580" name="图片 371" descr="c7e13f5c63c598d47b1137ed59ad83a"/>
        <xdr:cNvPicPr/>
      </xdr:nvPicPr>
      <xdr:blipFill>
        <a:blip r:embed="rId28"/>
        <a:stretch/>
      </xdr:blipFill>
      <xdr:spPr>
        <a:xfrm>
          <a:off x="5605920" y="155550960"/>
          <a:ext cx="1170720" cy="1177200"/>
        </a:xfrm>
        <a:prstGeom prst="rect">
          <a:avLst/>
        </a:prstGeom>
        <a:noFill/>
        <a:ln w="9525">
          <a:noFill/>
        </a:ln>
      </xdr:spPr>
    </xdr:pic>
    <xdr:clientData/>
  </xdr:twoCellAnchor>
  <xdr:twoCellAnchor editAs="oneCell">
    <xdr:from>
      <xdr:col>1</xdr:col>
      <xdr:colOff>38160</xdr:colOff>
      <xdr:row>124</xdr:row>
      <xdr:rowOff>138240</xdr:rowOff>
    </xdr:from>
    <xdr:to>
      <xdr:col>1</xdr:col>
      <xdr:colOff>1208880</xdr:colOff>
      <xdr:row>124</xdr:row>
      <xdr:rowOff>1321560</xdr:rowOff>
    </xdr:to>
    <xdr:pic>
      <xdr:nvPicPr>
        <xdr:cNvPr id="581" name="图片 580" descr="1(7)"/>
        <xdr:cNvPicPr/>
      </xdr:nvPicPr>
      <xdr:blipFill>
        <a:blip r:embed="rId29"/>
        <a:stretch/>
      </xdr:blipFill>
      <xdr:spPr>
        <a:xfrm>
          <a:off x="4039920" y="145229400"/>
          <a:ext cx="1170720" cy="1183320"/>
        </a:xfrm>
        <a:prstGeom prst="rect">
          <a:avLst/>
        </a:prstGeom>
        <a:noFill/>
        <a:ln w="9525">
          <a:noFill/>
        </a:ln>
      </xdr:spPr>
    </xdr:pic>
    <xdr:clientData/>
  </xdr:twoCellAnchor>
  <xdr:twoCellAnchor editAs="oneCell">
    <xdr:from>
      <xdr:col>1</xdr:col>
      <xdr:colOff>38160</xdr:colOff>
      <xdr:row>125</xdr:row>
      <xdr:rowOff>140760</xdr:rowOff>
    </xdr:from>
    <xdr:to>
      <xdr:col>1</xdr:col>
      <xdr:colOff>1208880</xdr:colOff>
      <xdr:row>125</xdr:row>
      <xdr:rowOff>1319040</xdr:rowOff>
    </xdr:to>
    <xdr:pic>
      <xdr:nvPicPr>
        <xdr:cNvPr id="582" name="图片 581" descr="1(8)"/>
        <xdr:cNvPicPr/>
      </xdr:nvPicPr>
      <xdr:blipFill>
        <a:blip r:embed="rId30"/>
        <a:stretch/>
      </xdr:blipFill>
      <xdr:spPr>
        <a:xfrm>
          <a:off x="4039920" y="146692440"/>
          <a:ext cx="1170720" cy="1178280"/>
        </a:xfrm>
        <a:prstGeom prst="rect">
          <a:avLst/>
        </a:prstGeom>
        <a:noFill/>
        <a:ln w="9525">
          <a:noFill/>
        </a:ln>
      </xdr:spPr>
    </xdr:pic>
    <xdr:clientData/>
  </xdr:twoCellAnchor>
  <xdr:twoCellAnchor editAs="oneCell">
    <xdr:from>
      <xdr:col>1</xdr:col>
      <xdr:colOff>38160</xdr:colOff>
      <xdr:row>126</xdr:row>
      <xdr:rowOff>140760</xdr:rowOff>
    </xdr:from>
    <xdr:to>
      <xdr:col>1</xdr:col>
      <xdr:colOff>1208880</xdr:colOff>
      <xdr:row>126</xdr:row>
      <xdr:rowOff>1319040</xdr:rowOff>
    </xdr:to>
    <xdr:pic>
      <xdr:nvPicPr>
        <xdr:cNvPr id="583" name="图片 582" descr="1(9)"/>
        <xdr:cNvPicPr/>
      </xdr:nvPicPr>
      <xdr:blipFill>
        <a:blip r:embed="rId31"/>
        <a:stretch/>
      </xdr:blipFill>
      <xdr:spPr>
        <a:xfrm>
          <a:off x="4039920" y="148152960"/>
          <a:ext cx="1170720" cy="1178280"/>
        </a:xfrm>
        <a:prstGeom prst="rect">
          <a:avLst/>
        </a:prstGeom>
        <a:noFill/>
        <a:ln w="9525">
          <a:noFill/>
        </a:ln>
      </xdr:spPr>
    </xdr:pic>
    <xdr:clientData/>
  </xdr:twoCellAnchor>
  <xdr:twoCellAnchor editAs="oneCell">
    <xdr:from>
      <xdr:col>2</xdr:col>
      <xdr:colOff>38160</xdr:colOff>
      <xdr:row>124</xdr:row>
      <xdr:rowOff>144000</xdr:rowOff>
    </xdr:from>
    <xdr:to>
      <xdr:col>2</xdr:col>
      <xdr:colOff>1208880</xdr:colOff>
      <xdr:row>124</xdr:row>
      <xdr:rowOff>1315440</xdr:rowOff>
    </xdr:to>
    <xdr:pic>
      <xdr:nvPicPr>
        <xdr:cNvPr id="584" name="图片 583" descr="9(7)"/>
        <xdr:cNvPicPr/>
      </xdr:nvPicPr>
      <xdr:blipFill>
        <a:blip r:embed="rId32"/>
        <a:stretch/>
      </xdr:blipFill>
      <xdr:spPr>
        <a:xfrm>
          <a:off x="5605920" y="145235160"/>
          <a:ext cx="1170720" cy="1171440"/>
        </a:xfrm>
        <a:prstGeom prst="rect">
          <a:avLst/>
        </a:prstGeom>
        <a:noFill/>
        <a:ln w="9525">
          <a:noFill/>
        </a:ln>
      </xdr:spPr>
    </xdr:pic>
    <xdr:clientData/>
  </xdr:twoCellAnchor>
  <xdr:twoCellAnchor editAs="oneCell">
    <xdr:from>
      <xdr:col>2</xdr:col>
      <xdr:colOff>38160</xdr:colOff>
      <xdr:row>125</xdr:row>
      <xdr:rowOff>143640</xdr:rowOff>
    </xdr:from>
    <xdr:to>
      <xdr:col>2</xdr:col>
      <xdr:colOff>1208880</xdr:colOff>
      <xdr:row>125</xdr:row>
      <xdr:rowOff>1316160</xdr:rowOff>
    </xdr:to>
    <xdr:pic>
      <xdr:nvPicPr>
        <xdr:cNvPr id="585" name="图片 584" descr="9(8)"/>
        <xdr:cNvPicPr/>
      </xdr:nvPicPr>
      <xdr:blipFill>
        <a:blip r:embed="rId33"/>
        <a:stretch/>
      </xdr:blipFill>
      <xdr:spPr>
        <a:xfrm>
          <a:off x="5605920" y="146695320"/>
          <a:ext cx="1170720" cy="1172520"/>
        </a:xfrm>
        <a:prstGeom prst="rect">
          <a:avLst/>
        </a:prstGeom>
        <a:noFill/>
        <a:ln w="9525">
          <a:noFill/>
        </a:ln>
      </xdr:spPr>
    </xdr:pic>
    <xdr:clientData/>
  </xdr:twoCellAnchor>
  <xdr:twoCellAnchor editAs="oneCell">
    <xdr:from>
      <xdr:col>2</xdr:col>
      <xdr:colOff>38160</xdr:colOff>
      <xdr:row>126</xdr:row>
      <xdr:rowOff>144000</xdr:rowOff>
    </xdr:from>
    <xdr:to>
      <xdr:col>2</xdr:col>
      <xdr:colOff>1208880</xdr:colOff>
      <xdr:row>126</xdr:row>
      <xdr:rowOff>1315440</xdr:rowOff>
    </xdr:to>
    <xdr:pic>
      <xdr:nvPicPr>
        <xdr:cNvPr id="586" name="图片 585" descr="9(9)"/>
        <xdr:cNvPicPr/>
      </xdr:nvPicPr>
      <xdr:blipFill>
        <a:blip r:embed="rId34"/>
        <a:stretch/>
      </xdr:blipFill>
      <xdr:spPr>
        <a:xfrm>
          <a:off x="5605920" y="148156200"/>
          <a:ext cx="1170720" cy="1171440"/>
        </a:xfrm>
        <a:prstGeom prst="rect">
          <a:avLst/>
        </a:prstGeom>
        <a:noFill/>
        <a:ln w="9525">
          <a:noFill/>
        </a:ln>
      </xdr:spPr>
    </xdr:pic>
    <xdr:clientData/>
  </xdr:twoCellAnchor>
  <xdr:twoCellAnchor editAs="oneCell">
    <xdr:from>
      <xdr:col>1</xdr:col>
      <xdr:colOff>38160</xdr:colOff>
      <xdr:row>141</xdr:row>
      <xdr:rowOff>141120</xdr:rowOff>
    </xdr:from>
    <xdr:to>
      <xdr:col>1</xdr:col>
      <xdr:colOff>1208880</xdr:colOff>
      <xdr:row>141</xdr:row>
      <xdr:rowOff>1319040</xdr:rowOff>
    </xdr:to>
    <xdr:pic>
      <xdr:nvPicPr>
        <xdr:cNvPr id="587" name="图片 6" descr="1(3)"/>
        <xdr:cNvPicPr/>
      </xdr:nvPicPr>
      <xdr:blipFill>
        <a:blip r:embed="rId35"/>
        <a:stretch/>
      </xdr:blipFill>
      <xdr:spPr>
        <a:xfrm>
          <a:off x="4039920" y="165742920"/>
          <a:ext cx="1170720" cy="1177920"/>
        </a:xfrm>
        <a:prstGeom prst="rect">
          <a:avLst/>
        </a:prstGeom>
        <a:noFill/>
        <a:ln w="9525">
          <a:noFill/>
        </a:ln>
      </xdr:spPr>
    </xdr:pic>
    <xdr:clientData/>
  </xdr:twoCellAnchor>
  <xdr:twoCellAnchor editAs="oneCell">
    <xdr:from>
      <xdr:col>1</xdr:col>
      <xdr:colOff>38160</xdr:colOff>
      <xdr:row>140</xdr:row>
      <xdr:rowOff>144000</xdr:rowOff>
    </xdr:from>
    <xdr:to>
      <xdr:col>1</xdr:col>
      <xdr:colOff>1208880</xdr:colOff>
      <xdr:row>140</xdr:row>
      <xdr:rowOff>1315440</xdr:rowOff>
    </xdr:to>
    <xdr:pic>
      <xdr:nvPicPr>
        <xdr:cNvPr id="588" name="图片 7" descr="1(4)"/>
        <xdr:cNvPicPr/>
      </xdr:nvPicPr>
      <xdr:blipFill>
        <a:blip r:embed="rId36"/>
        <a:stretch/>
      </xdr:blipFill>
      <xdr:spPr>
        <a:xfrm>
          <a:off x="4039920" y="164285280"/>
          <a:ext cx="1170720" cy="1171440"/>
        </a:xfrm>
        <a:prstGeom prst="rect">
          <a:avLst/>
        </a:prstGeom>
        <a:noFill/>
        <a:ln w="9525">
          <a:noFill/>
        </a:ln>
      </xdr:spPr>
    </xdr:pic>
    <xdr:clientData/>
  </xdr:twoCellAnchor>
  <xdr:twoCellAnchor editAs="oneCell">
    <xdr:from>
      <xdr:col>1</xdr:col>
      <xdr:colOff>38160</xdr:colOff>
      <xdr:row>139</xdr:row>
      <xdr:rowOff>143280</xdr:rowOff>
    </xdr:from>
    <xdr:to>
      <xdr:col>1</xdr:col>
      <xdr:colOff>1208880</xdr:colOff>
      <xdr:row>139</xdr:row>
      <xdr:rowOff>1316520</xdr:rowOff>
    </xdr:to>
    <xdr:pic>
      <xdr:nvPicPr>
        <xdr:cNvPr id="589" name="图片 8" descr="1(2)"/>
        <xdr:cNvPicPr/>
      </xdr:nvPicPr>
      <xdr:blipFill>
        <a:blip r:embed="rId37"/>
        <a:stretch/>
      </xdr:blipFill>
      <xdr:spPr>
        <a:xfrm>
          <a:off x="4039920" y="162824040"/>
          <a:ext cx="1170720" cy="1173240"/>
        </a:xfrm>
        <a:prstGeom prst="rect">
          <a:avLst/>
        </a:prstGeom>
        <a:noFill/>
        <a:ln w="9525">
          <a:noFill/>
        </a:ln>
      </xdr:spPr>
    </xdr:pic>
    <xdr:clientData/>
  </xdr:twoCellAnchor>
  <xdr:twoCellAnchor editAs="oneCell">
    <xdr:from>
      <xdr:col>2</xdr:col>
      <xdr:colOff>38160</xdr:colOff>
      <xdr:row>141</xdr:row>
      <xdr:rowOff>144000</xdr:rowOff>
    </xdr:from>
    <xdr:to>
      <xdr:col>2</xdr:col>
      <xdr:colOff>1208880</xdr:colOff>
      <xdr:row>141</xdr:row>
      <xdr:rowOff>1315440</xdr:rowOff>
    </xdr:to>
    <xdr:pic>
      <xdr:nvPicPr>
        <xdr:cNvPr id="590" name="图片 9" descr="8(1)"/>
        <xdr:cNvPicPr/>
      </xdr:nvPicPr>
      <xdr:blipFill>
        <a:blip r:embed="rId38"/>
        <a:stretch/>
      </xdr:blipFill>
      <xdr:spPr>
        <a:xfrm>
          <a:off x="5605920" y="165745800"/>
          <a:ext cx="1170720" cy="1171440"/>
        </a:xfrm>
        <a:prstGeom prst="rect">
          <a:avLst/>
        </a:prstGeom>
        <a:noFill/>
        <a:ln w="9525">
          <a:noFill/>
        </a:ln>
      </xdr:spPr>
    </xdr:pic>
    <xdr:clientData/>
  </xdr:twoCellAnchor>
  <xdr:twoCellAnchor editAs="oneCell">
    <xdr:from>
      <xdr:col>2</xdr:col>
      <xdr:colOff>38160</xdr:colOff>
      <xdr:row>140</xdr:row>
      <xdr:rowOff>146160</xdr:rowOff>
    </xdr:from>
    <xdr:to>
      <xdr:col>2</xdr:col>
      <xdr:colOff>1208880</xdr:colOff>
      <xdr:row>140</xdr:row>
      <xdr:rowOff>1313640</xdr:rowOff>
    </xdr:to>
    <xdr:pic>
      <xdr:nvPicPr>
        <xdr:cNvPr id="591" name="图片 41" descr="8(2)"/>
        <xdr:cNvPicPr/>
      </xdr:nvPicPr>
      <xdr:blipFill>
        <a:blip r:embed="rId39"/>
        <a:stretch/>
      </xdr:blipFill>
      <xdr:spPr>
        <a:xfrm>
          <a:off x="5605920" y="164287440"/>
          <a:ext cx="1170720" cy="1167480"/>
        </a:xfrm>
        <a:prstGeom prst="rect">
          <a:avLst/>
        </a:prstGeom>
        <a:noFill/>
        <a:ln w="9525">
          <a:noFill/>
        </a:ln>
      </xdr:spPr>
    </xdr:pic>
    <xdr:clientData/>
  </xdr:twoCellAnchor>
  <xdr:twoCellAnchor editAs="oneCell">
    <xdr:from>
      <xdr:col>2</xdr:col>
      <xdr:colOff>38160</xdr:colOff>
      <xdr:row>139</xdr:row>
      <xdr:rowOff>144000</xdr:rowOff>
    </xdr:from>
    <xdr:to>
      <xdr:col>2</xdr:col>
      <xdr:colOff>1208880</xdr:colOff>
      <xdr:row>139</xdr:row>
      <xdr:rowOff>1316160</xdr:rowOff>
    </xdr:to>
    <xdr:pic>
      <xdr:nvPicPr>
        <xdr:cNvPr id="592" name="图片 42" descr="8"/>
        <xdr:cNvPicPr/>
      </xdr:nvPicPr>
      <xdr:blipFill>
        <a:blip r:embed="rId40"/>
        <a:stretch/>
      </xdr:blipFill>
      <xdr:spPr>
        <a:xfrm>
          <a:off x="5605920" y="162824760"/>
          <a:ext cx="1170720" cy="1172160"/>
        </a:xfrm>
        <a:prstGeom prst="rect">
          <a:avLst/>
        </a:prstGeom>
        <a:noFill/>
        <a:ln w="9525">
          <a:noFill/>
        </a:ln>
      </xdr:spPr>
    </xdr:pic>
    <xdr:clientData/>
  </xdr:twoCellAnchor>
  <xdr:twoCellAnchor editAs="twoCell">
    <xdr:from>
      <xdr:col>0</xdr:col>
      <xdr:colOff>0</xdr:colOff>
      <xdr:row>17</xdr:row>
      <xdr:rowOff>0</xdr:rowOff>
    </xdr:from>
    <xdr:to>
      <xdr:col>0</xdr:col>
      <xdr:colOff>827280</xdr:colOff>
      <xdr:row>17</xdr:row>
      <xdr:rowOff>297000</xdr:rowOff>
    </xdr:to>
    <xdr:pic>
      <xdr:nvPicPr>
        <xdr:cNvPr id="593" name="图片 307" descr="快充"/>
        <xdr:cNvPicPr/>
      </xdr:nvPicPr>
      <xdr:blipFill>
        <a:blip r:embed="rId41"/>
        <a:stretch/>
      </xdr:blipFill>
      <xdr:spPr>
        <a:xfrm>
          <a:off x="0" y="20383560"/>
          <a:ext cx="827280" cy="297000"/>
        </a:xfrm>
        <a:prstGeom prst="rect">
          <a:avLst/>
        </a:prstGeom>
        <a:noFill/>
        <a:ln w="9525">
          <a:noFill/>
        </a:ln>
      </xdr:spPr>
    </xdr:pic>
    <xdr:clientData/>
  </xdr:twoCellAnchor>
  <xdr:twoCellAnchor editAs="twoCell">
    <xdr:from>
      <xdr:col>0</xdr:col>
      <xdr:colOff>0</xdr:colOff>
      <xdr:row>18</xdr:row>
      <xdr:rowOff>0</xdr:rowOff>
    </xdr:from>
    <xdr:to>
      <xdr:col>0</xdr:col>
      <xdr:colOff>827280</xdr:colOff>
      <xdr:row>18</xdr:row>
      <xdr:rowOff>297000</xdr:rowOff>
    </xdr:to>
    <xdr:pic>
      <xdr:nvPicPr>
        <xdr:cNvPr id="594" name="图片 308" descr="快充"/>
        <xdr:cNvPicPr/>
      </xdr:nvPicPr>
      <xdr:blipFill>
        <a:blip r:embed="rId42"/>
        <a:stretch/>
      </xdr:blipFill>
      <xdr:spPr>
        <a:xfrm>
          <a:off x="0" y="21844080"/>
          <a:ext cx="827280" cy="297000"/>
        </a:xfrm>
        <a:prstGeom prst="rect">
          <a:avLst/>
        </a:prstGeom>
        <a:noFill/>
        <a:ln w="9525">
          <a:noFill/>
        </a:ln>
      </xdr:spPr>
    </xdr:pic>
    <xdr:clientData/>
  </xdr:twoCellAnchor>
  <xdr:twoCellAnchor editAs="twoCell">
    <xdr:from>
      <xdr:col>0</xdr:col>
      <xdr:colOff>0</xdr:colOff>
      <xdr:row>19</xdr:row>
      <xdr:rowOff>0</xdr:rowOff>
    </xdr:from>
    <xdr:to>
      <xdr:col>0</xdr:col>
      <xdr:colOff>827280</xdr:colOff>
      <xdr:row>19</xdr:row>
      <xdr:rowOff>297000</xdr:rowOff>
    </xdr:to>
    <xdr:pic>
      <xdr:nvPicPr>
        <xdr:cNvPr id="595" name="图片 353" descr="快充"/>
        <xdr:cNvPicPr/>
      </xdr:nvPicPr>
      <xdr:blipFill>
        <a:blip r:embed="rId43"/>
        <a:stretch/>
      </xdr:blipFill>
      <xdr:spPr>
        <a:xfrm>
          <a:off x="0" y="23304600"/>
          <a:ext cx="827280" cy="297000"/>
        </a:xfrm>
        <a:prstGeom prst="rect">
          <a:avLst/>
        </a:prstGeom>
        <a:noFill/>
        <a:ln w="9525">
          <a:noFill/>
        </a:ln>
      </xdr:spPr>
    </xdr:pic>
    <xdr:clientData/>
  </xdr:twoCellAnchor>
  <xdr:twoCellAnchor editAs="twoCell">
    <xdr:from>
      <xdr:col>0</xdr:col>
      <xdr:colOff>0</xdr:colOff>
      <xdr:row>19</xdr:row>
      <xdr:rowOff>0</xdr:rowOff>
    </xdr:from>
    <xdr:to>
      <xdr:col>0</xdr:col>
      <xdr:colOff>827280</xdr:colOff>
      <xdr:row>19</xdr:row>
      <xdr:rowOff>297000</xdr:rowOff>
    </xdr:to>
    <xdr:pic>
      <xdr:nvPicPr>
        <xdr:cNvPr id="596" name="图片 354" descr="快充"/>
        <xdr:cNvPicPr/>
      </xdr:nvPicPr>
      <xdr:blipFill>
        <a:blip r:embed="rId44"/>
        <a:stretch/>
      </xdr:blipFill>
      <xdr:spPr>
        <a:xfrm>
          <a:off x="0" y="23304600"/>
          <a:ext cx="827280" cy="297000"/>
        </a:xfrm>
        <a:prstGeom prst="rect">
          <a:avLst/>
        </a:prstGeom>
        <a:noFill/>
        <a:ln w="9525">
          <a:noFill/>
        </a:ln>
      </xdr:spPr>
    </xdr:pic>
    <xdr:clientData/>
  </xdr:twoCellAnchor>
  <xdr:twoCellAnchor editAs="twoCell">
    <xdr:from>
      <xdr:col>0</xdr:col>
      <xdr:colOff>0</xdr:colOff>
      <xdr:row>19</xdr:row>
      <xdr:rowOff>0</xdr:rowOff>
    </xdr:from>
    <xdr:to>
      <xdr:col>0</xdr:col>
      <xdr:colOff>827280</xdr:colOff>
      <xdr:row>19</xdr:row>
      <xdr:rowOff>297000</xdr:rowOff>
    </xdr:to>
    <xdr:pic>
      <xdr:nvPicPr>
        <xdr:cNvPr id="597" name="图片 355" descr="快充"/>
        <xdr:cNvPicPr/>
      </xdr:nvPicPr>
      <xdr:blipFill>
        <a:blip r:embed="rId45"/>
        <a:stretch/>
      </xdr:blipFill>
      <xdr:spPr>
        <a:xfrm>
          <a:off x="0" y="23304600"/>
          <a:ext cx="827280" cy="297000"/>
        </a:xfrm>
        <a:prstGeom prst="rect">
          <a:avLst/>
        </a:prstGeom>
        <a:noFill/>
        <a:ln w="9525">
          <a:noFill/>
        </a:ln>
      </xdr:spPr>
    </xdr:pic>
    <xdr:clientData/>
  </xdr:twoCellAnchor>
  <xdr:twoCellAnchor editAs="twoCell">
    <xdr:from>
      <xdr:col>0</xdr:col>
      <xdr:colOff>0</xdr:colOff>
      <xdr:row>19</xdr:row>
      <xdr:rowOff>0</xdr:rowOff>
    </xdr:from>
    <xdr:to>
      <xdr:col>0</xdr:col>
      <xdr:colOff>827280</xdr:colOff>
      <xdr:row>19</xdr:row>
      <xdr:rowOff>297000</xdr:rowOff>
    </xdr:to>
    <xdr:pic>
      <xdr:nvPicPr>
        <xdr:cNvPr id="598" name="图片 356" descr="快充"/>
        <xdr:cNvPicPr/>
      </xdr:nvPicPr>
      <xdr:blipFill>
        <a:blip r:embed="rId46"/>
        <a:stretch/>
      </xdr:blipFill>
      <xdr:spPr>
        <a:xfrm>
          <a:off x="0" y="23304600"/>
          <a:ext cx="827280" cy="297000"/>
        </a:xfrm>
        <a:prstGeom prst="rect">
          <a:avLst/>
        </a:prstGeom>
        <a:noFill/>
        <a:ln w="9525">
          <a:noFill/>
        </a:ln>
      </xdr:spPr>
    </xdr:pic>
    <xdr:clientData/>
  </xdr:twoCellAnchor>
  <xdr:twoCellAnchor editAs="twoCell">
    <xdr:from>
      <xdr:col>0</xdr:col>
      <xdr:colOff>0</xdr:colOff>
      <xdr:row>20</xdr:row>
      <xdr:rowOff>0</xdr:rowOff>
    </xdr:from>
    <xdr:to>
      <xdr:col>0</xdr:col>
      <xdr:colOff>827280</xdr:colOff>
      <xdr:row>20</xdr:row>
      <xdr:rowOff>297000</xdr:rowOff>
    </xdr:to>
    <xdr:pic>
      <xdr:nvPicPr>
        <xdr:cNvPr id="599" name="图片 357" descr="快充"/>
        <xdr:cNvPicPr/>
      </xdr:nvPicPr>
      <xdr:blipFill>
        <a:blip r:embed="rId47"/>
        <a:stretch/>
      </xdr:blipFill>
      <xdr:spPr>
        <a:xfrm>
          <a:off x="0" y="24765120"/>
          <a:ext cx="827280" cy="297000"/>
        </a:xfrm>
        <a:prstGeom prst="rect">
          <a:avLst/>
        </a:prstGeom>
        <a:noFill/>
        <a:ln w="9525">
          <a:noFill/>
        </a:ln>
      </xdr:spPr>
    </xdr:pic>
    <xdr:clientData/>
  </xdr:twoCellAnchor>
  <xdr:twoCellAnchor editAs="twoCell">
    <xdr:from>
      <xdr:col>0</xdr:col>
      <xdr:colOff>0</xdr:colOff>
      <xdr:row>124</xdr:row>
      <xdr:rowOff>0</xdr:rowOff>
    </xdr:from>
    <xdr:to>
      <xdr:col>0</xdr:col>
      <xdr:colOff>827280</xdr:colOff>
      <xdr:row>124</xdr:row>
      <xdr:rowOff>297000</xdr:rowOff>
    </xdr:to>
    <xdr:pic>
      <xdr:nvPicPr>
        <xdr:cNvPr id="600" name="图片 502" descr="快充"/>
        <xdr:cNvPicPr/>
      </xdr:nvPicPr>
      <xdr:blipFill>
        <a:blip r:embed="rId48"/>
        <a:stretch/>
      </xdr:blipFill>
      <xdr:spPr>
        <a:xfrm>
          <a:off x="0" y="145091160"/>
          <a:ext cx="827280" cy="297000"/>
        </a:xfrm>
        <a:prstGeom prst="rect">
          <a:avLst/>
        </a:prstGeom>
        <a:noFill/>
        <a:ln w="9525">
          <a:noFill/>
        </a:ln>
      </xdr:spPr>
    </xdr:pic>
    <xdr:clientData/>
  </xdr:twoCellAnchor>
  <xdr:twoCellAnchor editAs="twoCell">
    <xdr:from>
      <xdr:col>0</xdr:col>
      <xdr:colOff>0</xdr:colOff>
      <xdr:row>125</xdr:row>
      <xdr:rowOff>0</xdr:rowOff>
    </xdr:from>
    <xdr:to>
      <xdr:col>0</xdr:col>
      <xdr:colOff>827280</xdr:colOff>
      <xdr:row>125</xdr:row>
      <xdr:rowOff>297000</xdr:rowOff>
    </xdr:to>
    <xdr:pic>
      <xdr:nvPicPr>
        <xdr:cNvPr id="601" name="图片 503" descr="快充"/>
        <xdr:cNvPicPr/>
      </xdr:nvPicPr>
      <xdr:blipFill>
        <a:blip r:embed="rId49"/>
        <a:stretch/>
      </xdr:blipFill>
      <xdr:spPr>
        <a:xfrm>
          <a:off x="0" y="146551680"/>
          <a:ext cx="827280" cy="297000"/>
        </a:xfrm>
        <a:prstGeom prst="rect">
          <a:avLst/>
        </a:prstGeom>
        <a:noFill/>
        <a:ln w="9525">
          <a:noFill/>
        </a:ln>
      </xdr:spPr>
    </xdr:pic>
    <xdr:clientData/>
  </xdr:twoCellAnchor>
  <xdr:twoCellAnchor editAs="twoCell">
    <xdr:from>
      <xdr:col>0</xdr:col>
      <xdr:colOff>0</xdr:colOff>
      <xdr:row>126</xdr:row>
      <xdr:rowOff>0</xdr:rowOff>
    </xdr:from>
    <xdr:to>
      <xdr:col>0</xdr:col>
      <xdr:colOff>827280</xdr:colOff>
      <xdr:row>126</xdr:row>
      <xdr:rowOff>297000</xdr:rowOff>
    </xdr:to>
    <xdr:pic>
      <xdr:nvPicPr>
        <xdr:cNvPr id="602" name="图片 504" descr="快充"/>
        <xdr:cNvPicPr/>
      </xdr:nvPicPr>
      <xdr:blipFill>
        <a:blip r:embed="rId50"/>
        <a:stretch/>
      </xdr:blipFill>
      <xdr:spPr>
        <a:xfrm>
          <a:off x="0" y="148012200"/>
          <a:ext cx="827280" cy="297000"/>
        </a:xfrm>
        <a:prstGeom prst="rect">
          <a:avLst/>
        </a:prstGeom>
        <a:noFill/>
        <a:ln w="9525">
          <a:noFill/>
        </a:ln>
      </xdr:spPr>
    </xdr:pic>
    <xdr:clientData/>
  </xdr:twoCellAnchor>
  <xdr:twoCellAnchor editAs="twoCell">
    <xdr:from>
      <xdr:col>0</xdr:col>
      <xdr:colOff>0</xdr:colOff>
      <xdr:row>128</xdr:row>
      <xdr:rowOff>0</xdr:rowOff>
    </xdr:from>
    <xdr:to>
      <xdr:col>0</xdr:col>
      <xdr:colOff>827280</xdr:colOff>
      <xdr:row>128</xdr:row>
      <xdr:rowOff>297000</xdr:rowOff>
    </xdr:to>
    <xdr:pic>
      <xdr:nvPicPr>
        <xdr:cNvPr id="603" name="图片 520" descr="快充"/>
        <xdr:cNvPicPr/>
      </xdr:nvPicPr>
      <xdr:blipFill>
        <a:blip r:embed="rId51"/>
        <a:stretch/>
      </xdr:blipFill>
      <xdr:spPr>
        <a:xfrm>
          <a:off x="0" y="150933240"/>
          <a:ext cx="827280" cy="297000"/>
        </a:xfrm>
        <a:prstGeom prst="rect">
          <a:avLst/>
        </a:prstGeom>
        <a:noFill/>
        <a:ln w="9525">
          <a:noFill/>
        </a:ln>
      </xdr:spPr>
    </xdr:pic>
    <xdr:clientData/>
  </xdr:twoCellAnchor>
  <xdr:twoCellAnchor editAs="twoCell">
    <xdr:from>
      <xdr:col>0</xdr:col>
      <xdr:colOff>0</xdr:colOff>
      <xdr:row>128</xdr:row>
      <xdr:rowOff>0</xdr:rowOff>
    </xdr:from>
    <xdr:to>
      <xdr:col>0</xdr:col>
      <xdr:colOff>827280</xdr:colOff>
      <xdr:row>128</xdr:row>
      <xdr:rowOff>297000</xdr:rowOff>
    </xdr:to>
    <xdr:pic>
      <xdr:nvPicPr>
        <xdr:cNvPr id="604" name="图片 521" descr="快充"/>
        <xdr:cNvPicPr/>
      </xdr:nvPicPr>
      <xdr:blipFill>
        <a:blip r:embed="rId52"/>
        <a:stretch/>
      </xdr:blipFill>
      <xdr:spPr>
        <a:xfrm>
          <a:off x="0" y="150933240"/>
          <a:ext cx="827280" cy="297000"/>
        </a:xfrm>
        <a:prstGeom prst="rect">
          <a:avLst/>
        </a:prstGeom>
        <a:noFill/>
        <a:ln w="9525">
          <a:noFill/>
        </a:ln>
      </xdr:spPr>
    </xdr:pic>
    <xdr:clientData/>
  </xdr:twoCellAnchor>
  <xdr:twoCellAnchor editAs="twoCell">
    <xdr:from>
      <xdr:col>0</xdr:col>
      <xdr:colOff>0</xdr:colOff>
      <xdr:row>128</xdr:row>
      <xdr:rowOff>0</xdr:rowOff>
    </xdr:from>
    <xdr:to>
      <xdr:col>0</xdr:col>
      <xdr:colOff>827280</xdr:colOff>
      <xdr:row>128</xdr:row>
      <xdr:rowOff>297000</xdr:rowOff>
    </xdr:to>
    <xdr:pic>
      <xdr:nvPicPr>
        <xdr:cNvPr id="605" name="图片 522" descr="快充"/>
        <xdr:cNvPicPr/>
      </xdr:nvPicPr>
      <xdr:blipFill>
        <a:blip r:embed="rId53"/>
        <a:stretch/>
      </xdr:blipFill>
      <xdr:spPr>
        <a:xfrm>
          <a:off x="0" y="150933240"/>
          <a:ext cx="827280" cy="297000"/>
        </a:xfrm>
        <a:prstGeom prst="rect">
          <a:avLst/>
        </a:prstGeom>
        <a:noFill/>
        <a:ln w="9525">
          <a:noFill/>
        </a:ln>
      </xdr:spPr>
    </xdr:pic>
    <xdr:clientData/>
  </xdr:twoCellAnchor>
  <xdr:twoCellAnchor editAs="twoCell">
    <xdr:from>
      <xdr:col>0</xdr:col>
      <xdr:colOff>0</xdr:colOff>
      <xdr:row>130</xdr:row>
      <xdr:rowOff>0</xdr:rowOff>
    </xdr:from>
    <xdr:to>
      <xdr:col>0</xdr:col>
      <xdr:colOff>827280</xdr:colOff>
      <xdr:row>130</xdr:row>
      <xdr:rowOff>297000</xdr:rowOff>
    </xdr:to>
    <xdr:pic>
      <xdr:nvPicPr>
        <xdr:cNvPr id="606" name="图片 523" descr="快充"/>
        <xdr:cNvPicPr/>
      </xdr:nvPicPr>
      <xdr:blipFill>
        <a:blip r:embed="rId54"/>
        <a:stretch/>
      </xdr:blipFill>
      <xdr:spPr>
        <a:xfrm>
          <a:off x="0" y="152457120"/>
          <a:ext cx="827280" cy="297000"/>
        </a:xfrm>
        <a:prstGeom prst="rect">
          <a:avLst/>
        </a:prstGeom>
        <a:noFill/>
        <a:ln w="9525">
          <a:noFill/>
        </a:ln>
      </xdr:spPr>
    </xdr:pic>
    <xdr:clientData/>
  </xdr:twoCellAnchor>
  <xdr:twoCellAnchor editAs="twoCell">
    <xdr:from>
      <xdr:col>0</xdr:col>
      <xdr:colOff>0</xdr:colOff>
      <xdr:row>130</xdr:row>
      <xdr:rowOff>0</xdr:rowOff>
    </xdr:from>
    <xdr:to>
      <xdr:col>0</xdr:col>
      <xdr:colOff>827280</xdr:colOff>
      <xdr:row>130</xdr:row>
      <xdr:rowOff>297000</xdr:rowOff>
    </xdr:to>
    <xdr:pic>
      <xdr:nvPicPr>
        <xdr:cNvPr id="607" name="图片 524" descr="快充"/>
        <xdr:cNvPicPr/>
      </xdr:nvPicPr>
      <xdr:blipFill>
        <a:blip r:embed="rId55"/>
        <a:stretch/>
      </xdr:blipFill>
      <xdr:spPr>
        <a:xfrm>
          <a:off x="0" y="152457120"/>
          <a:ext cx="827280" cy="297000"/>
        </a:xfrm>
        <a:prstGeom prst="rect">
          <a:avLst/>
        </a:prstGeom>
        <a:noFill/>
        <a:ln w="9525">
          <a:noFill/>
        </a:ln>
      </xdr:spPr>
    </xdr:pic>
    <xdr:clientData/>
  </xdr:twoCellAnchor>
  <xdr:twoCellAnchor editAs="twoCell">
    <xdr:from>
      <xdr:col>0</xdr:col>
      <xdr:colOff>0</xdr:colOff>
      <xdr:row>133</xdr:row>
      <xdr:rowOff>0</xdr:rowOff>
    </xdr:from>
    <xdr:to>
      <xdr:col>0</xdr:col>
      <xdr:colOff>827280</xdr:colOff>
      <xdr:row>133</xdr:row>
      <xdr:rowOff>296640</xdr:rowOff>
    </xdr:to>
    <xdr:pic>
      <xdr:nvPicPr>
        <xdr:cNvPr id="608" name="图片 638" descr="快充"/>
        <xdr:cNvPicPr/>
      </xdr:nvPicPr>
      <xdr:blipFill>
        <a:blip r:embed="rId56"/>
        <a:stretch/>
      </xdr:blipFill>
      <xdr:spPr>
        <a:xfrm>
          <a:off x="0" y="155441520"/>
          <a:ext cx="827280" cy="296640"/>
        </a:xfrm>
        <a:prstGeom prst="rect">
          <a:avLst/>
        </a:prstGeom>
        <a:noFill/>
        <a:ln w="9525">
          <a:noFill/>
        </a:ln>
      </xdr:spPr>
    </xdr:pic>
    <xdr:clientData/>
  </xdr:twoCellAnchor>
  <xdr:twoCellAnchor editAs="twoCell">
    <xdr:from>
      <xdr:col>0</xdr:col>
      <xdr:colOff>0</xdr:colOff>
      <xdr:row>135</xdr:row>
      <xdr:rowOff>0</xdr:rowOff>
    </xdr:from>
    <xdr:to>
      <xdr:col>0</xdr:col>
      <xdr:colOff>827280</xdr:colOff>
      <xdr:row>135</xdr:row>
      <xdr:rowOff>297000</xdr:rowOff>
    </xdr:to>
    <xdr:pic>
      <xdr:nvPicPr>
        <xdr:cNvPr id="609" name="图片 641" descr="快充"/>
        <xdr:cNvPicPr/>
      </xdr:nvPicPr>
      <xdr:blipFill>
        <a:blip r:embed="rId57"/>
        <a:stretch/>
      </xdr:blipFill>
      <xdr:spPr>
        <a:xfrm>
          <a:off x="0" y="156838680"/>
          <a:ext cx="827280" cy="297000"/>
        </a:xfrm>
        <a:prstGeom prst="rect">
          <a:avLst/>
        </a:prstGeom>
        <a:noFill/>
        <a:ln w="9525">
          <a:noFill/>
        </a:ln>
      </xdr:spPr>
    </xdr:pic>
    <xdr:clientData/>
  </xdr:twoCellAnchor>
  <xdr:twoCellAnchor editAs="twoCell">
    <xdr:from>
      <xdr:col>0</xdr:col>
      <xdr:colOff>0</xdr:colOff>
      <xdr:row>136</xdr:row>
      <xdr:rowOff>0</xdr:rowOff>
    </xdr:from>
    <xdr:to>
      <xdr:col>0</xdr:col>
      <xdr:colOff>827280</xdr:colOff>
      <xdr:row>136</xdr:row>
      <xdr:rowOff>297000</xdr:rowOff>
    </xdr:to>
    <xdr:pic>
      <xdr:nvPicPr>
        <xdr:cNvPr id="610" name="图片 649" descr="快充"/>
        <xdr:cNvPicPr/>
      </xdr:nvPicPr>
      <xdr:blipFill>
        <a:blip r:embed="rId58"/>
        <a:stretch/>
      </xdr:blipFill>
      <xdr:spPr>
        <a:xfrm>
          <a:off x="0" y="158299200"/>
          <a:ext cx="827280" cy="297000"/>
        </a:xfrm>
        <a:prstGeom prst="rect">
          <a:avLst/>
        </a:prstGeom>
        <a:noFill/>
        <a:ln w="9525">
          <a:noFill/>
        </a:ln>
      </xdr:spPr>
    </xdr:pic>
    <xdr:clientData/>
  </xdr:twoCellAnchor>
  <xdr:twoCellAnchor editAs="twoCell">
    <xdr:from>
      <xdr:col>0</xdr:col>
      <xdr:colOff>0</xdr:colOff>
      <xdr:row>137</xdr:row>
      <xdr:rowOff>0</xdr:rowOff>
    </xdr:from>
    <xdr:to>
      <xdr:col>0</xdr:col>
      <xdr:colOff>827280</xdr:colOff>
      <xdr:row>137</xdr:row>
      <xdr:rowOff>297000</xdr:rowOff>
    </xdr:to>
    <xdr:pic>
      <xdr:nvPicPr>
        <xdr:cNvPr id="611" name="图片 650" descr="快充"/>
        <xdr:cNvPicPr/>
      </xdr:nvPicPr>
      <xdr:blipFill>
        <a:blip r:embed="rId59"/>
        <a:stretch/>
      </xdr:blipFill>
      <xdr:spPr>
        <a:xfrm>
          <a:off x="0" y="159759720"/>
          <a:ext cx="827280" cy="297000"/>
        </a:xfrm>
        <a:prstGeom prst="rect">
          <a:avLst/>
        </a:prstGeom>
        <a:noFill/>
        <a:ln w="9525">
          <a:noFill/>
        </a:ln>
      </xdr:spPr>
    </xdr:pic>
    <xdr:clientData/>
  </xdr:twoCellAnchor>
  <xdr:twoCellAnchor editAs="twoCell">
    <xdr:from>
      <xdr:col>0</xdr:col>
      <xdr:colOff>0</xdr:colOff>
      <xdr:row>138</xdr:row>
      <xdr:rowOff>0</xdr:rowOff>
    </xdr:from>
    <xdr:to>
      <xdr:col>0</xdr:col>
      <xdr:colOff>827280</xdr:colOff>
      <xdr:row>138</xdr:row>
      <xdr:rowOff>297000</xdr:rowOff>
    </xdr:to>
    <xdr:pic>
      <xdr:nvPicPr>
        <xdr:cNvPr id="612" name="图片 651" descr="快充"/>
        <xdr:cNvPicPr/>
      </xdr:nvPicPr>
      <xdr:blipFill>
        <a:blip r:embed="rId60"/>
        <a:stretch/>
      </xdr:blipFill>
      <xdr:spPr>
        <a:xfrm>
          <a:off x="0" y="161220240"/>
          <a:ext cx="827280" cy="297000"/>
        </a:xfrm>
        <a:prstGeom prst="rect">
          <a:avLst/>
        </a:prstGeom>
        <a:noFill/>
        <a:ln w="9525">
          <a:noFill/>
        </a:ln>
      </xdr:spPr>
    </xdr:pic>
    <xdr:clientData/>
  </xdr:twoCellAnchor>
  <xdr:twoCellAnchor editAs="twoCell">
    <xdr:from>
      <xdr:col>0</xdr:col>
      <xdr:colOff>10080</xdr:colOff>
      <xdr:row>139</xdr:row>
      <xdr:rowOff>5760</xdr:rowOff>
    </xdr:from>
    <xdr:to>
      <xdr:col>0</xdr:col>
      <xdr:colOff>837360</xdr:colOff>
      <xdr:row>139</xdr:row>
      <xdr:rowOff>297000</xdr:rowOff>
    </xdr:to>
    <xdr:pic>
      <xdr:nvPicPr>
        <xdr:cNvPr id="613" name="图片 653" descr="快充"/>
        <xdr:cNvPicPr/>
      </xdr:nvPicPr>
      <xdr:blipFill>
        <a:blip r:embed="rId61"/>
        <a:stretch/>
      </xdr:blipFill>
      <xdr:spPr>
        <a:xfrm>
          <a:off x="10080" y="162686520"/>
          <a:ext cx="827280" cy="291240"/>
        </a:xfrm>
        <a:prstGeom prst="rect">
          <a:avLst/>
        </a:prstGeom>
        <a:noFill/>
        <a:ln w="9525">
          <a:noFill/>
        </a:ln>
      </xdr:spPr>
    </xdr:pic>
    <xdr:clientData/>
  </xdr:twoCellAnchor>
  <xdr:twoCellAnchor editAs="twoCell">
    <xdr:from>
      <xdr:col>0</xdr:col>
      <xdr:colOff>10080</xdr:colOff>
      <xdr:row>140</xdr:row>
      <xdr:rowOff>5760</xdr:rowOff>
    </xdr:from>
    <xdr:to>
      <xdr:col>0</xdr:col>
      <xdr:colOff>837360</xdr:colOff>
      <xdr:row>140</xdr:row>
      <xdr:rowOff>297000</xdr:rowOff>
    </xdr:to>
    <xdr:pic>
      <xdr:nvPicPr>
        <xdr:cNvPr id="614" name="图片 655" descr="快充"/>
        <xdr:cNvPicPr/>
      </xdr:nvPicPr>
      <xdr:blipFill>
        <a:blip r:embed="rId62"/>
        <a:stretch/>
      </xdr:blipFill>
      <xdr:spPr>
        <a:xfrm>
          <a:off x="10080" y="164147040"/>
          <a:ext cx="827280" cy="291240"/>
        </a:xfrm>
        <a:prstGeom prst="rect">
          <a:avLst/>
        </a:prstGeom>
        <a:noFill/>
        <a:ln w="9525">
          <a:noFill/>
        </a:ln>
      </xdr:spPr>
    </xdr:pic>
    <xdr:clientData/>
  </xdr:twoCellAnchor>
  <xdr:twoCellAnchor editAs="twoCell">
    <xdr:from>
      <xdr:col>0</xdr:col>
      <xdr:colOff>10080</xdr:colOff>
      <xdr:row>141</xdr:row>
      <xdr:rowOff>5760</xdr:rowOff>
    </xdr:from>
    <xdr:to>
      <xdr:col>0</xdr:col>
      <xdr:colOff>837360</xdr:colOff>
      <xdr:row>141</xdr:row>
      <xdr:rowOff>297000</xdr:rowOff>
    </xdr:to>
    <xdr:pic>
      <xdr:nvPicPr>
        <xdr:cNvPr id="615" name="图片 657" descr="快充"/>
        <xdr:cNvPicPr/>
      </xdr:nvPicPr>
      <xdr:blipFill>
        <a:blip r:embed="rId63"/>
        <a:stretch/>
      </xdr:blipFill>
      <xdr:spPr>
        <a:xfrm>
          <a:off x="10080" y="165607560"/>
          <a:ext cx="827280" cy="291240"/>
        </a:xfrm>
        <a:prstGeom prst="rect">
          <a:avLst/>
        </a:prstGeom>
        <a:noFill/>
        <a:ln w="9525">
          <a:noFill/>
        </a:ln>
      </xdr:spPr>
    </xdr:pic>
    <xdr:clientData/>
  </xdr:twoCellAnchor>
  <xdr:twoCellAnchor editAs="oneCell">
    <xdr:from>
      <xdr:col>1</xdr:col>
      <xdr:colOff>38160</xdr:colOff>
      <xdr:row>123</xdr:row>
      <xdr:rowOff>143280</xdr:rowOff>
    </xdr:from>
    <xdr:to>
      <xdr:col>1</xdr:col>
      <xdr:colOff>1208880</xdr:colOff>
      <xdr:row>123</xdr:row>
      <xdr:rowOff>1316520</xdr:rowOff>
    </xdr:to>
    <xdr:pic>
      <xdr:nvPicPr>
        <xdr:cNvPr id="616" name="图片 61" descr="1(5)"/>
        <xdr:cNvPicPr/>
      </xdr:nvPicPr>
      <xdr:blipFill>
        <a:blip r:embed="rId64"/>
        <a:stretch/>
      </xdr:blipFill>
      <xdr:spPr>
        <a:xfrm>
          <a:off x="4039920" y="143773920"/>
          <a:ext cx="1170720" cy="1173240"/>
        </a:xfrm>
        <a:prstGeom prst="rect">
          <a:avLst/>
        </a:prstGeom>
        <a:noFill/>
        <a:ln w="9525">
          <a:noFill/>
        </a:ln>
      </xdr:spPr>
    </xdr:pic>
    <xdr:clientData/>
  </xdr:twoCellAnchor>
  <xdr:twoCellAnchor editAs="oneCell">
    <xdr:from>
      <xdr:col>1</xdr:col>
      <xdr:colOff>38160</xdr:colOff>
      <xdr:row>122</xdr:row>
      <xdr:rowOff>141120</xdr:rowOff>
    </xdr:from>
    <xdr:to>
      <xdr:col>1</xdr:col>
      <xdr:colOff>1208880</xdr:colOff>
      <xdr:row>122</xdr:row>
      <xdr:rowOff>1319040</xdr:rowOff>
    </xdr:to>
    <xdr:pic>
      <xdr:nvPicPr>
        <xdr:cNvPr id="617" name="图片 74" descr="1(6)"/>
        <xdr:cNvPicPr/>
      </xdr:nvPicPr>
      <xdr:blipFill>
        <a:blip r:embed="rId65"/>
        <a:stretch/>
      </xdr:blipFill>
      <xdr:spPr>
        <a:xfrm>
          <a:off x="4039920" y="142311240"/>
          <a:ext cx="1170720" cy="1177920"/>
        </a:xfrm>
        <a:prstGeom prst="rect">
          <a:avLst/>
        </a:prstGeom>
        <a:noFill/>
        <a:ln w="9525">
          <a:noFill/>
        </a:ln>
      </xdr:spPr>
    </xdr:pic>
    <xdr:clientData/>
  </xdr:twoCellAnchor>
  <xdr:twoCellAnchor editAs="oneCell">
    <xdr:from>
      <xdr:col>2</xdr:col>
      <xdr:colOff>38160</xdr:colOff>
      <xdr:row>123</xdr:row>
      <xdr:rowOff>141480</xdr:rowOff>
    </xdr:from>
    <xdr:to>
      <xdr:col>2</xdr:col>
      <xdr:colOff>1208880</xdr:colOff>
      <xdr:row>123</xdr:row>
      <xdr:rowOff>1318680</xdr:rowOff>
    </xdr:to>
    <xdr:pic>
      <xdr:nvPicPr>
        <xdr:cNvPr id="618" name="图片 82" descr="9(5)"/>
        <xdr:cNvPicPr/>
      </xdr:nvPicPr>
      <xdr:blipFill>
        <a:blip r:embed="rId66"/>
        <a:stretch/>
      </xdr:blipFill>
      <xdr:spPr>
        <a:xfrm>
          <a:off x="5605920" y="143772120"/>
          <a:ext cx="1170720" cy="1177200"/>
        </a:xfrm>
        <a:prstGeom prst="rect">
          <a:avLst/>
        </a:prstGeom>
        <a:noFill/>
        <a:ln w="9525">
          <a:noFill/>
        </a:ln>
      </xdr:spPr>
    </xdr:pic>
    <xdr:clientData/>
  </xdr:twoCellAnchor>
  <xdr:twoCellAnchor editAs="oneCell">
    <xdr:from>
      <xdr:col>1</xdr:col>
      <xdr:colOff>38160</xdr:colOff>
      <xdr:row>121</xdr:row>
      <xdr:rowOff>141480</xdr:rowOff>
    </xdr:from>
    <xdr:to>
      <xdr:col>1</xdr:col>
      <xdr:colOff>1208880</xdr:colOff>
      <xdr:row>121</xdr:row>
      <xdr:rowOff>1317960</xdr:rowOff>
    </xdr:to>
    <xdr:pic>
      <xdr:nvPicPr>
        <xdr:cNvPr id="619" name="图片 83" descr="1(4)"/>
        <xdr:cNvPicPr/>
      </xdr:nvPicPr>
      <xdr:blipFill>
        <a:blip r:embed="rId67"/>
        <a:stretch/>
      </xdr:blipFill>
      <xdr:spPr>
        <a:xfrm>
          <a:off x="4039920" y="140851080"/>
          <a:ext cx="1170720" cy="1176480"/>
        </a:xfrm>
        <a:prstGeom prst="rect">
          <a:avLst/>
        </a:prstGeom>
        <a:noFill/>
        <a:ln w="9525">
          <a:noFill/>
        </a:ln>
      </xdr:spPr>
    </xdr:pic>
    <xdr:clientData/>
  </xdr:twoCellAnchor>
  <xdr:twoCellAnchor editAs="oneCell">
    <xdr:from>
      <xdr:col>2</xdr:col>
      <xdr:colOff>38160</xdr:colOff>
      <xdr:row>121</xdr:row>
      <xdr:rowOff>141120</xdr:rowOff>
    </xdr:from>
    <xdr:to>
      <xdr:col>2</xdr:col>
      <xdr:colOff>1208880</xdr:colOff>
      <xdr:row>121</xdr:row>
      <xdr:rowOff>1319040</xdr:rowOff>
    </xdr:to>
    <xdr:pic>
      <xdr:nvPicPr>
        <xdr:cNvPr id="620" name="图片 94" descr="9(4)"/>
        <xdr:cNvPicPr/>
      </xdr:nvPicPr>
      <xdr:blipFill>
        <a:blip r:embed="rId68"/>
        <a:stretch/>
      </xdr:blipFill>
      <xdr:spPr>
        <a:xfrm>
          <a:off x="5605920" y="140850720"/>
          <a:ext cx="1170720" cy="1177920"/>
        </a:xfrm>
        <a:prstGeom prst="rect">
          <a:avLst/>
        </a:prstGeom>
        <a:noFill/>
        <a:ln w="9525">
          <a:noFill/>
        </a:ln>
      </xdr:spPr>
    </xdr:pic>
    <xdr:clientData/>
  </xdr:twoCellAnchor>
  <xdr:twoCellAnchor editAs="oneCell">
    <xdr:from>
      <xdr:col>2</xdr:col>
      <xdr:colOff>38160</xdr:colOff>
      <xdr:row>122</xdr:row>
      <xdr:rowOff>143280</xdr:rowOff>
    </xdr:from>
    <xdr:to>
      <xdr:col>2</xdr:col>
      <xdr:colOff>1208880</xdr:colOff>
      <xdr:row>122</xdr:row>
      <xdr:rowOff>1316520</xdr:rowOff>
    </xdr:to>
    <xdr:pic>
      <xdr:nvPicPr>
        <xdr:cNvPr id="621" name="图片 95" descr="9(6)"/>
        <xdr:cNvPicPr/>
      </xdr:nvPicPr>
      <xdr:blipFill>
        <a:blip r:embed="rId69"/>
        <a:stretch/>
      </xdr:blipFill>
      <xdr:spPr>
        <a:xfrm>
          <a:off x="5605920" y="142313400"/>
          <a:ext cx="1170720" cy="1173240"/>
        </a:xfrm>
        <a:prstGeom prst="rect">
          <a:avLst/>
        </a:prstGeom>
        <a:noFill/>
        <a:ln w="9525">
          <a:noFill/>
        </a:ln>
      </xdr:spPr>
    </xdr:pic>
    <xdr:clientData/>
  </xdr:twoCellAnchor>
  <xdr:twoCellAnchor editAs="twoCell">
    <xdr:from>
      <xdr:col>0</xdr:col>
      <xdr:colOff>10080</xdr:colOff>
      <xdr:row>121</xdr:row>
      <xdr:rowOff>5760</xdr:rowOff>
    </xdr:from>
    <xdr:to>
      <xdr:col>0</xdr:col>
      <xdr:colOff>837360</xdr:colOff>
      <xdr:row>121</xdr:row>
      <xdr:rowOff>297000</xdr:rowOff>
    </xdr:to>
    <xdr:pic>
      <xdr:nvPicPr>
        <xdr:cNvPr id="622" name="图片 124" descr="快充"/>
        <xdr:cNvPicPr/>
      </xdr:nvPicPr>
      <xdr:blipFill>
        <a:blip r:embed="rId70"/>
        <a:stretch/>
      </xdr:blipFill>
      <xdr:spPr>
        <a:xfrm>
          <a:off x="10080" y="140715360"/>
          <a:ext cx="827280" cy="291240"/>
        </a:xfrm>
        <a:prstGeom prst="rect">
          <a:avLst/>
        </a:prstGeom>
        <a:noFill/>
        <a:ln w="9525">
          <a:noFill/>
        </a:ln>
      </xdr:spPr>
    </xdr:pic>
    <xdr:clientData/>
  </xdr:twoCellAnchor>
  <xdr:twoCellAnchor editAs="twoCell">
    <xdr:from>
      <xdr:col>0</xdr:col>
      <xdr:colOff>10080</xdr:colOff>
      <xdr:row>122</xdr:row>
      <xdr:rowOff>5760</xdr:rowOff>
    </xdr:from>
    <xdr:to>
      <xdr:col>0</xdr:col>
      <xdr:colOff>837360</xdr:colOff>
      <xdr:row>122</xdr:row>
      <xdr:rowOff>297000</xdr:rowOff>
    </xdr:to>
    <xdr:pic>
      <xdr:nvPicPr>
        <xdr:cNvPr id="623" name="图片 138" descr="快充"/>
        <xdr:cNvPicPr/>
      </xdr:nvPicPr>
      <xdr:blipFill>
        <a:blip r:embed="rId71"/>
        <a:stretch/>
      </xdr:blipFill>
      <xdr:spPr>
        <a:xfrm>
          <a:off x="10080" y="142175880"/>
          <a:ext cx="827280" cy="291240"/>
        </a:xfrm>
        <a:prstGeom prst="rect">
          <a:avLst/>
        </a:prstGeom>
        <a:noFill/>
        <a:ln w="9525">
          <a:noFill/>
        </a:ln>
      </xdr:spPr>
    </xdr:pic>
    <xdr:clientData/>
  </xdr:twoCellAnchor>
  <xdr:twoCellAnchor editAs="twoCell">
    <xdr:from>
      <xdr:col>0</xdr:col>
      <xdr:colOff>10080</xdr:colOff>
      <xdr:row>123</xdr:row>
      <xdr:rowOff>5760</xdr:rowOff>
    </xdr:from>
    <xdr:to>
      <xdr:col>0</xdr:col>
      <xdr:colOff>837360</xdr:colOff>
      <xdr:row>123</xdr:row>
      <xdr:rowOff>297000</xdr:rowOff>
    </xdr:to>
    <xdr:pic>
      <xdr:nvPicPr>
        <xdr:cNvPr id="624" name="图片 149" descr="快充"/>
        <xdr:cNvPicPr/>
      </xdr:nvPicPr>
      <xdr:blipFill>
        <a:blip r:embed="rId72"/>
        <a:stretch/>
      </xdr:blipFill>
      <xdr:spPr>
        <a:xfrm>
          <a:off x="10080" y="143636400"/>
          <a:ext cx="827280" cy="291240"/>
        </a:xfrm>
        <a:prstGeom prst="rect">
          <a:avLst/>
        </a:prstGeom>
        <a:noFill/>
        <a:ln w="9525">
          <a:noFill/>
        </a:ln>
      </xdr:spPr>
    </xdr:pic>
    <xdr:clientData/>
  </xdr:twoCellAnchor>
  <xdr:twoCellAnchor editAs="oneCell">
    <xdr:from>
      <xdr:col>1</xdr:col>
      <xdr:colOff>38160</xdr:colOff>
      <xdr:row>72</xdr:row>
      <xdr:rowOff>143640</xdr:rowOff>
    </xdr:from>
    <xdr:to>
      <xdr:col>1</xdr:col>
      <xdr:colOff>1208880</xdr:colOff>
      <xdr:row>72</xdr:row>
      <xdr:rowOff>1316160</xdr:rowOff>
    </xdr:to>
    <xdr:pic>
      <xdr:nvPicPr>
        <xdr:cNvPr id="625" name="图片 195" descr="2"/>
        <xdr:cNvPicPr/>
      </xdr:nvPicPr>
      <xdr:blipFill>
        <a:blip r:embed="rId73"/>
        <a:stretch/>
      </xdr:blipFill>
      <xdr:spPr>
        <a:xfrm>
          <a:off x="4039920" y="71800200"/>
          <a:ext cx="1170720" cy="1172520"/>
        </a:xfrm>
        <a:prstGeom prst="rect">
          <a:avLst/>
        </a:prstGeom>
        <a:noFill/>
        <a:ln w="9525">
          <a:noFill/>
        </a:ln>
      </xdr:spPr>
    </xdr:pic>
    <xdr:clientData/>
  </xdr:twoCellAnchor>
  <xdr:twoCellAnchor editAs="oneCell">
    <xdr:from>
      <xdr:col>2</xdr:col>
      <xdr:colOff>38160</xdr:colOff>
      <xdr:row>72</xdr:row>
      <xdr:rowOff>143280</xdr:rowOff>
    </xdr:from>
    <xdr:to>
      <xdr:col>2</xdr:col>
      <xdr:colOff>1208880</xdr:colOff>
      <xdr:row>72</xdr:row>
      <xdr:rowOff>1316520</xdr:rowOff>
    </xdr:to>
    <xdr:pic>
      <xdr:nvPicPr>
        <xdr:cNvPr id="626" name="图片 196" descr="9"/>
        <xdr:cNvPicPr/>
      </xdr:nvPicPr>
      <xdr:blipFill>
        <a:blip r:embed="rId74"/>
        <a:stretch/>
      </xdr:blipFill>
      <xdr:spPr>
        <a:xfrm>
          <a:off x="5605920" y="71799840"/>
          <a:ext cx="1170720" cy="1173240"/>
        </a:xfrm>
        <a:prstGeom prst="rect">
          <a:avLst/>
        </a:prstGeom>
        <a:noFill/>
        <a:ln w="9525">
          <a:noFill/>
        </a:ln>
      </xdr:spPr>
    </xdr:pic>
    <xdr:clientData/>
  </xdr:twoCellAnchor>
  <xdr:twoCellAnchor editAs="oneCell">
    <xdr:from>
      <xdr:col>1</xdr:col>
      <xdr:colOff>38160</xdr:colOff>
      <xdr:row>73</xdr:row>
      <xdr:rowOff>145800</xdr:rowOff>
    </xdr:from>
    <xdr:to>
      <xdr:col>1</xdr:col>
      <xdr:colOff>1208880</xdr:colOff>
      <xdr:row>73</xdr:row>
      <xdr:rowOff>1313640</xdr:rowOff>
    </xdr:to>
    <xdr:pic>
      <xdr:nvPicPr>
        <xdr:cNvPr id="627" name="图片 201" descr="2"/>
        <xdr:cNvPicPr/>
      </xdr:nvPicPr>
      <xdr:blipFill>
        <a:blip r:embed="rId75"/>
        <a:stretch/>
      </xdr:blipFill>
      <xdr:spPr>
        <a:xfrm>
          <a:off x="4039920" y="73262880"/>
          <a:ext cx="1170720" cy="1167840"/>
        </a:xfrm>
        <a:prstGeom prst="rect">
          <a:avLst/>
        </a:prstGeom>
        <a:noFill/>
        <a:ln w="9525">
          <a:noFill/>
        </a:ln>
      </xdr:spPr>
    </xdr:pic>
    <xdr:clientData/>
  </xdr:twoCellAnchor>
  <xdr:twoCellAnchor editAs="oneCell">
    <xdr:from>
      <xdr:col>2</xdr:col>
      <xdr:colOff>38160</xdr:colOff>
      <xdr:row>73</xdr:row>
      <xdr:rowOff>144000</xdr:rowOff>
    </xdr:from>
    <xdr:to>
      <xdr:col>2</xdr:col>
      <xdr:colOff>1208880</xdr:colOff>
      <xdr:row>73</xdr:row>
      <xdr:rowOff>1315440</xdr:rowOff>
    </xdr:to>
    <xdr:pic>
      <xdr:nvPicPr>
        <xdr:cNvPr id="628" name="图片 215" descr="9"/>
        <xdr:cNvPicPr/>
      </xdr:nvPicPr>
      <xdr:blipFill>
        <a:blip r:embed="rId76"/>
        <a:stretch/>
      </xdr:blipFill>
      <xdr:spPr>
        <a:xfrm>
          <a:off x="5605920" y="73261080"/>
          <a:ext cx="1170720" cy="1171440"/>
        </a:xfrm>
        <a:prstGeom prst="rect">
          <a:avLst/>
        </a:prstGeom>
        <a:noFill/>
        <a:ln w="9525">
          <a:noFill/>
        </a:ln>
      </xdr:spPr>
    </xdr:pic>
    <xdr:clientData/>
  </xdr:twoCellAnchor>
  <xdr:twoCellAnchor editAs="oneCell">
    <xdr:from>
      <xdr:col>1</xdr:col>
      <xdr:colOff>38160</xdr:colOff>
      <xdr:row>74</xdr:row>
      <xdr:rowOff>145800</xdr:rowOff>
    </xdr:from>
    <xdr:to>
      <xdr:col>1</xdr:col>
      <xdr:colOff>1208880</xdr:colOff>
      <xdr:row>74</xdr:row>
      <xdr:rowOff>1313640</xdr:rowOff>
    </xdr:to>
    <xdr:pic>
      <xdr:nvPicPr>
        <xdr:cNvPr id="629" name="图片 221" descr="2"/>
        <xdr:cNvPicPr/>
      </xdr:nvPicPr>
      <xdr:blipFill>
        <a:blip r:embed="rId77"/>
        <a:stretch/>
      </xdr:blipFill>
      <xdr:spPr>
        <a:xfrm>
          <a:off x="4039920" y="74723400"/>
          <a:ext cx="1170720" cy="1167840"/>
        </a:xfrm>
        <a:prstGeom prst="rect">
          <a:avLst/>
        </a:prstGeom>
        <a:noFill/>
        <a:ln w="9525">
          <a:noFill/>
        </a:ln>
      </xdr:spPr>
    </xdr:pic>
    <xdr:clientData/>
  </xdr:twoCellAnchor>
  <xdr:twoCellAnchor editAs="oneCell">
    <xdr:from>
      <xdr:col>2</xdr:col>
      <xdr:colOff>38160</xdr:colOff>
      <xdr:row>74</xdr:row>
      <xdr:rowOff>144000</xdr:rowOff>
    </xdr:from>
    <xdr:to>
      <xdr:col>2</xdr:col>
      <xdr:colOff>1208880</xdr:colOff>
      <xdr:row>74</xdr:row>
      <xdr:rowOff>1315440</xdr:rowOff>
    </xdr:to>
    <xdr:pic>
      <xdr:nvPicPr>
        <xdr:cNvPr id="630" name="图片 222" descr="9"/>
        <xdr:cNvPicPr/>
      </xdr:nvPicPr>
      <xdr:blipFill>
        <a:blip r:embed="rId78"/>
        <a:stretch/>
      </xdr:blipFill>
      <xdr:spPr>
        <a:xfrm>
          <a:off x="5605920" y="74721600"/>
          <a:ext cx="1170720" cy="1171440"/>
        </a:xfrm>
        <a:prstGeom prst="rect">
          <a:avLst/>
        </a:prstGeom>
        <a:noFill/>
        <a:ln w="9525">
          <a:noFill/>
        </a:ln>
      </xdr:spPr>
    </xdr:pic>
    <xdr:clientData/>
  </xdr:twoCellAnchor>
  <xdr:twoCellAnchor editAs="oneCell">
    <xdr:from>
      <xdr:col>1</xdr:col>
      <xdr:colOff>38160</xdr:colOff>
      <xdr:row>75</xdr:row>
      <xdr:rowOff>145800</xdr:rowOff>
    </xdr:from>
    <xdr:to>
      <xdr:col>1</xdr:col>
      <xdr:colOff>1208880</xdr:colOff>
      <xdr:row>75</xdr:row>
      <xdr:rowOff>1313640</xdr:rowOff>
    </xdr:to>
    <xdr:pic>
      <xdr:nvPicPr>
        <xdr:cNvPr id="631" name="图片 228" descr="2"/>
        <xdr:cNvPicPr/>
      </xdr:nvPicPr>
      <xdr:blipFill>
        <a:blip r:embed="rId79"/>
        <a:stretch/>
      </xdr:blipFill>
      <xdr:spPr>
        <a:xfrm>
          <a:off x="4039920" y="76183920"/>
          <a:ext cx="1170720" cy="1167840"/>
        </a:xfrm>
        <a:prstGeom prst="rect">
          <a:avLst/>
        </a:prstGeom>
        <a:noFill/>
        <a:ln w="9525">
          <a:noFill/>
        </a:ln>
      </xdr:spPr>
    </xdr:pic>
    <xdr:clientData/>
  </xdr:twoCellAnchor>
  <xdr:twoCellAnchor editAs="oneCell">
    <xdr:from>
      <xdr:col>2</xdr:col>
      <xdr:colOff>38160</xdr:colOff>
      <xdr:row>75</xdr:row>
      <xdr:rowOff>144000</xdr:rowOff>
    </xdr:from>
    <xdr:to>
      <xdr:col>2</xdr:col>
      <xdr:colOff>1208880</xdr:colOff>
      <xdr:row>75</xdr:row>
      <xdr:rowOff>1315440</xdr:rowOff>
    </xdr:to>
    <xdr:pic>
      <xdr:nvPicPr>
        <xdr:cNvPr id="632" name="图片 229" descr="9"/>
        <xdr:cNvPicPr/>
      </xdr:nvPicPr>
      <xdr:blipFill>
        <a:blip r:embed="rId80"/>
        <a:stretch/>
      </xdr:blipFill>
      <xdr:spPr>
        <a:xfrm>
          <a:off x="5605920" y="76182120"/>
          <a:ext cx="1170720" cy="1171440"/>
        </a:xfrm>
        <a:prstGeom prst="rect">
          <a:avLst/>
        </a:prstGeom>
        <a:noFill/>
        <a:ln w="9525">
          <a:noFill/>
        </a:ln>
      </xdr:spPr>
    </xdr:pic>
    <xdr:clientData/>
  </xdr:twoCellAnchor>
  <xdr:twoCellAnchor editAs="oneCell">
    <xdr:from>
      <xdr:col>1</xdr:col>
      <xdr:colOff>38160</xdr:colOff>
      <xdr:row>76</xdr:row>
      <xdr:rowOff>145800</xdr:rowOff>
    </xdr:from>
    <xdr:to>
      <xdr:col>1</xdr:col>
      <xdr:colOff>1208880</xdr:colOff>
      <xdr:row>76</xdr:row>
      <xdr:rowOff>1313640</xdr:rowOff>
    </xdr:to>
    <xdr:pic>
      <xdr:nvPicPr>
        <xdr:cNvPr id="633" name="图片 230" descr="1"/>
        <xdr:cNvPicPr/>
      </xdr:nvPicPr>
      <xdr:blipFill>
        <a:blip r:embed="rId81"/>
        <a:stretch/>
      </xdr:blipFill>
      <xdr:spPr>
        <a:xfrm>
          <a:off x="4039920" y="77644440"/>
          <a:ext cx="1170720" cy="1167840"/>
        </a:xfrm>
        <a:prstGeom prst="rect">
          <a:avLst/>
        </a:prstGeom>
        <a:noFill/>
        <a:ln w="9525">
          <a:noFill/>
        </a:ln>
      </xdr:spPr>
    </xdr:pic>
    <xdr:clientData/>
  </xdr:twoCellAnchor>
  <xdr:twoCellAnchor editAs="oneCell">
    <xdr:from>
      <xdr:col>2</xdr:col>
      <xdr:colOff>38160</xdr:colOff>
      <xdr:row>76</xdr:row>
      <xdr:rowOff>144000</xdr:rowOff>
    </xdr:from>
    <xdr:to>
      <xdr:col>2</xdr:col>
      <xdr:colOff>1208880</xdr:colOff>
      <xdr:row>76</xdr:row>
      <xdr:rowOff>1315440</xdr:rowOff>
    </xdr:to>
    <xdr:pic>
      <xdr:nvPicPr>
        <xdr:cNvPr id="634" name="图片 231" descr="9"/>
        <xdr:cNvPicPr/>
      </xdr:nvPicPr>
      <xdr:blipFill>
        <a:blip r:embed="rId82"/>
        <a:stretch/>
      </xdr:blipFill>
      <xdr:spPr>
        <a:xfrm>
          <a:off x="5605920" y="77642640"/>
          <a:ext cx="1170720" cy="1171440"/>
        </a:xfrm>
        <a:prstGeom prst="rect">
          <a:avLst/>
        </a:prstGeom>
        <a:noFill/>
        <a:ln w="9525">
          <a:noFill/>
        </a:ln>
      </xdr:spPr>
    </xdr:pic>
    <xdr:clientData/>
  </xdr:twoCellAnchor>
  <xdr:twoCellAnchor editAs="oneCell">
    <xdr:from>
      <xdr:col>1</xdr:col>
      <xdr:colOff>38160</xdr:colOff>
      <xdr:row>77</xdr:row>
      <xdr:rowOff>145800</xdr:rowOff>
    </xdr:from>
    <xdr:to>
      <xdr:col>1</xdr:col>
      <xdr:colOff>1208880</xdr:colOff>
      <xdr:row>77</xdr:row>
      <xdr:rowOff>1313640</xdr:rowOff>
    </xdr:to>
    <xdr:pic>
      <xdr:nvPicPr>
        <xdr:cNvPr id="635" name="图片 232" descr="1"/>
        <xdr:cNvPicPr/>
      </xdr:nvPicPr>
      <xdr:blipFill>
        <a:blip r:embed="rId83"/>
        <a:stretch/>
      </xdr:blipFill>
      <xdr:spPr>
        <a:xfrm>
          <a:off x="4039920" y="79104960"/>
          <a:ext cx="1170720" cy="1167840"/>
        </a:xfrm>
        <a:prstGeom prst="rect">
          <a:avLst/>
        </a:prstGeom>
        <a:noFill/>
        <a:ln w="9525">
          <a:noFill/>
        </a:ln>
      </xdr:spPr>
    </xdr:pic>
    <xdr:clientData/>
  </xdr:twoCellAnchor>
  <xdr:twoCellAnchor editAs="oneCell">
    <xdr:from>
      <xdr:col>2</xdr:col>
      <xdr:colOff>38160</xdr:colOff>
      <xdr:row>77</xdr:row>
      <xdr:rowOff>144000</xdr:rowOff>
    </xdr:from>
    <xdr:to>
      <xdr:col>2</xdr:col>
      <xdr:colOff>1208880</xdr:colOff>
      <xdr:row>77</xdr:row>
      <xdr:rowOff>1315440</xdr:rowOff>
    </xdr:to>
    <xdr:pic>
      <xdr:nvPicPr>
        <xdr:cNvPr id="636" name="图片 245" descr="9"/>
        <xdr:cNvPicPr/>
      </xdr:nvPicPr>
      <xdr:blipFill>
        <a:blip r:embed="rId84"/>
        <a:stretch/>
      </xdr:blipFill>
      <xdr:spPr>
        <a:xfrm>
          <a:off x="5605920" y="79103160"/>
          <a:ext cx="1170720" cy="1171440"/>
        </a:xfrm>
        <a:prstGeom prst="rect">
          <a:avLst/>
        </a:prstGeom>
        <a:noFill/>
        <a:ln w="9525">
          <a:noFill/>
        </a:ln>
      </xdr:spPr>
    </xdr:pic>
    <xdr:clientData/>
  </xdr:twoCellAnchor>
  <xdr:twoCellAnchor editAs="oneCell">
    <xdr:from>
      <xdr:col>1</xdr:col>
      <xdr:colOff>38160</xdr:colOff>
      <xdr:row>78</xdr:row>
      <xdr:rowOff>145800</xdr:rowOff>
    </xdr:from>
    <xdr:to>
      <xdr:col>1</xdr:col>
      <xdr:colOff>1208880</xdr:colOff>
      <xdr:row>78</xdr:row>
      <xdr:rowOff>1313640</xdr:rowOff>
    </xdr:to>
    <xdr:pic>
      <xdr:nvPicPr>
        <xdr:cNvPr id="637" name="图片 246" descr="2"/>
        <xdr:cNvPicPr/>
      </xdr:nvPicPr>
      <xdr:blipFill>
        <a:blip r:embed="rId85"/>
        <a:stretch/>
      </xdr:blipFill>
      <xdr:spPr>
        <a:xfrm>
          <a:off x="4039920" y="80565480"/>
          <a:ext cx="1170720" cy="1167840"/>
        </a:xfrm>
        <a:prstGeom prst="rect">
          <a:avLst/>
        </a:prstGeom>
        <a:noFill/>
        <a:ln w="9525">
          <a:noFill/>
        </a:ln>
      </xdr:spPr>
    </xdr:pic>
    <xdr:clientData/>
  </xdr:twoCellAnchor>
  <xdr:twoCellAnchor editAs="oneCell">
    <xdr:from>
      <xdr:col>2</xdr:col>
      <xdr:colOff>38160</xdr:colOff>
      <xdr:row>78</xdr:row>
      <xdr:rowOff>144000</xdr:rowOff>
    </xdr:from>
    <xdr:to>
      <xdr:col>2</xdr:col>
      <xdr:colOff>1208880</xdr:colOff>
      <xdr:row>78</xdr:row>
      <xdr:rowOff>1315440</xdr:rowOff>
    </xdr:to>
    <xdr:pic>
      <xdr:nvPicPr>
        <xdr:cNvPr id="638" name="图片 247" descr="9"/>
        <xdr:cNvPicPr/>
      </xdr:nvPicPr>
      <xdr:blipFill>
        <a:blip r:embed="rId86"/>
        <a:stretch/>
      </xdr:blipFill>
      <xdr:spPr>
        <a:xfrm>
          <a:off x="5605920" y="80563680"/>
          <a:ext cx="1170720" cy="1171440"/>
        </a:xfrm>
        <a:prstGeom prst="rect">
          <a:avLst/>
        </a:prstGeom>
        <a:noFill/>
        <a:ln w="9525">
          <a:noFill/>
        </a:ln>
      </xdr:spPr>
    </xdr:pic>
    <xdr:clientData/>
  </xdr:twoCellAnchor>
  <xdr:twoCellAnchor editAs="twoCell">
    <xdr:from>
      <xdr:col>0</xdr:col>
      <xdr:colOff>10080</xdr:colOff>
      <xdr:row>72</xdr:row>
      <xdr:rowOff>5760</xdr:rowOff>
    </xdr:from>
    <xdr:to>
      <xdr:col>0</xdr:col>
      <xdr:colOff>837360</xdr:colOff>
      <xdr:row>72</xdr:row>
      <xdr:rowOff>297000</xdr:rowOff>
    </xdr:to>
    <xdr:pic>
      <xdr:nvPicPr>
        <xdr:cNvPr id="639" name="图片 261" descr="快充"/>
        <xdr:cNvPicPr/>
      </xdr:nvPicPr>
      <xdr:blipFill>
        <a:blip r:embed="rId87"/>
        <a:stretch/>
      </xdr:blipFill>
      <xdr:spPr>
        <a:xfrm>
          <a:off x="10080" y="71662320"/>
          <a:ext cx="827280" cy="291240"/>
        </a:xfrm>
        <a:prstGeom prst="rect">
          <a:avLst/>
        </a:prstGeom>
        <a:noFill/>
        <a:ln w="9525">
          <a:noFill/>
        </a:ln>
      </xdr:spPr>
    </xdr:pic>
    <xdr:clientData/>
  </xdr:twoCellAnchor>
  <xdr:twoCellAnchor editAs="twoCell">
    <xdr:from>
      <xdr:col>0</xdr:col>
      <xdr:colOff>10080</xdr:colOff>
      <xdr:row>73</xdr:row>
      <xdr:rowOff>5760</xdr:rowOff>
    </xdr:from>
    <xdr:to>
      <xdr:col>0</xdr:col>
      <xdr:colOff>837360</xdr:colOff>
      <xdr:row>73</xdr:row>
      <xdr:rowOff>297000</xdr:rowOff>
    </xdr:to>
    <xdr:pic>
      <xdr:nvPicPr>
        <xdr:cNvPr id="640" name="图片 285" descr="快充"/>
        <xdr:cNvPicPr/>
      </xdr:nvPicPr>
      <xdr:blipFill>
        <a:blip r:embed="rId88"/>
        <a:stretch/>
      </xdr:blipFill>
      <xdr:spPr>
        <a:xfrm>
          <a:off x="10080" y="73122840"/>
          <a:ext cx="827280" cy="291240"/>
        </a:xfrm>
        <a:prstGeom prst="rect">
          <a:avLst/>
        </a:prstGeom>
        <a:noFill/>
        <a:ln w="9525">
          <a:noFill/>
        </a:ln>
      </xdr:spPr>
    </xdr:pic>
    <xdr:clientData/>
  </xdr:twoCellAnchor>
  <xdr:twoCellAnchor editAs="twoCell">
    <xdr:from>
      <xdr:col>0</xdr:col>
      <xdr:colOff>10080</xdr:colOff>
      <xdr:row>74</xdr:row>
      <xdr:rowOff>5760</xdr:rowOff>
    </xdr:from>
    <xdr:to>
      <xdr:col>0</xdr:col>
      <xdr:colOff>837360</xdr:colOff>
      <xdr:row>74</xdr:row>
      <xdr:rowOff>297000</xdr:rowOff>
    </xdr:to>
    <xdr:pic>
      <xdr:nvPicPr>
        <xdr:cNvPr id="641" name="图片 291" descr="快充"/>
        <xdr:cNvPicPr/>
      </xdr:nvPicPr>
      <xdr:blipFill>
        <a:blip r:embed="rId89"/>
        <a:stretch/>
      </xdr:blipFill>
      <xdr:spPr>
        <a:xfrm>
          <a:off x="10080" y="74583360"/>
          <a:ext cx="827280" cy="291240"/>
        </a:xfrm>
        <a:prstGeom prst="rect">
          <a:avLst/>
        </a:prstGeom>
        <a:noFill/>
        <a:ln w="9525">
          <a:noFill/>
        </a:ln>
      </xdr:spPr>
    </xdr:pic>
    <xdr:clientData/>
  </xdr:twoCellAnchor>
  <xdr:twoCellAnchor editAs="twoCell">
    <xdr:from>
      <xdr:col>0</xdr:col>
      <xdr:colOff>10080</xdr:colOff>
      <xdr:row>75</xdr:row>
      <xdr:rowOff>5760</xdr:rowOff>
    </xdr:from>
    <xdr:to>
      <xdr:col>0</xdr:col>
      <xdr:colOff>837360</xdr:colOff>
      <xdr:row>75</xdr:row>
      <xdr:rowOff>297000</xdr:rowOff>
    </xdr:to>
    <xdr:pic>
      <xdr:nvPicPr>
        <xdr:cNvPr id="642" name="图片 315" descr="快充"/>
        <xdr:cNvPicPr/>
      </xdr:nvPicPr>
      <xdr:blipFill>
        <a:blip r:embed="rId90"/>
        <a:stretch/>
      </xdr:blipFill>
      <xdr:spPr>
        <a:xfrm>
          <a:off x="10080" y="76043880"/>
          <a:ext cx="827280" cy="291240"/>
        </a:xfrm>
        <a:prstGeom prst="rect">
          <a:avLst/>
        </a:prstGeom>
        <a:noFill/>
        <a:ln w="9525">
          <a:noFill/>
        </a:ln>
      </xdr:spPr>
    </xdr:pic>
    <xdr:clientData/>
  </xdr:twoCellAnchor>
  <xdr:twoCellAnchor editAs="twoCell">
    <xdr:from>
      <xdr:col>0</xdr:col>
      <xdr:colOff>10080</xdr:colOff>
      <xdr:row>76</xdr:row>
      <xdr:rowOff>5760</xdr:rowOff>
    </xdr:from>
    <xdr:to>
      <xdr:col>0</xdr:col>
      <xdr:colOff>837360</xdr:colOff>
      <xdr:row>76</xdr:row>
      <xdr:rowOff>297000</xdr:rowOff>
    </xdr:to>
    <xdr:pic>
      <xdr:nvPicPr>
        <xdr:cNvPr id="643" name="图片 317" descr="快充"/>
        <xdr:cNvPicPr/>
      </xdr:nvPicPr>
      <xdr:blipFill>
        <a:blip r:embed="rId91"/>
        <a:stretch/>
      </xdr:blipFill>
      <xdr:spPr>
        <a:xfrm>
          <a:off x="10080" y="77504400"/>
          <a:ext cx="827280" cy="291240"/>
        </a:xfrm>
        <a:prstGeom prst="rect">
          <a:avLst/>
        </a:prstGeom>
        <a:noFill/>
        <a:ln w="9525">
          <a:noFill/>
        </a:ln>
      </xdr:spPr>
    </xdr:pic>
    <xdr:clientData/>
  </xdr:twoCellAnchor>
  <xdr:twoCellAnchor editAs="twoCell">
    <xdr:from>
      <xdr:col>0</xdr:col>
      <xdr:colOff>10080</xdr:colOff>
      <xdr:row>77</xdr:row>
      <xdr:rowOff>5760</xdr:rowOff>
    </xdr:from>
    <xdr:to>
      <xdr:col>0</xdr:col>
      <xdr:colOff>837360</xdr:colOff>
      <xdr:row>77</xdr:row>
      <xdr:rowOff>297000</xdr:rowOff>
    </xdr:to>
    <xdr:pic>
      <xdr:nvPicPr>
        <xdr:cNvPr id="644" name="图片 319" descr="快充"/>
        <xdr:cNvPicPr/>
      </xdr:nvPicPr>
      <xdr:blipFill>
        <a:blip r:embed="rId92"/>
        <a:stretch/>
      </xdr:blipFill>
      <xdr:spPr>
        <a:xfrm>
          <a:off x="10080" y="78964920"/>
          <a:ext cx="827280" cy="291240"/>
        </a:xfrm>
        <a:prstGeom prst="rect">
          <a:avLst/>
        </a:prstGeom>
        <a:noFill/>
        <a:ln w="9525">
          <a:noFill/>
        </a:ln>
      </xdr:spPr>
    </xdr:pic>
    <xdr:clientData/>
  </xdr:twoCellAnchor>
  <xdr:twoCellAnchor editAs="oneCell">
    <xdr:from>
      <xdr:col>1</xdr:col>
      <xdr:colOff>38160</xdr:colOff>
      <xdr:row>132</xdr:row>
      <xdr:rowOff>143280</xdr:rowOff>
    </xdr:from>
    <xdr:to>
      <xdr:col>1</xdr:col>
      <xdr:colOff>1208880</xdr:colOff>
      <xdr:row>132</xdr:row>
      <xdr:rowOff>1316520</xdr:rowOff>
    </xdr:to>
    <xdr:pic>
      <xdr:nvPicPr>
        <xdr:cNvPr id="645" name="图片 105" descr="2"/>
        <xdr:cNvPicPr/>
      </xdr:nvPicPr>
      <xdr:blipFill>
        <a:blip r:embed="rId93"/>
        <a:stretch/>
      </xdr:blipFill>
      <xdr:spPr>
        <a:xfrm>
          <a:off x="4039920" y="154124280"/>
          <a:ext cx="1170720" cy="1173240"/>
        </a:xfrm>
        <a:prstGeom prst="rect">
          <a:avLst/>
        </a:prstGeom>
        <a:noFill/>
        <a:ln w="9525">
          <a:noFill/>
        </a:ln>
      </xdr:spPr>
    </xdr:pic>
    <xdr:clientData/>
  </xdr:twoCellAnchor>
  <xdr:twoCellAnchor editAs="oneCell">
    <xdr:from>
      <xdr:col>2</xdr:col>
      <xdr:colOff>38160</xdr:colOff>
      <xdr:row>132</xdr:row>
      <xdr:rowOff>143280</xdr:rowOff>
    </xdr:from>
    <xdr:to>
      <xdr:col>2</xdr:col>
      <xdr:colOff>1208880</xdr:colOff>
      <xdr:row>132</xdr:row>
      <xdr:rowOff>1316520</xdr:rowOff>
    </xdr:to>
    <xdr:pic>
      <xdr:nvPicPr>
        <xdr:cNvPr id="646" name="图片 106" descr="包装1"/>
        <xdr:cNvPicPr/>
      </xdr:nvPicPr>
      <xdr:blipFill>
        <a:blip r:embed="rId94"/>
        <a:stretch/>
      </xdr:blipFill>
      <xdr:spPr>
        <a:xfrm>
          <a:off x="5605920" y="154124280"/>
          <a:ext cx="1170720" cy="1173240"/>
        </a:xfrm>
        <a:prstGeom prst="rect">
          <a:avLst/>
        </a:prstGeom>
        <a:noFill/>
        <a:ln w="9525">
          <a:noFill/>
        </a:ln>
      </xdr:spPr>
    </xdr:pic>
    <xdr:clientData/>
  </xdr:twoCellAnchor>
  <xdr:twoCellAnchor editAs="oneCell">
    <xdr:from>
      <xdr:col>2</xdr:col>
      <xdr:colOff>38160</xdr:colOff>
      <xdr:row>13</xdr:row>
      <xdr:rowOff>139680</xdr:rowOff>
    </xdr:from>
    <xdr:to>
      <xdr:col>2</xdr:col>
      <xdr:colOff>1208880</xdr:colOff>
      <xdr:row>13</xdr:row>
      <xdr:rowOff>1320480</xdr:rowOff>
    </xdr:to>
    <xdr:pic>
      <xdr:nvPicPr>
        <xdr:cNvPr id="647" name="图片 26" descr="10"/>
        <xdr:cNvPicPr/>
      </xdr:nvPicPr>
      <xdr:blipFill>
        <a:blip r:embed="rId95"/>
        <a:stretch/>
      </xdr:blipFill>
      <xdr:spPr>
        <a:xfrm>
          <a:off x="5605920" y="14681160"/>
          <a:ext cx="1170720" cy="1180800"/>
        </a:xfrm>
        <a:prstGeom prst="rect">
          <a:avLst/>
        </a:prstGeom>
        <a:noFill/>
        <a:ln w="9525">
          <a:noFill/>
        </a:ln>
      </xdr:spPr>
    </xdr:pic>
    <xdr:clientData/>
  </xdr:twoCellAnchor>
  <xdr:twoCellAnchor editAs="oneCell">
    <xdr:from>
      <xdr:col>2</xdr:col>
      <xdr:colOff>38160</xdr:colOff>
      <xdr:row>14</xdr:row>
      <xdr:rowOff>144360</xdr:rowOff>
    </xdr:from>
    <xdr:to>
      <xdr:col>2</xdr:col>
      <xdr:colOff>1208880</xdr:colOff>
      <xdr:row>14</xdr:row>
      <xdr:rowOff>1315080</xdr:rowOff>
    </xdr:to>
    <xdr:pic>
      <xdr:nvPicPr>
        <xdr:cNvPr id="648" name="图片 151" descr="7"/>
        <xdr:cNvPicPr/>
      </xdr:nvPicPr>
      <xdr:blipFill>
        <a:blip r:embed="rId96"/>
        <a:stretch/>
      </xdr:blipFill>
      <xdr:spPr>
        <a:xfrm>
          <a:off x="5605920" y="16146360"/>
          <a:ext cx="1170720" cy="1170720"/>
        </a:xfrm>
        <a:prstGeom prst="rect">
          <a:avLst/>
        </a:prstGeom>
        <a:noFill/>
        <a:ln w="9525">
          <a:noFill/>
        </a:ln>
      </xdr:spPr>
    </xdr:pic>
    <xdr:clientData/>
  </xdr:twoCellAnchor>
  <xdr:twoCellAnchor editAs="oneCell">
    <xdr:from>
      <xdr:col>2</xdr:col>
      <xdr:colOff>38160</xdr:colOff>
      <xdr:row>15</xdr:row>
      <xdr:rowOff>141480</xdr:rowOff>
    </xdr:from>
    <xdr:to>
      <xdr:col>2</xdr:col>
      <xdr:colOff>1208880</xdr:colOff>
      <xdr:row>15</xdr:row>
      <xdr:rowOff>1317960</xdr:rowOff>
    </xdr:to>
    <xdr:pic>
      <xdr:nvPicPr>
        <xdr:cNvPr id="649" name="图片 164" descr="6"/>
        <xdr:cNvPicPr/>
      </xdr:nvPicPr>
      <xdr:blipFill>
        <a:blip r:embed="rId97"/>
        <a:stretch/>
      </xdr:blipFill>
      <xdr:spPr>
        <a:xfrm>
          <a:off x="5605920" y="17604000"/>
          <a:ext cx="1170720" cy="1176480"/>
        </a:xfrm>
        <a:prstGeom prst="rect">
          <a:avLst/>
        </a:prstGeom>
        <a:noFill/>
        <a:ln w="9525">
          <a:noFill/>
        </a:ln>
      </xdr:spPr>
    </xdr:pic>
    <xdr:clientData/>
  </xdr:twoCellAnchor>
  <xdr:twoCellAnchor editAs="oneCell">
    <xdr:from>
      <xdr:col>1</xdr:col>
      <xdr:colOff>38160</xdr:colOff>
      <xdr:row>13</xdr:row>
      <xdr:rowOff>140760</xdr:rowOff>
    </xdr:from>
    <xdr:to>
      <xdr:col>1</xdr:col>
      <xdr:colOff>1208880</xdr:colOff>
      <xdr:row>13</xdr:row>
      <xdr:rowOff>1319040</xdr:rowOff>
    </xdr:to>
    <xdr:pic>
      <xdr:nvPicPr>
        <xdr:cNvPr id="650" name="图片 300" descr="1"/>
        <xdr:cNvPicPr/>
      </xdr:nvPicPr>
      <xdr:blipFill>
        <a:blip r:embed="rId98"/>
        <a:stretch/>
      </xdr:blipFill>
      <xdr:spPr>
        <a:xfrm>
          <a:off x="4039920" y="14682240"/>
          <a:ext cx="1170720" cy="1178280"/>
        </a:xfrm>
        <a:prstGeom prst="rect">
          <a:avLst/>
        </a:prstGeom>
        <a:noFill/>
        <a:ln w="9525">
          <a:noFill/>
        </a:ln>
      </xdr:spPr>
    </xdr:pic>
    <xdr:clientData/>
  </xdr:twoCellAnchor>
  <xdr:twoCellAnchor editAs="oneCell">
    <xdr:from>
      <xdr:col>1</xdr:col>
      <xdr:colOff>38160</xdr:colOff>
      <xdr:row>14</xdr:row>
      <xdr:rowOff>143640</xdr:rowOff>
    </xdr:from>
    <xdr:to>
      <xdr:col>1</xdr:col>
      <xdr:colOff>1208880</xdr:colOff>
      <xdr:row>14</xdr:row>
      <xdr:rowOff>1316160</xdr:rowOff>
    </xdr:to>
    <xdr:pic>
      <xdr:nvPicPr>
        <xdr:cNvPr id="651" name="图片 372" descr="1"/>
        <xdr:cNvPicPr/>
      </xdr:nvPicPr>
      <xdr:blipFill>
        <a:blip r:embed="rId99"/>
        <a:stretch/>
      </xdr:blipFill>
      <xdr:spPr>
        <a:xfrm>
          <a:off x="4039920" y="16145640"/>
          <a:ext cx="1170720" cy="1172520"/>
        </a:xfrm>
        <a:prstGeom prst="rect">
          <a:avLst/>
        </a:prstGeom>
        <a:noFill/>
        <a:ln w="9525">
          <a:noFill/>
        </a:ln>
      </xdr:spPr>
    </xdr:pic>
    <xdr:clientData/>
  </xdr:twoCellAnchor>
  <xdr:twoCellAnchor editAs="oneCell">
    <xdr:from>
      <xdr:col>1</xdr:col>
      <xdr:colOff>38160</xdr:colOff>
      <xdr:row>15</xdr:row>
      <xdr:rowOff>143640</xdr:rowOff>
    </xdr:from>
    <xdr:to>
      <xdr:col>1</xdr:col>
      <xdr:colOff>1208880</xdr:colOff>
      <xdr:row>15</xdr:row>
      <xdr:rowOff>1316160</xdr:rowOff>
    </xdr:to>
    <xdr:pic>
      <xdr:nvPicPr>
        <xdr:cNvPr id="652" name="图片 385" descr="1"/>
        <xdr:cNvPicPr/>
      </xdr:nvPicPr>
      <xdr:blipFill>
        <a:blip r:embed="rId100"/>
        <a:stretch/>
      </xdr:blipFill>
      <xdr:spPr>
        <a:xfrm>
          <a:off x="4039920" y="17606160"/>
          <a:ext cx="1170720" cy="1172520"/>
        </a:xfrm>
        <a:prstGeom prst="rect">
          <a:avLst/>
        </a:prstGeom>
        <a:noFill/>
        <a:ln w="9525">
          <a:noFill/>
        </a:ln>
      </xdr:spPr>
    </xdr:pic>
    <xdr:clientData/>
  </xdr:twoCellAnchor>
  <xdr:twoCellAnchor editAs="twoCell">
    <xdr:from>
      <xdr:col>0</xdr:col>
      <xdr:colOff>10080</xdr:colOff>
      <xdr:row>15</xdr:row>
      <xdr:rowOff>5760</xdr:rowOff>
    </xdr:from>
    <xdr:to>
      <xdr:col>0</xdr:col>
      <xdr:colOff>837360</xdr:colOff>
      <xdr:row>15</xdr:row>
      <xdr:rowOff>297000</xdr:rowOff>
    </xdr:to>
    <xdr:pic>
      <xdr:nvPicPr>
        <xdr:cNvPr id="653" name="图片 602" descr="快充"/>
        <xdr:cNvPicPr/>
      </xdr:nvPicPr>
      <xdr:blipFill>
        <a:blip r:embed="rId101"/>
        <a:stretch/>
      </xdr:blipFill>
      <xdr:spPr>
        <a:xfrm>
          <a:off x="10080" y="17468280"/>
          <a:ext cx="827280" cy="291240"/>
        </a:xfrm>
        <a:prstGeom prst="rect">
          <a:avLst/>
        </a:prstGeom>
        <a:noFill/>
        <a:ln w="9525">
          <a:noFill/>
        </a:ln>
      </xdr:spPr>
    </xdr:pic>
    <xdr:clientData/>
  </xdr:twoCellAnchor>
  <xdr:twoCellAnchor editAs="twoCell">
    <xdr:from>
      <xdr:col>0</xdr:col>
      <xdr:colOff>10080</xdr:colOff>
      <xdr:row>14</xdr:row>
      <xdr:rowOff>5760</xdr:rowOff>
    </xdr:from>
    <xdr:to>
      <xdr:col>0</xdr:col>
      <xdr:colOff>837360</xdr:colOff>
      <xdr:row>14</xdr:row>
      <xdr:rowOff>297000</xdr:rowOff>
    </xdr:to>
    <xdr:pic>
      <xdr:nvPicPr>
        <xdr:cNvPr id="654" name="图片 621" descr="快充"/>
        <xdr:cNvPicPr/>
      </xdr:nvPicPr>
      <xdr:blipFill>
        <a:blip r:embed="rId102"/>
        <a:stretch/>
      </xdr:blipFill>
      <xdr:spPr>
        <a:xfrm>
          <a:off x="10080" y="16007760"/>
          <a:ext cx="827280" cy="291240"/>
        </a:xfrm>
        <a:prstGeom prst="rect">
          <a:avLst/>
        </a:prstGeom>
        <a:noFill/>
        <a:ln w="9525">
          <a:noFill/>
        </a:ln>
      </xdr:spPr>
    </xdr:pic>
    <xdr:clientData/>
  </xdr:twoCellAnchor>
  <xdr:twoCellAnchor editAs="twoCell">
    <xdr:from>
      <xdr:col>0</xdr:col>
      <xdr:colOff>10080</xdr:colOff>
      <xdr:row>13</xdr:row>
      <xdr:rowOff>5760</xdr:rowOff>
    </xdr:from>
    <xdr:to>
      <xdr:col>0</xdr:col>
      <xdr:colOff>837360</xdr:colOff>
      <xdr:row>13</xdr:row>
      <xdr:rowOff>297000</xdr:rowOff>
    </xdr:to>
    <xdr:pic>
      <xdr:nvPicPr>
        <xdr:cNvPr id="655" name="图片 629" descr="快充"/>
        <xdr:cNvPicPr/>
      </xdr:nvPicPr>
      <xdr:blipFill>
        <a:blip r:embed="rId103"/>
        <a:stretch/>
      </xdr:blipFill>
      <xdr:spPr>
        <a:xfrm>
          <a:off x="10080" y="14547240"/>
          <a:ext cx="827280" cy="291240"/>
        </a:xfrm>
        <a:prstGeom prst="rect">
          <a:avLst/>
        </a:prstGeom>
        <a:noFill/>
        <a:ln w="9525">
          <a:noFill/>
        </a:ln>
      </xdr:spPr>
    </xdr:pic>
    <xdr:clientData/>
  </xdr:twoCellAnchor>
  <xdr:twoCellAnchor editAs="twoCell">
    <xdr:from>
      <xdr:col>0</xdr:col>
      <xdr:colOff>10080</xdr:colOff>
      <xdr:row>120</xdr:row>
      <xdr:rowOff>5760</xdr:rowOff>
    </xdr:from>
    <xdr:to>
      <xdr:col>0</xdr:col>
      <xdr:colOff>837360</xdr:colOff>
      <xdr:row>120</xdr:row>
      <xdr:rowOff>297000</xdr:rowOff>
    </xdr:to>
    <xdr:pic>
      <xdr:nvPicPr>
        <xdr:cNvPr id="656" name="图片 702" descr="快充"/>
        <xdr:cNvPicPr/>
      </xdr:nvPicPr>
      <xdr:blipFill>
        <a:blip r:embed="rId104"/>
        <a:stretch/>
      </xdr:blipFill>
      <xdr:spPr>
        <a:xfrm>
          <a:off x="10080" y="139254840"/>
          <a:ext cx="827280" cy="291240"/>
        </a:xfrm>
        <a:prstGeom prst="rect">
          <a:avLst/>
        </a:prstGeom>
        <a:noFill/>
        <a:ln w="9525">
          <a:noFill/>
        </a:ln>
      </xdr:spPr>
    </xdr:pic>
    <xdr:clientData/>
  </xdr:twoCellAnchor>
  <xdr:twoCellAnchor editAs="twoCell">
    <xdr:from>
      <xdr:col>0</xdr:col>
      <xdr:colOff>10080</xdr:colOff>
      <xdr:row>119</xdr:row>
      <xdr:rowOff>5760</xdr:rowOff>
    </xdr:from>
    <xdr:to>
      <xdr:col>0</xdr:col>
      <xdr:colOff>837360</xdr:colOff>
      <xdr:row>119</xdr:row>
      <xdr:rowOff>297000</xdr:rowOff>
    </xdr:to>
    <xdr:pic>
      <xdr:nvPicPr>
        <xdr:cNvPr id="657" name="图片 704" descr="快充"/>
        <xdr:cNvPicPr/>
      </xdr:nvPicPr>
      <xdr:blipFill>
        <a:blip r:embed="rId105"/>
        <a:stretch/>
      </xdr:blipFill>
      <xdr:spPr>
        <a:xfrm>
          <a:off x="10080" y="137794320"/>
          <a:ext cx="827280" cy="291240"/>
        </a:xfrm>
        <a:prstGeom prst="rect">
          <a:avLst/>
        </a:prstGeom>
        <a:noFill/>
        <a:ln w="9525">
          <a:noFill/>
        </a:ln>
      </xdr:spPr>
    </xdr:pic>
    <xdr:clientData/>
  </xdr:twoCellAnchor>
  <xdr:twoCellAnchor editAs="twoCell">
    <xdr:from>
      <xdr:col>0</xdr:col>
      <xdr:colOff>10080</xdr:colOff>
      <xdr:row>16</xdr:row>
      <xdr:rowOff>5760</xdr:rowOff>
    </xdr:from>
    <xdr:to>
      <xdr:col>0</xdr:col>
      <xdr:colOff>893160</xdr:colOff>
      <xdr:row>16</xdr:row>
      <xdr:rowOff>297000</xdr:rowOff>
    </xdr:to>
    <xdr:pic>
      <xdr:nvPicPr>
        <xdr:cNvPr id="658" name="图片 715" descr="快充"/>
        <xdr:cNvPicPr/>
      </xdr:nvPicPr>
      <xdr:blipFill>
        <a:blip r:embed="rId106"/>
        <a:stretch/>
      </xdr:blipFill>
      <xdr:spPr>
        <a:xfrm>
          <a:off x="10080" y="18928800"/>
          <a:ext cx="883080" cy="291240"/>
        </a:xfrm>
        <a:prstGeom prst="rect">
          <a:avLst/>
        </a:prstGeom>
        <a:noFill/>
        <a:ln w="9525">
          <a:noFill/>
        </a:ln>
      </xdr:spPr>
    </xdr:pic>
    <xdr:clientData/>
  </xdr:twoCellAnchor>
  <xdr:twoCellAnchor editAs="oneCell">
    <xdr:from>
      <xdr:col>1</xdr:col>
      <xdr:colOff>38160</xdr:colOff>
      <xdr:row>115</xdr:row>
      <xdr:rowOff>140760</xdr:rowOff>
    </xdr:from>
    <xdr:to>
      <xdr:col>1</xdr:col>
      <xdr:colOff>1208880</xdr:colOff>
      <xdr:row>115</xdr:row>
      <xdr:rowOff>1319040</xdr:rowOff>
    </xdr:to>
    <xdr:pic>
      <xdr:nvPicPr>
        <xdr:cNvPr id="659" name="图片 742" descr="2"/>
        <xdr:cNvPicPr/>
      </xdr:nvPicPr>
      <xdr:blipFill>
        <a:blip r:embed="rId107"/>
        <a:stretch/>
      </xdr:blipFill>
      <xdr:spPr>
        <a:xfrm>
          <a:off x="4039920" y="132087240"/>
          <a:ext cx="1170720" cy="1178280"/>
        </a:xfrm>
        <a:prstGeom prst="rect">
          <a:avLst/>
        </a:prstGeom>
        <a:noFill/>
        <a:ln w="9525">
          <a:noFill/>
        </a:ln>
      </xdr:spPr>
    </xdr:pic>
    <xdr:clientData/>
  </xdr:twoCellAnchor>
  <xdr:twoCellAnchor editAs="oneCell">
    <xdr:from>
      <xdr:col>2</xdr:col>
      <xdr:colOff>38160</xdr:colOff>
      <xdr:row>115</xdr:row>
      <xdr:rowOff>144000</xdr:rowOff>
    </xdr:from>
    <xdr:to>
      <xdr:col>2</xdr:col>
      <xdr:colOff>1208880</xdr:colOff>
      <xdr:row>115</xdr:row>
      <xdr:rowOff>1315440</xdr:rowOff>
    </xdr:to>
    <xdr:pic>
      <xdr:nvPicPr>
        <xdr:cNvPr id="660" name="图片 743" descr="9"/>
        <xdr:cNvPicPr/>
      </xdr:nvPicPr>
      <xdr:blipFill>
        <a:blip r:embed="rId108"/>
        <a:stretch/>
      </xdr:blipFill>
      <xdr:spPr>
        <a:xfrm>
          <a:off x="5605920" y="132090480"/>
          <a:ext cx="1170720" cy="1171440"/>
        </a:xfrm>
        <a:prstGeom prst="rect">
          <a:avLst/>
        </a:prstGeom>
        <a:noFill/>
        <a:ln w="9525">
          <a:noFill/>
        </a:ln>
      </xdr:spPr>
    </xdr:pic>
    <xdr:clientData/>
  </xdr:twoCellAnchor>
  <xdr:twoCellAnchor editAs="oneCell">
    <xdr:from>
      <xdr:col>1</xdr:col>
      <xdr:colOff>38160</xdr:colOff>
      <xdr:row>116</xdr:row>
      <xdr:rowOff>143280</xdr:rowOff>
    </xdr:from>
    <xdr:to>
      <xdr:col>1</xdr:col>
      <xdr:colOff>1208880</xdr:colOff>
      <xdr:row>116</xdr:row>
      <xdr:rowOff>1316520</xdr:rowOff>
    </xdr:to>
    <xdr:pic>
      <xdr:nvPicPr>
        <xdr:cNvPr id="661" name="图片 748" descr="2"/>
        <xdr:cNvPicPr/>
      </xdr:nvPicPr>
      <xdr:blipFill>
        <a:blip r:embed="rId109"/>
        <a:stretch/>
      </xdr:blipFill>
      <xdr:spPr>
        <a:xfrm>
          <a:off x="4039920" y="133550280"/>
          <a:ext cx="1170720" cy="1173240"/>
        </a:xfrm>
        <a:prstGeom prst="rect">
          <a:avLst/>
        </a:prstGeom>
        <a:noFill/>
        <a:ln w="9525">
          <a:noFill/>
        </a:ln>
      </xdr:spPr>
    </xdr:pic>
    <xdr:clientData/>
  </xdr:twoCellAnchor>
  <xdr:twoCellAnchor editAs="oneCell">
    <xdr:from>
      <xdr:col>2</xdr:col>
      <xdr:colOff>38160</xdr:colOff>
      <xdr:row>116</xdr:row>
      <xdr:rowOff>144000</xdr:rowOff>
    </xdr:from>
    <xdr:to>
      <xdr:col>2</xdr:col>
      <xdr:colOff>1208880</xdr:colOff>
      <xdr:row>116</xdr:row>
      <xdr:rowOff>1315440</xdr:rowOff>
    </xdr:to>
    <xdr:pic>
      <xdr:nvPicPr>
        <xdr:cNvPr id="662" name="图片 749" descr="9"/>
        <xdr:cNvPicPr/>
      </xdr:nvPicPr>
      <xdr:blipFill>
        <a:blip r:embed="rId110"/>
        <a:stretch/>
      </xdr:blipFill>
      <xdr:spPr>
        <a:xfrm>
          <a:off x="5605920" y="133551000"/>
          <a:ext cx="1170720" cy="1171440"/>
        </a:xfrm>
        <a:prstGeom prst="rect">
          <a:avLst/>
        </a:prstGeom>
        <a:noFill/>
        <a:ln w="9525">
          <a:noFill/>
        </a:ln>
      </xdr:spPr>
    </xdr:pic>
    <xdr:clientData/>
  </xdr:twoCellAnchor>
  <xdr:twoCellAnchor editAs="oneCell">
    <xdr:from>
      <xdr:col>1</xdr:col>
      <xdr:colOff>38160</xdr:colOff>
      <xdr:row>117</xdr:row>
      <xdr:rowOff>143280</xdr:rowOff>
    </xdr:from>
    <xdr:to>
      <xdr:col>1</xdr:col>
      <xdr:colOff>1208880</xdr:colOff>
      <xdr:row>117</xdr:row>
      <xdr:rowOff>1316520</xdr:rowOff>
    </xdr:to>
    <xdr:pic>
      <xdr:nvPicPr>
        <xdr:cNvPr id="663" name="图片 754" descr="2"/>
        <xdr:cNvPicPr/>
      </xdr:nvPicPr>
      <xdr:blipFill>
        <a:blip r:embed="rId111"/>
        <a:stretch/>
      </xdr:blipFill>
      <xdr:spPr>
        <a:xfrm>
          <a:off x="4039920" y="135010800"/>
          <a:ext cx="1170720" cy="1173240"/>
        </a:xfrm>
        <a:prstGeom prst="rect">
          <a:avLst/>
        </a:prstGeom>
        <a:noFill/>
        <a:ln w="9525">
          <a:noFill/>
        </a:ln>
      </xdr:spPr>
    </xdr:pic>
    <xdr:clientData/>
  </xdr:twoCellAnchor>
  <xdr:twoCellAnchor editAs="oneCell">
    <xdr:from>
      <xdr:col>2</xdr:col>
      <xdr:colOff>38160</xdr:colOff>
      <xdr:row>117</xdr:row>
      <xdr:rowOff>144000</xdr:rowOff>
    </xdr:from>
    <xdr:to>
      <xdr:col>2</xdr:col>
      <xdr:colOff>1208880</xdr:colOff>
      <xdr:row>117</xdr:row>
      <xdr:rowOff>1315440</xdr:rowOff>
    </xdr:to>
    <xdr:pic>
      <xdr:nvPicPr>
        <xdr:cNvPr id="664" name="图片 755" descr="9"/>
        <xdr:cNvPicPr/>
      </xdr:nvPicPr>
      <xdr:blipFill>
        <a:blip r:embed="rId112"/>
        <a:stretch/>
      </xdr:blipFill>
      <xdr:spPr>
        <a:xfrm>
          <a:off x="5605920" y="135011520"/>
          <a:ext cx="1170720" cy="1171440"/>
        </a:xfrm>
        <a:prstGeom prst="rect">
          <a:avLst/>
        </a:prstGeom>
        <a:noFill/>
        <a:ln w="9525">
          <a:noFill/>
        </a:ln>
      </xdr:spPr>
    </xdr:pic>
    <xdr:clientData/>
  </xdr:twoCellAnchor>
  <xdr:twoCellAnchor editAs="oneCell">
    <xdr:from>
      <xdr:col>1</xdr:col>
      <xdr:colOff>38160</xdr:colOff>
      <xdr:row>118</xdr:row>
      <xdr:rowOff>143280</xdr:rowOff>
    </xdr:from>
    <xdr:to>
      <xdr:col>1</xdr:col>
      <xdr:colOff>1208880</xdr:colOff>
      <xdr:row>118</xdr:row>
      <xdr:rowOff>1316520</xdr:rowOff>
    </xdr:to>
    <xdr:pic>
      <xdr:nvPicPr>
        <xdr:cNvPr id="665" name="图片 760" descr="2"/>
        <xdr:cNvPicPr/>
      </xdr:nvPicPr>
      <xdr:blipFill>
        <a:blip r:embed="rId113"/>
        <a:stretch/>
      </xdr:blipFill>
      <xdr:spPr>
        <a:xfrm>
          <a:off x="4039920" y="136471320"/>
          <a:ext cx="1170720" cy="1173240"/>
        </a:xfrm>
        <a:prstGeom prst="rect">
          <a:avLst/>
        </a:prstGeom>
        <a:noFill/>
        <a:ln w="9525">
          <a:noFill/>
        </a:ln>
      </xdr:spPr>
    </xdr:pic>
    <xdr:clientData/>
  </xdr:twoCellAnchor>
  <xdr:twoCellAnchor editAs="oneCell">
    <xdr:from>
      <xdr:col>2</xdr:col>
      <xdr:colOff>38160</xdr:colOff>
      <xdr:row>118</xdr:row>
      <xdr:rowOff>144000</xdr:rowOff>
    </xdr:from>
    <xdr:to>
      <xdr:col>2</xdr:col>
      <xdr:colOff>1208880</xdr:colOff>
      <xdr:row>118</xdr:row>
      <xdr:rowOff>1315440</xdr:rowOff>
    </xdr:to>
    <xdr:pic>
      <xdr:nvPicPr>
        <xdr:cNvPr id="666" name="图片 761" descr="9"/>
        <xdr:cNvPicPr/>
      </xdr:nvPicPr>
      <xdr:blipFill>
        <a:blip r:embed="rId114"/>
        <a:stretch/>
      </xdr:blipFill>
      <xdr:spPr>
        <a:xfrm>
          <a:off x="5605920" y="136472040"/>
          <a:ext cx="1170720" cy="1171440"/>
        </a:xfrm>
        <a:prstGeom prst="rect">
          <a:avLst/>
        </a:prstGeom>
        <a:noFill/>
        <a:ln w="9525">
          <a:noFill/>
        </a:ln>
      </xdr:spPr>
    </xdr:pic>
    <xdr:clientData/>
  </xdr:twoCellAnchor>
  <xdr:twoCellAnchor editAs="twoCell">
    <xdr:from>
      <xdr:col>0</xdr:col>
      <xdr:colOff>10080</xdr:colOff>
      <xdr:row>118</xdr:row>
      <xdr:rowOff>5760</xdr:rowOff>
    </xdr:from>
    <xdr:to>
      <xdr:col>0</xdr:col>
      <xdr:colOff>837360</xdr:colOff>
      <xdr:row>118</xdr:row>
      <xdr:rowOff>297000</xdr:rowOff>
    </xdr:to>
    <xdr:pic>
      <xdr:nvPicPr>
        <xdr:cNvPr id="667" name="图片 771" descr="快充"/>
        <xdr:cNvPicPr/>
      </xdr:nvPicPr>
      <xdr:blipFill>
        <a:blip r:embed="rId115"/>
        <a:stretch/>
      </xdr:blipFill>
      <xdr:spPr>
        <a:xfrm>
          <a:off x="10080" y="136333800"/>
          <a:ext cx="827280" cy="291240"/>
        </a:xfrm>
        <a:prstGeom prst="rect">
          <a:avLst/>
        </a:prstGeom>
        <a:noFill/>
        <a:ln w="9525">
          <a:noFill/>
        </a:ln>
      </xdr:spPr>
    </xdr:pic>
    <xdr:clientData/>
  </xdr:twoCellAnchor>
  <xdr:twoCellAnchor editAs="twoCell">
    <xdr:from>
      <xdr:col>0</xdr:col>
      <xdr:colOff>10080</xdr:colOff>
      <xdr:row>117</xdr:row>
      <xdr:rowOff>5760</xdr:rowOff>
    </xdr:from>
    <xdr:to>
      <xdr:col>0</xdr:col>
      <xdr:colOff>837360</xdr:colOff>
      <xdr:row>117</xdr:row>
      <xdr:rowOff>297000</xdr:rowOff>
    </xdr:to>
    <xdr:pic>
      <xdr:nvPicPr>
        <xdr:cNvPr id="668" name="图片 777" descr="快充"/>
        <xdr:cNvPicPr/>
      </xdr:nvPicPr>
      <xdr:blipFill>
        <a:blip r:embed="rId116"/>
        <a:stretch/>
      </xdr:blipFill>
      <xdr:spPr>
        <a:xfrm>
          <a:off x="10080" y="134873280"/>
          <a:ext cx="827280" cy="291240"/>
        </a:xfrm>
        <a:prstGeom prst="rect">
          <a:avLst/>
        </a:prstGeom>
        <a:noFill/>
        <a:ln w="9525">
          <a:noFill/>
        </a:ln>
      </xdr:spPr>
    </xdr:pic>
    <xdr:clientData/>
  </xdr:twoCellAnchor>
  <xdr:twoCellAnchor editAs="twoCell">
    <xdr:from>
      <xdr:col>0</xdr:col>
      <xdr:colOff>10080</xdr:colOff>
      <xdr:row>116</xdr:row>
      <xdr:rowOff>5760</xdr:rowOff>
    </xdr:from>
    <xdr:to>
      <xdr:col>0</xdr:col>
      <xdr:colOff>837360</xdr:colOff>
      <xdr:row>116</xdr:row>
      <xdr:rowOff>297000</xdr:rowOff>
    </xdr:to>
    <xdr:pic>
      <xdr:nvPicPr>
        <xdr:cNvPr id="669" name="图片 783" descr="快充"/>
        <xdr:cNvPicPr/>
      </xdr:nvPicPr>
      <xdr:blipFill>
        <a:blip r:embed="rId117"/>
        <a:stretch/>
      </xdr:blipFill>
      <xdr:spPr>
        <a:xfrm>
          <a:off x="10080" y="133412760"/>
          <a:ext cx="827280" cy="291240"/>
        </a:xfrm>
        <a:prstGeom prst="rect">
          <a:avLst/>
        </a:prstGeom>
        <a:noFill/>
        <a:ln w="9525">
          <a:noFill/>
        </a:ln>
      </xdr:spPr>
    </xdr:pic>
    <xdr:clientData/>
  </xdr:twoCellAnchor>
  <xdr:twoCellAnchor editAs="twoCell">
    <xdr:from>
      <xdr:col>0</xdr:col>
      <xdr:colOff>10080</xdr:colOff>
      <xdr:row>115</xdr:row>
      <xdr:rowOff>5760</xdr:rowOff>
    </xdr:from>
    <xdr:to>
      <xdr:col>0</xdr:col>
      <xdr:colOff>837360</xdr:colOff>
      <xdr:row>115</xdr:row>
      <xdr:rowOff>297000</xdr:rowOff>
    </xdr:to>
    <xdr:pic>
      <xdr:nvPicPr>
        <xdr:cNvPr id="670" name="图片 789" descr="快充"/>
        <xdr:cNvPicPr/>
      </xdr:nvPicPr>
      <xdr:blipFill>
        <a:blip r:embed="rId118"/>
        <a:stretch/>
      </xdr:blipFill>
      <xdr:spPr>
        <a:xfrm>
          <a:off x="10080" y="131952240"/>
          <a:ext cx="827280" cy="291240"/>
        </a:xfrm>
        <a:prstGeom prst="rect">
          <a:avLst/>
        </a:prstGeom>
        <a:noFill/>
        <a:ln w="9525">
          <a:noFill/>
        </a:ln>
      </xdr:spPr>
    </xdr:pic>
    <xdr:clientData/>
  </xdr:twoCellAnchor>
  <xdr:twoCellAnchor editAs="oneCell">
    <xdr:from>
      <xdr:col>1</xdr:col>
      <xdr:colOff>38160</xdr:colOff>
      <xdr:row>114</xdr:row>
      <xdr:rowOff>141480</xdr:rowOff>
    </xdr:from>
    <xdr:to>
      <xdr:col>1</xdr:col>
      <xdr:colOff>1208880</xdr:colOff>
      <xdr:row>114</xdr:row>
      <xdr:rowOff>1318680</xdr:rowOff>
    </xdr:to>
    <xdr:pic>
      <xdr:nvPicPr>
        <xdr:cNvPr id="671" name="图片 158" descr="2(1)"/>
        <xdr:cNvPicPr/>
      </xdr:nvPicPr>
      <xdr:blipFill>
        <a:blip r:embed="rId119"/>
        <a:stretch/>
      </xdr:blipFill>
      <xdr:spPr>
        <a:xfrm>
          <a:off x="4039920" y="130627800"/>
          <a:ext cx="1170720" cy="1177200"/>
        </a:xfrm>
        <a:prstGeom prst="rect">
          <a:avLst/>
        </a:prstGeom>
        <a:noFill/>
        <a:ln w="9525">
          <a:noFill/>
        </a:ln>
      </xdr:spPr>
    </xdr:pic>
    <xdr:clientData/>
  </xdr:twoCellAnchor>
  <xdr:twoCellAnchor editAs="oneCell">
    <xdr:from>
      <xdr:col>2</xdr:col>
      <xdr:colOff>38160</xdr:colOff>
      <xdr:row>112</xdr:row>
      <xdr:rowOff>143280</xdr:rowOff>
    </xdr:from>
    <xdr:to>
      <xdr:col>2</xdr:col>
      <xdr:colOff>1208880</xdr:colOff>
      <xdr:row>112</xdr:row>
      <xdr:rowOff>1316520</xdr:rowOff>
    </xdr:to>
    <xdr:pic>
      <xdr:nvPicPr>
        <xdr:cNvPr id="672" name="图片 159" descr="9(3)"/>
        <xdr:cNvPicPr/>
      </xdr:nvPicPr>
      <xdr:blipFill>
        <a:blip r:embed="rId120"/>
        <a:stretch/>
      </xdr:blipFill>
      <xdr:spPr>
        <a:xfrm>
          <a:off x="5605920" y="127708560"/>
          <a:ext cx="1170720" cy="1173240"/>
        </a:xfrm>
        <a:prstGeom prst="rect">
          <a:avLst/>
        </a:prstGeom>
        <a:noFill/>
        <a:ln w="9525">
          <a:noFill/>
        </a:ln>
      </xdr:spPr>
    </xdr:pic>
    <xdr:clientData/>
  </xdr:twoCellAnchor>
  <xdr:twoCellAnchor editAs="oneCell">
    <xdr:from>
      <xdr:col>1</xdr:col>
      <xdr:colOff>38160</xdr:colOff>
      <xdr:row>113</xdr:row>
      <xdr:rowOff>143640</xdr:rowOff>
    </xdr:from>
    <xdr:to>
      <xdr:col>1</xdr:col>
      <xdr:colOff>1208880</xdr:colOff>
      <xdr:row>113</xdr:row>
      <xdr:rowOff>1316160</xdr:rowOff>
    </xdr:to>
    <xdr:pic>
      <xdr:nvPicPr>
        <xdr:cNvPr id="673" name="图片 174" descr="2(2)"/>
        <xdr:cNvPicPr/>
      </xdr:nvPicPr>
      <xdr:blipFill>
        <a:blip r:embed="rId121"/>
        <a:stretch/>
      </xdr:blipFill>
      <xdr:spPr>
        <a:xfrm>
          <a:off x="4039920" y="129169440"/>
          <a:ext cx="1170720" cy="1172520"/>
        </a:xfrm>
        <a:prstGeom prst="rect">
          <a:avLst/>
        </a:prstGeom>
        <a:noFill/>
        <a:ln w="9525">
          <a:noFill/>
        </a:ln>
      </xdr:spPr>
    </xdr:pic>
    <xdr:clientData/>
  </xdr:twoCellAnchor>
  <xdr:twoCellAnchor editAs="oneCell">
    <xdr:from>
      <xdr:col>2</xdr:col>
      <xdr:colOff>38160</xdr:colOff>
      <xdr:row>114</xdr:row>
      <xdr:rowOff>143280</xdr:rowOff>
    </xdr:from>
    <xdr:to>
      <xdr:col>2</xdr:col>
      <xdr:colOff>1208880</xdr:colOff>
      <xdr:row>114</xdr:row>
      <xdr:rowOff>1316520</xdr:rowOff>
    </xdr:to>
    <xdr:pic>
      <xdr:nvPicPr>
        <xdr:cNvPr id="674" name="图片 176" descr="9(4)"/>
        <xdr:cNvPicPr/>
      </xdr:nvPicPr>
      <xdr:blipFill>
        <a:blip r:embed="rId122"/>
        <a:stretch/>
      </xdr:blipFill>
      <xdr:spPr>
        <a:xfrm>
          <a:off x="5605920" y="130629600"/>
          <a:ext cx="1170720" cy="1173240"/>
        </a:xfrm>
        <a:prstGeom prst="rect">
          <a:avLst/>
        </a:prstGeom>
        <a:noFill/>
        <a:ln w="9525">
          <a:noFill/>
        </a:ln>
      </xdr:spPr>
    </xdr:pic>
    <xdr:clientData/>
  </xdr:twoCellAnchor>
  <xdr:twoCellAnchor editAs="oneCell">
    <xdr:from>
      <xdr:col>1</xdr:col>
      <xdr:colOff>38160</xdr:colOff>
      <xdr:row>112</xdr:row>
      <xdr:rowOff>143640</xdr:rowOff>
    </xdr:from>
    <xdr:to>
      <xdr:col>1</xdr:col>
      <xdr:colOff>1208880</xdr:colOff>
      <xdr:row>112</xdr:row>
      <xdr:rowOff>1316160</xdr:rowOff>
    </xdr:to>
    <xdr:pic>
      <xdr:nvPicPr>
        <xdr:cNvPr id="675" name="图片 178" descr="2"/>
        <xdr:cNvPicPr/>
      </xdr:nvPicPr>
      <xdr:blipFill>
        <a:blip r:embed="rId123"/>
        <a:stretch/>
      </xdr:blipFill>
      <xdr:spPr>
        <a:xfrm>
          <a:off x="4039920" y="127708920"/>
          <a:ext cx="1170720" cy="1172520"/>
        </a:xfrm>
        <a:prstGeom prst="rect">
          <a:avLst/>
        </a:prstGeom>
        <a:noFill/>
        <a:ln w="9525">
          <a:noFill/>
        </a:ln>
      </xdr:spPr>
    </xdr:pic>
    <xdr:clientData/>
  </xdr:twoCellAnchor>
  <xdr:twoCellAnchor editAs="oneCell">
    <xdr:from>
      <xdr:col>2</xdr:col>
      <xdr:colOff>38160</xdr:colOff>
      <xdr:row>113</xdr:row>
      <xdr:rowOff>144000</xdr:rowOff>
    </xdr:from>
    <xdr:to>
      <xdr:col>2</xdr:col>
      <xdr:colOff>1208880</xdr:colOff>
      <xdr:row>113</xdr:row>
      <xdr:rowOff>1315440</xdr:rowOff>
    </xdr:to>
    <xdr:pic>
      <xdr:nvPicPr>
        <xdr:cNvPr id="676" name="图片 179" descr="9(5)"/>
        <xdr:cNvPicPr/>
      </xdr:nvPicPr>
      <xdr:blipFill>
        <a:blip r:embed="rId124"/>
        <a:stretch/>
      </xdr:blipFill>
      <xdr:spPr>
        <a:xfrm>
          <a:off x="5605920" y="129169800"/>
          <a:ext cx="1170720" cy="1171440"/>
        </a:xfrm>
        <a:prstGeom prst="rect">
          <a:avLst/>
        </a:prstGeom>
        <a:noFill/>
        <a:ln w="9525">
          <a:noFill/>
        </a:ln>
      </xdr:spPr>
    </xdr:pic>
    <xdr:clientData/>
  </xdr:twoCellAnchor>
  <xdr:twoCellAnchor editAs="twoCell">
    <xdr:from>
      <xdr:col>0</xdr:col>
      <xdr:colOff>10080</xdr:colOff>
      <xdr:row>113</xdr:row>
      <xdr:rowOff>5760</xdr:rowOff>
    </xdr:from>
    <xdr:to>
      <xdr:col>0</xdr:col>
      <xdr:colOff>837360</xdr:colOff>
      <xdr:row>113</xdr:row>
      <xdr:rowOff>297000</xdr:rowOff>
    </xdr:to>
    <xdr:pic>
      <xdr:nvPicPr>
        <xdr:cNvPr id="677" name="图片 264" descr="快充"/>
        <xdr:cNvPicPr/>
      </xdr:nvPicPr>
      <xdr:blipFill>
        <a:blip r:embed="rId125"/>
        <a:stretch/>
      </xdr:blipFill>
      <xdr:spPr>
        <a:xfrm>
          <a:off x="10080" y="129031560"/>
          <a:ext cx="827280" cy="291240"/>
        </a:xfrm>
        <a:prstGeom prst="rect">
          <a:avLst/>
        </a:prstGeom>
        <a:noFill/>
        <a:ln w="9525">
          <a:noFill/>
        </a:ln>
      </xdr:spPr>
    </xdr:pic>
    <xdr:clientData/>
  </xdr:twoCellAnchor>
  <xdr:twoCellAnchor editAs="twoCell">
    <xdr:from>
      <xdr:col>0</xdr:col>
      <xdr:colOff>10080</xdr:colOff>
      <xdr:row>114</xdr:row>
      <xdr:rowOff>5760</xdr:rowOff>
    </xdr:from>
    <xdr:to>
      <xdr:col>0</xdr:col>
      <xdr:colOff>837360</xdr:colOff>
      <xdr:row>114</xdr:row>
      <xdr:rowOff>297000</xdr:rowOff>
    </xdr:to>
    <xdr:pic>
      <xdr:nvPicPr>
        <xdr:cNvPr id="678" name="图片 321" descr="快充"/>
        <xdr:cNvPicPr/>
      </xdr:nvPicPr>
      <xdr:blipFill>
        <a:blip r:embed="rId126"/>
        <a:stretch/>
      </xdr:blipFill>
      <xdr:spPr>
        <a:xfrm>
          <a:off x="10080" y="130492080"/>
          <a:ext cx="827280" cy="291240"/>
        </a:xfrm>
        <a:prstGeom prst="rect">
          <a:avLst/>
        </a:prstGeom>
        <a:noFill/>
        <a:ln w="9525">
          <a:noFill/>
        </a:ln>
      </xdr:spPr>
    </xdr:pic>
    <xdr:clientData/>
  </xdr:twoCellAnchor>
  <xdr:twoCellAnchor editAs="twoCell">
    <xdr:from>
      <xdr:col>0</xdr:col>
      <xdr:colOff>10080</xdr:colOff>
      <xdr:row>112</xdr:row>
      <xdr:rowOff>5760</xdr:rowOff>
    </xdr:from>
    <xdr:to>
      <xdr:col>0</xdr:col>
      <xdr:colOff>837360</xdr:colOff>
      <xdr:row>112</xdr:row>
      <xdr:rowOff>297000</xdr:rowOff>
    </xdr:to>
    <xdr:pic>
      <xdr:nvPicPr>
        <xdr:cNvPr id="679" name="图片 336" descr="快充"/>
        <xdr:cNvPicPr/>
      </xdr:nvPicPr>
      <xdr:blipFill>
        <a:blip r:embed="rId127"/>
        <a:stretch/>
      </xdr:blipFill>
      <xdr:spPr>
        <a:xfrm>
          <a:off x="10080" y="127571040"/>
          <a:ext cx="827280" cy="291240"/>
        </a:xfrm>
        <a:prstGeom prst="rect">
          <a:avLst/>
        </a:prstGeom>
        <a:noFill/>
        <a:ln w="9525">
          <a:noFill/>
        </a:ln>
      </xdr:spPr>
    </xdr:pic>
    <xdr:clientData/>
  </xdr:twoCellAnchor>
  <xdr:twoCellAnchor editAs="oneCell">
    <xdr:from>
      <xdr:col>1</xdr:col>
      <xdr:colOff>38160</xdr:colOff>
      <xdr:row>37</xdr:row>
      <xdr:rowOff>173880</xdr:rowOff>
    </xdr:from>
    <xdr:to>
      <xdr:col>1</xdr:col>
      <xdr:colOff>1208880</xdr:colOff>
      <xdr:row>38</xdr:row>
      <xdr:rowOff>587160</xdr:rowOff>
    </xdr:to>
    <xdr:pic>
      <xdr:nvPicPr>
        <xdr:cNvPr id="680" name="图片 19" descr="3(1)"/>
        <xdr:cNvPicPr/>
      </xdr:nvPicPr>
      <xdr:blipFill>
        <a:blip r:embed="rId128"/>
        <a:stretch/>
      </xdr:blipFill>
      <xdr:spPr>
        <a:xfrm>
          <a:off x="4039920" y="44461800"/>
          <a:ext cx="1170720" cy="1175400"/>
        </a:xfrm>
        <a:prstGeom prst="rect">
          <a:avLst/>
        </a:prstGeom>
        <a:noFill/>
        <a:ln w="9525">
          <a:noFill/>
        </a:ln>
      </xdr:spPr>
    </xdr:pic>
    <xdr:clientData/>
  </xdr:twoCellAnchor>
  <xdr:twoCellAnchor editAs="oneCell">
    <xdr:from>
      <xdr:col>1</xdr:col>
      <xdr:colOff>38160</xdr:colOff>
      <xdr:row>41</xdr:row>
      <xdr:rowOff>174240</xdr:rowOff>
    </xdr:from>
    <xdr:to>
      <xdr:col>1</xdr:col>
      <xdr:colOff>1208880</xdr:colOff>
      <xdr:row>42</xdr:row>
      <xdr:rowOff>587160</xdr:rowOff>
    </xdr:to>
    <xdr:pic>
      <xdr:nvPicPr>
        <xdr:cNvPr id="681" name="图片 20" descr="3(5)"/>
        <xdr:cNvPicPr/>
      </xdr:nvPicPr>
      <xdr:blipFill>
        <a:blip r:embed="rId129"/>
        <a:stretch/>
      </xdr:blipFill>
      <xdr:spPr>
        <a:xfrm>
          <a:off x="4039920" y="47510280"/>
          <a:ext cx="1170720" cy="1175040"/>
        </a:xfrm>
        <a:prstGeom prst="rect">
          <a:avLst/>
        </a:prstGeom>
        <a:noFill/>
        <a:ln w="9525">
          <a:noFill/>
        </a:ln>
      </xdr:spPr>
    </xdr:pic>
    <xdr:clientData/>
  </xdr:twoCellAnchor>
  <xdr:twoCellAnchor editAs="oneCell">
    <xdr:from>
      <xdr:col>1</xdr:col>
      <xdr:colOff>38160</xdr:colOff>
      <xdr:row>39</xdr:row>
      <xdr:rowOff>173520</xdr:rowOff>
    </xdr:from>
    <xdr:to>
      <xdr:col>1</xdr:col>
      <xdr:colOff>1208880</xdr:colOff>
      <xdr:row>40</xdr:row>
      <xdr:rowOff>587880</xdr:rowOff>
    </xdr:to>
    <xdr:pic>
      <xdr:nvPicPr>
        <xdr:cNvPr id="682" name="图片 31" descr="3(6)"/>
        <xdr:cNvPicPr/>
      </xdr:nvPicPr>
      <xdr:blipFill>
        <a:blip r:embed="rId130"/>
        <a:stretch/>
      </xdr:blipFill>
      <xdr:spPr>
        <a:xfrm>
          <a:off x="4039920" y="45985680"/>
          <a:ext cx="1170720" cy="1176120"/>
        </a:xfrm>
        <a:prstGeom prst="rect">
          <a:avLst/>
        </a:prstGeom>
        <a:noFill/>
        <a:ln w="9525">
          <a:noFill/>
        </a:ln>
      </xdr:spPr>
    </xdr:pic>
    <xdr:clientData/>
  </xdr:twoCellAnchor>
  <xdr:twoCellAnchor editAs="oneCell">
    <xdr:from>
      <xdr:col>2</xdr:col>
      <xdr:colOff>38160</xdr:colOff>
      <xdr:row>41</xdr:row>
      <xdr:rowOff>174960</xdr:rowOff>
    </xdr:from>
    <xdr:to>
      <xdr:col>2</xdr:col>
      <xdr:colOff>1208880</xdr:colOff>
      <xdr:row>42</xdr:row>
      <xdr:rowOff>586080</xdr:rowOff>
    </xdr:to>
    <xdr:pic>
      <xdr:nvPicPr>
        <xdr:cNvPr id="683" name="图片 32" descr="11(1)"/>
        <xdr:cNvPicPr/>
      </xdr:nvPicPr>
      <xdr:blipFill>
        <a:blip r:embed="rId131"/>
        <a:stretch/>
      </xdr:blipFill>
      <xdr:spPr>
        <a:xfrm>
          <a:off x="5605920" y="47511000"/>
          <a:ext cx="1170720" cy="1173240"/>
        </a:xfrm>
        <a:prstGeom prst="rect">
          <a:avLst/>
        </a:prstGeom>
        <a:noFill/>
        <a:ln w="9525">
          <a:noFill/>
        </a:ln>
      </xdr:spPr>
    </xdr:pic>
    <xdr:clientData/>
  </xdr:twoCellAnchor>
  <xdr:twoCellAnchor editAs="oneCell">
    <xdr:from>
      <xdr:col>2</xdr:col>
      <xdr:colOff>38160</xdr:colOff>
      <xdr:row>39</xdr:row>
      <xdr:rowOff>175320</xdr:rowOff>
    </xdr:from>
    <xdr:to>
      <xdr:col>2</xdr:col>
      <xdr:colOff>1208880</xdr:colOff>
      <xdr:row>40</xdr:row>
      <xdr:rowOff>586080</xdr:rowOff>
    </xdr:to>
    <xdr:pic>
      <xdr:nvPicPr>
        <xdr:cNvPr id="684" name="图片 65" descr="11(2)"/>
        <xdr:cNvPicPr/>
      </xdr:nvPicPr>
      <xdr:blipFill>
        <a:blip r:embed="rId132"/>
        <a:stretch/>
      </xdr:blipFill>
      <xdr:spPr>
        <a:xfrm>
          <a:off x="5605920" y="45987480"/>
          <a:ext cx="1170720" cy="1172520"/>
        </a:xfrm>
        <a:prstGeom prst="rect">
          <a:avLst/>
        </a:prstGeom>
        <a:noFill/>
        <a:ln w="9525">
          <a:noFill/>
        </a:ln>
      </xdr:spPr>
    </xdr:pic>
    <xdr:clientData/>
  </xdr:twoCellAnchor>
  <xdr:twoCellAnchor editAs="oneCell">
    <xdr:from>
      <xdr:col>2</xdr:col>
      <xdr:colOff>38160</xdr:colOff>
      <xdr:row>37</xdr:row>
      <xdr:rowOff>173880</xdr:rowOff>
    </xdr:from>
    <xdr:to>
      <xdr:col>2</xdr:col>
      <xdr:colOff>1208880</xdr:colOff>
      <xdr:row>38</xdr:row>
      <xdr:rowOff>587160</xdr:rowOff>
    </xdr:to>
    <xdr:pic>
      <xdr:nvPicPr>
        <xdr:cNvPr id="685" name="图片 92" descr="11"/>
        <xdr:cNvPicPr/>
      </xdr:nvPicPr>
      <xdr:blipFill>
        <a:blip r:embed="rId133"/>
        <a:stretch/>
      </xdr:blipFill>
      <xdr:spPr>
        <a:xfrm>
          <a:off x="5605920" y="44461800"/>
          <a:ext cx="1170720" cy="1175400"/>
        </a:xfrm>
        <a:prstGeom prst="rect">
          <a:avLst/>
        </a:prstGeom>
        <a:noFill/>
        <a:ln w="9525">
          <a:noFill/>
        </a:ln>
      </xdr:spPr>
    </xdr:pic>
    <xdr:clientData/>
  </xdr:twoCellAnchor>
  <xdr:twoCellAnchor editAs="oneCell">
    <xdr:from>
      <xdr:col>2</xdr:col>
      <xdr:colOff>38160</xdr:colOff>
      <xdr:row>43</xdr:row>
      <xdr:rowOff>174960</xdr:rowOff>
    </xdr:from>
    <xdr:to>
      <xdr:col>2</xdr:col>
      <xdr:colOff>1208880</xdr:colOff>
      <xdr:row>44</xdr:row>
      <xdr:rowOff>586080</xdr:rowOff>
    </xdr:to>
    <xdr:pic>
      <xdr:nvPicPr>
        <xdr:cNvPr id="686" name="图片 101" descr="11(3)"/>
        <xdr:cNvPicPr/>
      </xdr:nvPicPr>
      <xdr:blipFill>
        <a:blip r:embed="rId134"/>
        <a:stretch/>
      </xdr:blipFill>
      <xdr:spPr>
        <a:xfrm>
          <a:off x="5605920" y="49034880"/>
          <a:ext cx="1170720" cy="1173240"/>
        </a:xfrm>
        <a:prstGeom prst="rect">
          <a:avLst/>
        </a:prstGeom>
        <a:noFill/>
        <a:ln w="9525">
          <a:noFill/>
        </a:ln>
      </xdr:spPr>
    </xdr:pic>
    <xdr:clientData/>
  </xdr:twoCellAnchor>
  <xdr:twoCellAnchor editAs="oneCell">
    <xdr:from>
      <xdr:col>2</xdr:col>
      <xdr:colOff>38160</xdr:colOff>
      <xdr:row>47</xdr:row>
      <xdr:rowOff>175680</xdr:rowOff>
    </xdr:from>
    <xdr:to>
      <xdr:col>2</xdr:col>
      <xdr:colOff>1208880</xdr:colOff>
      <xdr:row>48</xdr:row>
      <xdr:rowOff>585720</xdr:rowOff>
    </xdr:to>
    <xdr:pic>
      <xdr:nvPicPr>
        <xdr:cNvPr id="687" name="图片 103" descr="11(4)"/>
        <xdr:cNvPicPr/>
      </xdr:nvPicPr>
      <xdr:blipFill>
        <a:blip r:embed="rId135"/>
        <a:stretch/>
      </xdr:blipFill>
      <xdr:spPr>
        <a:xfrm>
          <a:off x="5605920" y="52083720"/>
          <a:ext cx="1170720" cy="1172160"/>
        </a:xfrm>
        <a:prstGeom prst="rect">
          <a:avLst/>
        </a:prstGeom>
        <a:noFill/>
        <a:ln w="9525">
          <a:noFill/>
        </a:ln>
      </xdr:spPr>
    </xdr:pic>
    <xdr:clientData/>
  </xdr:twoCellAnchor>
  <xdr:twoCellAnchor editAs="oneCell">
    <xdr:from>
      <xdr:col>2</xdr:col>
      <xdr:colOff>38160</xdr:colOff>
      <xdr:row>45</xdr:row>
      <xdr:rowOff>174600</xdr:rowOff>
    </xdr:from>
    <xdr:to>
      <xdr:col>2</xdr:col>
      <xdr:colOff>1208880</xdr:colOff>
      <xdr:row>46</xdr:row>
      <xdr:rowOff>586440</xdr:rowOff>
    </xdr:to>
    <xdr:pic>
      <xdr:nvPicPr>
        <xdr:cNvPr id="688" name="图片 104" descr="11(5)"/>
        <xdr:cNvPicPr/>
      </xdr:nvPicPr>
      <xdr:blipFill>
        <a:blip r:embed="rId136"/>
        <a:stretch/>
      </xdr:blipFill>
      <xdr:spPr>
        <a:xfrm>
          <a:off x="5605920" y="50558760"/>
          <a:ext cx="1170720" cy="1173600"/>
        </a:xfrm>
        <a:prstGeom prst="rect">
          <a:avLst/>
        </a:prstGeom>
        <a:noFill/>
        <a:ln w="9525">
          <a:noFill/>
        </a:ln>
      </xdr:spPr>
    </xdr:pic>
    <xdr:clientData/>
  </xdr:twoCellAnchor>
  <xdr:twoCellAnchor editAs="oneCell">
    <xdr:from>
      <xdr:col>2</xdr:col>
      <xdr:colOff>38160</xdr:colOff>
      <xdr:row>49</xdr:row>
      <xdr:rowOff>175680</xdr:rowOff>
    </xdr:from>
    <xdr:to>
      <xdr:col>2</xdr:col>
      <xdr:colOff>1208880</xdr:colOff>
      <xdr:row>50</xdr:row>
      <xdr:rowOff>585720</xdr:rowOff>
    </xdr:to>
    <xdr:pic>
      <xdr:nvPicPr>
        <xdr:cNvPr id="689" name="图片 108" descr="11(6)"/>
        <xdr:cNvPicPr/>
      </xdr:nvPicPr>
      <xdr:blipFill>
        <a:blip r:embed="rId137"/>
        <a:stretch/>
      </xdr:blipFill>
      <xdr:spPr>
        <a:xfrm>
          <a:off x="5605920" y="53607600"/>
          <a:ext cx="1170720" cy="1172160"/>
        </a:xfrm>
        <a:prstGeom prst="rect">
          <a:avLst/>
        </a:prstGeom>
        <a:noFill/>
        <a:ln w="9525">
          <a:noFill/>
        </a:ln>
      </xdr:spPr>
    </xdr:pic>
    <xdr:clientData/>
  </xdr:twoCellAnchor>
  <xdr:twoCellAnchor editAs="oneCell">
    <xdr:from>
      <xdr:col>1</xdr:col>
      <xdr:colOff>38160</xdr:colOff>
      <xdr:row>49</xdr:row>
      <xdr:rowOff>176040</xdr:rowOff>
    </xdr:from>
    <xdr:to>
      <xdr:col>1</xdr:col>
      <xdr:colOff>1208880</xdr:colOff>
      <xdr:row>50</xdr:row>
      <xdr:rowOff>585360</xdr:rowOff>
    </xdr:to>
    <xdr:pic>
      <xdr:nvPicPr>
        <xdr:cNvPr id="690" name="图片 117" descr="3(4)"/>
        <xdr:cNvPicPr/>
      </xdr:nvPicPr>
      <xdr:blipFill>
        <a:blip r:embed="rId138"/>
        <a:stretch/>
      </xdr:blipFill>
      <xdr:spPr>
        <a:xfrm>
          <a:off x="4039920" y="53607960"/>
          <a:ext cx="1170720" cy="1171440"/>
        </a:xfrm>
        <a:prstGeom prst="rect">
          <a:avLst/>
        </a:prstGeom>
        <a:noFill/>
        <a:ln w="9525">
          <a:noFill/>
        </a:ln>
      </xdr:spPr>
    </xdr:pic>
    <xdr:clientData/>
  </xdr:twoCellAnchor>
  <xdr:twoCellAnchor editAs="oneCell">
    <xdr:from>
      <xdr:col>1</xdr:col>
      <xdr:colOff>38160</xdr:colOff>
      <xdr:row>47</xdr:row>
      <xdr:rowOff>173520</xdr:rowOff>
    </xdr:from>
    <xdr:to>
      <xdr:col>1</xdr:col>
      <xdr:colOff>1208880</xdr:colOff>
      <xdr:row>48</xdr:row>
      <xdr:rowOff>587520</xdr:rowOff>
    </xdr:to>
    <xdr:pic>
      <xdr:nvPicPr>
        <xdr:cNvPr id="691" name="图片 120" descr="2(1)"/>
        <xdr:cNvPicPr/>
      </xdr:nvPicPr>
      <xdr:blipFill>
        <a:blip r:embed="rId139"/>
        <a:stretch/>
      </xdr:blipFill>
      <xdr:spPr>
        <a:xfrm>
          <a:off x="4039920" y="52081560"/>
          <a:ext cx="1170720" cy="1176120"/>
        </a:xfrm>
        <a:prstGeom prst="rect">
          <a:avLst/>
        </a:prstGeom>
        <a:noFill/>
        <a:ln w="9525">
          <a:noFill/>
        </a:ln>
      </xdr:spPr>
    </xdr:pic>
    <xdr:clientData/>
  </xdr:twoCellAnchor>
  <xdr:twoCellAnchor editAs="oneCell">
    <xdr:from>
      <xdr:col>1</xdr:col>
      <xdr:colOff>38160</xdr:colOff>
      <xdr:row>45</xdr:row>
      <xdr:rowOff>176040</xdr:rowOff>
    </xdr:from>
    <xdr:to>
      <xdr:col>1</xdr:col>
      <xdr:colOff>1208880</xdr:colOff>
      <xdr:row>46</xdr:row>
      <xdr:rowOff>585720</xdr:rowOff>
    </xdr:to>
    <xdr:pic>
      <xdr:nvPicPr>
        <xdr:cNvPr id="692" name="图片 122" descr="2(2)"/>
        <xdr:cNvPicPr/>
      </xdr:nvPicPr>
      <xdr:blipFill>
        <a:blip r:embed="rId140"/>
        <a:stretch/>
      </xdr:blipFill>
      <xdr:spPr>
        <a:xfrm>
          <a:off x="4039920" y="50560200"/>
          <a:ext cx="1170720" cy="1171440"/>
        </a:xfrm>
        <a:prstGeom prst="rect">
          <a:avLst/>
        </a:prstGeom>
        <a:noFill/>
        <a:ln w="9525">
          <a:noFill/>
        </a:ln>
      </xdr:spPr>
    </xdr:pic>
    <xdr:clientData/>
  </xdr:twoCellAnchor>
  <xdr:twoCellAnchor editAs="oneCell">
    <xdr:from>
      <xdr:col>1</xdr:col>
      <xdr:colOff>38160</xdr:colOff>
      <xdr:row>43</xdr:row>
      <xdr:rowOff>175680</xdr:rowOff>
    </xdr:from>
    <xdr:to>
      <xdr:col>1</xdr:col>
      <xdr:colOff>1208880</xdr:colOff>
      <xdr:row>44</xdr:row>
      <xdr:rowOff>585720</xdr:rowOff>
    </xdr:to>
    <xdr:pic>
      <xdr:nvPicPr>
        <xdr:cNvPr id="693" name="图片 126" descr="2"/>
        <xdr:cNvPicPr/>
      </xdr:nvPicPr>
      <xdr:blipFill>
        <a:blip r:embed="rId141"/>
        <a:stretch/>
      </xdr:blipFill>
      <xdr:spPr>
        <a:xfrm>
          <a:off x="4039920" y="49035600"/>
          <a:ext cx="1170720" cy="1172160"/>
        </a:xfrm>
        <a:prstGeom prst="rect">
          <a:avLst/>
        </a:prstGeom>
        <a:noFill/>
        <a:ln w="9525">
          <a:noFill/>
        </a:ln>
      </xdr:spPr>
    </xdr:pic>
    <xdr:clientData/>
  </xdr:twoCellAnchor>
  <xdr:twoCellAnchor editAs="oneCell">
    <xdr:from>
      <xdr:col>1</xdr:col>
      <xdr:colOff>38160</xdr:colOff>
      <xdr:row>56</xdr:row>
      <xdr:rowOff>173880</xdr:rowOff>
    </xdr:from>
    <xdr:to>
      <xdr:col>1</xdr:col>
      <xdr:colOff>1208880</xdr:colOff>
      <xdr:row>57</xdr:row>
      <xdr:rowOff>587160</xdr:rowOff>
    </xdr:to>
    <xdr:pic>
      <xdr:nvPicPr>
        <xdr:cNvPr id="694" name="图片 129" descr="2(1)"/>
        <xdr:cNvPicPr/>
      </xdr:nvPicPr>
      <xdr:blipFill>
        <a:blip r:embed="rId142"/>
        <a:stretch/>
      </xdr:blipFill>
      <xdr:spPr>
        <a:xfrm>
          <a:off x="4039920" y="59638320"/>
          <a:ext cx="1170720" cy="1175400"/>
        </a:xfrm>
        <a:prstGeom prst="rect">
          <a:avLst/>
        </a:prstGeom>
        <a:noFill/>
        <a:ln w="9525">
          <a:noFill/>
        </a:ln>
      </xdr:spPr>
    </xdr:pic>
    <xdr:clientData/>
  </xdr:twoCellAnchor>
  <xdr:twoCellAnchor editAs="oneCell">
    <xdr:from>
      <xdr:col>1</xdr:col>
      <xdr:colOff>38160</xdr:colOff>
      <xdr:row>54</xdr:row>
      <xdr:rowOff>174960</xdr:rowOff>
    </xdr:from>
    <xdr:to>
      <xdr:col>1</xdr:col>
      <xdr:colOff>1208880</xdr:colOff>
      <xdr:row>55</xdr:row>
      <xdr:rowOff>586080</xdr:rowOff>
    </xdr:to>
    <xdr:pic>
      <xdr:nvPicPr>
        <xdr:cNvPr id="695" name="图片 141" descr="2(2)"/>
        <xdr:cNvPicPr/>
      </xdr:nvPicPr>
      <xdr:blipFill>
        <a:blip r:embed="rId143"/>
        <a:stretch/>
      </xdr:blipFill>
      <xdr:spPr>
        <a:xfrm>
          <a:off x="4039920" y="58115520"/>
          <a:ext cx="1170720" cy="1173240"/>
        </a:xfrm>
        <a:prstGeom prst="rect">
          <a:avLst/>
        </a:prstGeom>
        <a:noFill/>
        <a:ln w="9525">
          <a:noFill/>
        </a:ln>
      </xdr:spPr>
    </xdr:pic>
    <xdr:clientData/>
  </xdr:twoCellAnchor>
  <xdr:twoCellAnchor editAs="oneCell">
    <xdr:from>
      <xdr:col>1</xdr:col>
      <xdr:colOff>38160</xdr:colOff>
      <xdr:row>52</xdr:row>
      <xdr:rowOff>176040</xdr:rowOff>
    </xdr:from>
    <xdr:to>
      <xdr:col>1</xdr:col>
      <xdr:colOff>1208880</xdr:colOff>
      <xdr:row>53</xdr:row>
      <xdr:rowOff>585000</xdr:rowOff>
    </xdr:to>
    <xdr:pic>
      <xdr:nvPicPr>
        <xdr:cNvPr id="696" name="图片 146" descr="2"/>
        <xdr:cNvPicPr/>
      </xdr:nvPicPr>
      <xdr:blipFill>
        <a:blip r:embed="rId144"/>
        <a:stretch/>
      </xdr:blipFill>
      <xdr:spPr>
        <a:xfrm>
          <a:off x="4039920" y="56592720"/>
          <a:ext cx="1170720" cy="1170720"/>
        </a:xfrm>
        <a:prstGeom prst="rect">
          <a:avLst/>
        </a:prstGeom>
        <a:noFill/>
        <a:ln w="9525">
          <a:noFill/>
        </a:ln>
      </xdr:spPr>
    </xdr:pic>
    <xdr:clientData/>
  </xdr:twoCellAnchor>
  <xdr:twoCellAnchor editAs="oneCell">
    <xdr:from>
      <xdr:col>1</xdr:col>
      <xdr:colOff>38160</xdr:colOff>
      <xdr:row>60</xdr:row>
      <xdr:rowOff>174600</xdr:rowOff>
    </xdr:from>
    <xdr:to>
      <xdr:col>1</xdr:col>
      <xdr:colOff>1208880</xdr:colOff>
      <xdr:row>61</xdr:row>
      <xdr:rowOff>586800</xdr:rowOff>
    </xdr:to>
    <xdr:pic>
      <xdr:nvPicPr>
        <xdr:cNvPr id="697" name="图片 152" descr="3(1)"/>
        <xdr:cNvPicPr/>
      </xdr:nvPicPr>
      <xdr:blipFill>
        <a:blip r:embed="rId145"/>
        <a:stretch/>
      </xdr:blipFill>
      <xdr:spPr>
        <a:xfrm>
          <a:off x="4039920" y="62687160"/>
          <a:ext cx="1170720" cy="1174320"/>
        </a:xfrm>
        <a:prstGeom prst="rect">
          <a:avLst/>
        </a:prstGeom>
        <a:noFill/>
        <a:ln w="9525">
          <a:noFill/>
        </a:ln>
      </xdr:spPr>
    </xdr:pic>
    <xdr:clientData/>
  </xdr:twoCellAnchor>
  <xdr:twoCellAnchor editAs="oneCell">
    <xdr:from>
      <xdr:col>1</xdr:col>
      <xdr:colOff>38160</xdr:colOff>
      <xdr:row>62</xdr:row>
      <xdr:rowOff>173520</xdr:rowOff>
    </xdr:from>
    <xdr:to>
      <xdr:col>1</xdr:col>
      <xdr:colOff>1208880</xdr:colOff>
      <xdr:row>63</xdr:row>
      <xdr:rowOff>587520</xdr:rowOff>
    </xdr:to>
    <xdr:pic>
      <xdr:nvPicPr>
        <xdr:cNvPr id="698" name="图片 160" descr="3(2)"/>
        <xdr:cNvPicPr/>
      </xdr:nvPicPr>
      <xdr:blipFill>
        <a:blip r:embed="rId146"/>
        <a:stretch/>
      </xdr:blipFill>
      <xdr:spPr>
        <a:xfrm>
          <a:off x="4039920" y="64209960"/>
          <a:ext cx="1170720" cy="1176120"/>
        </a:xfrm>
        <a:prstGeom prst="rect">
          <a:avLst/>
        </a:prstGeom>
        <a:noFill/>
        <a:ln w="9525">
          <a:noFill/>
        </a:ln>
      </xdr:spPr>
    </xdr:pic>
    <xdr:clientData/>
  </xdr:twoCellAnchor>
  <xdr:twoCellAnchor editAs="oneCell">
    <xdr:from>
      <xdr:col>1</xdr:col>
      <xdr:colOff>38160</xdr:colOff>
      <xdr:row>58</xdr:row>
      <xdr:rowOff>174960</xdr:rowOff>
    </xdr:from>
    <xdr:to>
      <xdr:col>1</xdr:col>
      <xdr:colOff>1208880</xdr:colOff>
      <xdr:row>59</xdr:row>
      <xdr:rowOff>586440</xdr:rowOff>
    </xdr:to>
    <xdr:pic>
      <xdr:nvPicPr>
        <xdr:cNvPr id="699" name="图片 183" descr="3"/>
        <xdr:cNvPicPr/>
      </xdr:nvPicPr>
      <xdr:blipFill>
        <a:blip r:embed="rId147"/>
        <a:stretch/>
      </xdr:blipFill>
      <xdr:spPr>
        <a:xfrm>
          <a:off x="4039920" y="61163640"/>
          <a:ext cx="1170720" cy="1173240"/>
        </a:xfrm>
        <a:prstGeom prst="rect">
          <a:avLst/>
        </a:prstGeom>
        <a:noFill/>
        <a:ln w="9525">
          <a:noFill/>
        </a:ln>
      </xdr:spPr>
    </xdr:pic>
    <xdr:clientData/>
  </xdr:twoCellAnchor>
  <xdr:twoCellAnchor editAs="oneCell">
    <xdr:from>
      <xdr:col>2</xdr:col>
      <xdr:colOff>38160</xdr:colOff>
      <xdr:row>56</xdr:row>
      <xdr:rowOff>175320</xdr:rowOff>
    </xdr:from>
    <xdr:to>
      <xdr:col>2</xdr:col>
      <xdr:colOff>1208880</xdr:colOff>
      <xdr:row>57</xdr:row>
      <xdr:rowOff>585720</xdr:rowOff>
    </xdr:to>
    <xdr:pic>
      <xdr:nvPicPr>
        <xdr:cNvPr id="700" name="图片 186" descr="11(1)"/>
        <xdr:cNvPicPr/>
      </xdr:nvPicPr>
      <xdr:blipFill>
        <a:blip r:embed="rId148"/>
        <a:stretch/>
      </xdr:blipFill>
      <xdr:spPr>
        <a:xfrm>
          <a:off x="5605920" y="59639760"/>
          <a:ext cx="1170720" cy="1172520"/>
        </a:xfrm>
        <a:prstGeom prst="rect">
          <a:avLst/>
        </a:prstGeom>
        <a:noFill/>
        <a:ln w="9525">
          <a:noFill/>
        </a:ln>
      </xdr:spPr>
    </xdr:pic>
    <xdr:clientData/>
  </xdr:twoCellAnchor>
  <xdr:twoCellAnchor editAs="oneCell">
    <xdr:from>
      <xdr:col>2</xdr:col>
      <xdr:colOff>38160</xdr:colOff>
      <xdr:row>54</xdr:row>
      <xdr:rowOff>174960</xdr:rowOff>
    </xdr:from>
    <xdr:to>
      <xdr:col>2</xdr:col>
      <xdr:colOff>1208880</xdr:colOff>
      <xdr:row>55</xdr:row>
      <xdr:rowOff>586080</xdr:rowOff>
    </xdr:to>
    <xdr:pic>
      <xdr:nvPicPr>
        <xdr:cNvPr id="701" name="图片 188" descr="11(2)"/>
        <xdr:cNvPicPr/>
      </xdr:nvPicPr>
      <xdr:blipFill>
        <a:blip r:embed="rId149"/>
        <a:stretch/>
      </xdr:blipFill>
      <xdr:spPr>
        <a:xfrm>
          <a:off x="5605920" y="58115520"/>
          <a:ext cx="1170720" cy="1173240"/>
        </a:xfrm>
        <a:prstGeom prst="rect">
          <a:avLst/>
        </a:prstGeom>
        <a:noFill/>
        <a:ln w="9525">
          <a:noFill/>
        </a:ln>
      </xdr:spPr>
    </xdr:pic>
    <xdr:clientData/>
  </xdr:twoCellAnchor>
  <xdr:twoCellAnchor editAs="oneCell">
    <xdr:from>
      <xdr:col>2</xdr:col>
      <xdr:colOff>38160</xdr:colOff>
      <xdr:row>58</xdr:row>
      <xdr:rowOff>174960</xdr:rowOff>
    </xdr:from>
    <xdr:to>
      <xdr:col>2</xdr:col>
      <xdr:colOff>1208880</xdr:colOff>
      <xdr:row>59</xdr:row>
      <xdr:rowOff>586440</xdr:rowOff>
    </xdr:to>
    <xdr:pic>
      <xdr:nvPicPr>
        <xdr:cNvPr id="702" name="图片 190" descr="11(3)"/>
        <xdr:cNvPicPr/>
      </xdr:nvPicPr>
      <xdr:blipFill>
        <a:blip r:embed="rId150"/>
        <a:stretch/>
      </xdr:blipFill>
      <xdr:spPr>
        <a:xfrm>
          <a:off x="5605920" y="61163640"/>
          <a:ext cx="1170720" cy="1173240"/>
        </a:xfrm>
        <a:prstGeom prst="rect">
          <a:avLst/>
        </a:prstGeom>
        <a:noFill/>
        <a:ln w="9525">
          <a:noFill/>
        </a:ln>
      </xdr:spPr>
    </xdr:pic>
    <xdr:clientData/>
  </xdr:twoCellAnchor>
  <xdr:twoCellAnchor editAs="oneCell">
    <xdr:from>
      <xdr:col>2</xdr:col>
      <xdr:colOff>38160</xdr:colOff>
      <xdr:row>60</xdr:row>
      <xdr:rowOff>174240</xdr:rowOff>
    </xdr:from>
    <xdr:to>
      <xdr:col>2</xdr:col>
      <xdr:colOff>1208880</xdr:colOff>
      <xdr:row>61</xdr:row>
      <xdr:rowOff>587160</xdr:rowOff>
    </xdr:to>
    <xdr:pic>
      <xdr:nvPicPr>
        <xdr:cNvPr id="703" name="图片 202" descr="11(4)"/>
        <xdr:cNvPicPr/>
      </xdr:nvPicPr>
      <xdr:blipFill>
        <a:blip r:embed="rId151"/>
        <a:stretch/>
      </xdr:blipFill>
      <xdr:spPr>
        <a:xfrm>
          <a:off x="5605920" y="62686800"/>
          <a:ext cx="1170720" cy="1175040"/>
        </a:xfrm>
        <a:prstGeom prst="rect">
          <a:avLst/>
        </a:prstGeom>
        <a:noFill/>
        <a:ln w="9525">
          <a:noFill/>
        </a:ln>
      </xdr:spPr>
    </xdr:pic>
    <xdr:clientData/>
  </xdr:twoCellAnchor>
  <xdr:twoCellAnchor editAs="oneCell">
    <xdr:from>
      <xdr:col>2</xdr:col>
      <xdr:colOff>38160</xdr:colOff>
      <xdr:row>62</xdr:row>
      <xdr:rowOff>175320</xdr:rowOff>
    </xdr:from>
    <xdr:to>
      <xdr:col>2</xdr:col>
      <xdr:colOff>1208880</xdr:colOff>
      <xdr:row>63</xdr:row>
      <xdr:rowOff>585720</xdr:rowOff>
    </xdr:to>
    <xdr:pic>
      <xdr:nvPicPr>
        <xdr:cNvPr id="704" name="图片 203" descr="11(5)"/>
        <xdr:cNvPicPr/>
      </xdr:nvPicPr>
      <xdr:blipFill>
        <a:blip r:embed="rId152"/>
        <a:stretch/>
      </xdr:blipFill>
      <xdr:spPr>
        <a:xfrm>
          <a:off x="5605920" y="64211760"/>
          <a:ext cx="1170720" cy="1172520"/>
        </a:xfrm>
        <a:prstGeom prst="rect">
          <a:avLst/>
        </a:prstGeom>
        <a:noFill/>
        <a:ln w="9525">
          <a:noFill/>
        </a:ln>
      </xdr:spPr>
    </xdr:pic>
    <xdr:clientData/>
  </xdr:twoCellAnchor>
  <xdr:twoCellAnchor editAs="oneCell">
    <xdr:from>
      <xdr:col>2</xdr:col>
      <xdr:colOff>38160</xdr:colOff>
      <xdr:row>64</xdr:row>
      <xdr:rowOff>174960</xdr:rowOff>
    </xdr:from>
    <xdr:to>
      <xdr:col>2</xdr:col>
      <xdr:colOff>1208880</xdr:colOff>
      <xdr:row>65</xdr:row>
      <xdr:rowOff>586440</xdr:rowOff>
    </xdr:to>
    <xdr:pic>
      <xdr:nvPicPr>
        <xdr:cNvPr id="705" name="图片 205" descr="11(6)"/>
        <xdr:cNvPicPr/>
      </xdr:nvPicPr>
      <xdr:blipFill>
        <a:blip r:embed="rId153"/>
        <a:stretch/>
      </xdr:blipFill>
      <xdr:spPr>
        <a:xfrm>
          <a:off x="5605920" y="65735640"/>
          <a:ext cx="1170720" cy="1173240"/>
        </a:xfrm>
        <a:prstGeom prst="rect">
          <a:avLst/>
        </a:prstGeom>
        <a:noFill/>
        <a:ln w="9525">
          <a:noFill/>
        </a:ln>
      </xdr:spPr>
    </xdr:pic>
    <xdr:clientData/>
  </xdr:twoCellAnchor>
  <xdr:twoCellAnchor editAs="oneCell">
    <xdr:from>
      <xdr:col>2</xdr:col>
      <xdr:colOff>38160</xdr:colOff>
      <xdr:row>52</xdr:row>
      <xdr:rowOff>174960</xdr:rowOff>
    </xdr:from>
    <xdr:to>
      <xdr:col>2</xdr:col>
      <xdr:colOff>1208880</xdr:colOff>
      <xdr:row>53</xdr:row>
      <xdr:rowOff>586440</xdr:rowOff>
    </xdr:to>
    <xdr:pic>
      <xdr:nvPicPr>
        <xdr:cNvPr id="706" name="图片 206" descr="11"/>
        <xdr:cNvPicPr/>
      </xdr:nvPicPr>
      <xdr:blipFill>
        <a:blip r:embed="rId154"/>
        <a:stretch/>
      </xdr:blipFill>
      <xdr:spPr>
        <a:xfrm>
          <a:off x="5605920" y="56591640"/>
          <a:ext cx="1170720" cy="1173240"/>
        </a:xfrm>
        <a:prstGeom prst="rect">
          <a:avLst/>
        </a:prstGeom>
        <a:noFill/>
        <a:ln w="9525">
          <a:noFill/>
        </a:ln>
      </xdr:spPr>
    </xdr:pic>
    <xdr:clientData/>
  </xdr:twoCellAnchor>
  <xdr:twoCellAnchor editAs="oneCell">
    <xdr:from>
      <xdr:col>2</xdr:col>
      <xdr:colOff>38160</xdr:colOff>
      <xdr:row>66</xdr:row>
      <xdr:rowOff>176040</xdr:rowOff>
    </xdr:from>
    <xdr:to>
      <xdr:col>2</xdr:col>
      <xdr:colOff>1208880</xdr:colOff>
      <xdr:row>67</xdr:row>
      <xdr:rowOff>585360</xdr:rowOff>
    </xdr:to>
    <xdr:pic>
      <xdr:nvPicPr>
        <xdr:cNvPr id="707" name="图片 207" descr="11(7)"/>
        <xdr:cNvPicPr/>
      </xdr:nvPicPr>
      <xdr:blipFill>
        <a:blip r:embed="rId155"/>
        <a:stretch/>
      </xdr:blipFill>
      <xdr:spPr>
        <a:xfrm>
          <a:off x="5605920" y="67260600"/>
          <a:ext cx="1170720" cy="1171440"/>
        </a:xfrm>
        <a:prstGeom prst="rect">
          <a:avLst/>
        </a:prstGeom>
        <a:noFill/>
        <a:ln w="9525">
          <a:noFill/>
        </a:ln>
      </xdr:spPr>
    </xdr:pic>
    <xdr:clientData/>
  </xdr:twoCellAnchor>
  <xdr:twoCellAnchor editAs="oneCell">
    <xdr:from>
      <xdr:col>2</xdr:col>
      <xdr:colOff>38160</xdr:colOff>
      <xdr:row>68</xdr:row>
      <xdr:rowOff>175320</xdr:rowOff>
    </xdr:from>
    <xdr:to>
      <xdr:col>2</xdr:col>
      <xdr:colOff>1208880</xdr:colOff>
      <xdr:row>69</xdr:row>
      <xdr:rowOff>585720</xdr:rowOff>
    </xdr:to>
    <xdr:pic>
      <xdr:nvPicPr>
        <xdr:cNvPr id="708" name="图片 208" descr="11(8)"/>
        <xdr:cNvPicPr/>
      </xdr:nvPicPr>
      <xdr:blipFill>
        <a:blip r:embed="rId156"/>
        <a:stretch/>
      </xdr:blipFill>
      <xdr:spPr>
        <a:xfrm>
          <a:off x="5605920" y="68783760"/>
          <a:ext cx="1170720" cy="1172520"/>
        </a:xfrm>
        <a:prstGeom prst="rect">
          <a:avLst/>
        </a:prstGeom>
        <a:noFill/>
        <a:ln w="9525">
          <a:noFill/>
        </a:ln>
      </xdr:spPr>
    </xdr:pic>
    <xdr:clientData/>
  </xdr:twoCellAnchor>
  <xdr:twoCellAnchor editAs="oneCell">
    <xdr:from>
      <xdr:col>2</xdr:col>
      <xdr:colOff>38160</xdr:colOff>
      <xdr:row>70</xdr:row>
      <xdr:rowOff>175680</xdr:rowOff>
    </xdr:from>
    <xdr:to>
      <xdr:col>2</xdr:col>
      <xdr:colOff>1208880</xdr:colOff>
      <xdr:row>71</xdr:row>
      <xdr:rowOff>586080</xdr:rowOff>
    </xdr:to>
    <xdr:pic>
      <xdr:nvPicPr>
        <xdr:cNvPr id="709" name="图片 209" descr="11(9)"/>
        <xdr:cNvPicPr/>
      </xdr:nvPicPr>
      <xdr:blipFill>
        <a:blip r:embed="rId157"/>
        <a:stretch/>
      </xdr:blipFill>
      <xdr:spPr>
        <a:xfrm>
          <a:off x="5605920" y="70308360"/>
          <a:ext cx="1170720" cy="1172160"/>
        </a:xfrm>
        <a:prstGeom prst="rect">
          <a:avLst/>
        </a:prstGeom>
        <a:noFill/>
        <a:ln w="9525">
          <a:noFill/>
        </a:ln>
      </xdr:spPr>
    </xdr:pic>
    <xdr:clientData/>
  </xdr:twoCellAnchor>
  <xdr:twoCellAnchor editAs="oneCell">
    <xdr:from>
      <xdr:col>1</xdr:col>
      <xdr:colOff>38160</xdr:colOff>
      <xdr:row>64</xdr:row>
      <xdr:rowOff>175680</xdr:rowOff>
    </xdr:from>
    <xdr:to>
      <xdr:col>1</xdr:col>
      <xdr:colOff>1208880</xdr:colOff>
      <xdr:row>65</xdr:row>
      <xdr:rowOff>586080</xdr:rowOff>
    </xdr:to>
    <xdr:pic>
      <xdr:nvPicPr>
        <xdr:cNvPr id="710" name="图片 211" descr="2(3)"/>
        <xdr:cNvPicPr/>
      </xdr:nvPicPr>
      <xdr:blipFill>
        <a:blip r:embed="rId158"/>
        <a:stretch/>
      </xdr:blipFill>
      <xdr:spPr>
        <a:xfrm>
          <a:off x="4039920" y="65736360"/>
          <a:ext cx="1170720" cy="1172160"/>
        </a:xfrm>
        <a:prstGeom prst="rect">
          <a:avLst/>
        </a:prstGeom>
        <a:noFill/>
        <a:ln w="9525">
          <a:noFill/>
        </a:ln>
      </xdr:spPr>
    </xdr:pic>
    <xdr:clientData/>
  </xdr:twoCellAnchor>
  <xdr:twoCellAnchor editAs="oneCell">
    <xdr:from>
      <xdr:col>1</xdr:col>
      <xdr:colOff>38160</xdr:colOff>
      <xdr:row>66</xdr:row>
      <xdr:rowOff>174600</xdr:rowOff>
    </xdr:from>
    <xdr:to>
      <xdr:col>1</xdr:col>
      <xdr:colOff>1208880</xdr:colOff>
      <xdr:row>67</xdr:row>
      <xdr:rowOff>586080</xdr:rowOff>
    </xdr:to>
    <xdr:pic>
      <xdr:nvPicPr>
        <xdr:cNvPr id="711" name="图片 212" descr="2(4)"/>
        <xdr:cNvPicPr/>
      </xdr:nvPicPr>
      <xdr:blipFill>
        <a:blip r:embed="rId159"/>
        <a:stretch/>
      </xdr:blipFill>
      <xdr:spPr>
        <a:xfrm>
          <a:off x="4039920" y="67259160"/>
          <a:ext cx="1170720" cy="1173600"/>
        </a:xfrm>
        <a:prstGeom prst="rect">
          <a:avLst/>
        </a:prstGeom>
        <a:noFill/>
        <a:ln w="9525">
          <a:noFill/>
        </a:ln>
      </xdr:spPr>
    </xdr:pic>
    <xdr:clientData/>
  </xdr:twoCellAnchor>
  <xdr:twoCellAnchor editAs="oneCell">
    <xdr:from>
      <xdr:col>1</xdr:col>
      <xdr:colOff>38160</xdr:colOff>
      <xdr:row>68</xdr:row>
      <xdr:rowOff>173880</xdr:rowOff>
    </xdr:from>
    <xdr:to>
      <xdr:col>1</xdr:col>
      <xdr:colOff>1208880</xdr:colOff>
      <xdr:row>69</xdr:row>
      <xdr:rowOff>587160</xdr:rowOff>
    </xdr:to>
    <xdr:pic>
      <xdr:nvPicPr>
        <xdr:cNvPr id="712" name="图片 213" descr="2(5)"/>
        <xdr:cNvPicPr/>
      </xdr:nvPicPr>
      <xdr:blipFill>
        <a:blip r:embed="rId160"/>
        <a:stretch/>
      </xdr:blipFill>
      <xdr:spPr>
        <a:xfrm>
          <a:off x="4039920" y="68782320"/>
          <a:ext cx="1170720" cy="1175400"/>
        </a:xfrm>
        <a:prstGeom prst="rect">
          <a:avLst/>
        </a:prstGeom>
        <a:noFill/>
        <a:ln w="9525">
          <a:noFill/>
        </a:ln>
      </xdr:spPr>
    </xdr:pic>
    <xdr:clientData/>
  </xdr:twoCellAnchor>
  <xdr:twoCellAnchor editAs="oneCell">
    <xdr:from>
      <xdr:col>1</xdr:col>
      <xdr:colOff>38160</xdr:colOff>
      <xdr:row>70</xdr:row>
      <xdr:rowOff>173880</xdr:rowOff>
    </xdr:from>
    <xdr:to>
      <xdr:col>1</xdr:col>
      <xdr:colOff>1208880</xdr:colOff>
      <xdr:row>71</xdr:row>
      <xdr:rowOff>587520</xdr:rowOff>
    </xdr:to>
    <xdr:pic>
      <xdr:nvPicPr>
        <xdr:cNvPr id="713" name="图片 238" descr="2(6)"/>
        <xdr:cNvPicPr/>
      </xdr:nvPicPr>
      <xdr:blipFill>
        <a:blip r:embed="rId161"/>
        <a:stretch/>
      </xdr:blipFill>
      <xdr:spPr>
        <a:xfrm>
          <a:off x="4039920" y="70306560"/>
          <a:ext cx="1170720" cy="1175400"/>
        </a:xfrm>
        <a:prstGeom prst="rect">
          <a:avLst/>
        </a:prstGeom>
        <a:noFill/>
        <a:ln w="9525">
          <a:noFill/>
        </a:ln>
      </xdr:spPr>
    </xdr:pic>
    <xdr:clientData/>
  </xdr:twoCellAnchor>
  <xdr:twoCellAnchor editAs="twoCell">
    <xdr:from>
      <xdr:col>0</xdr:col>
      <xdr:colOff>10080</xdr:colOff>
      <xdr:row>37</xdr:row>
      <xdr:rowOff>0</xdr:rowOff>
    </xdr:from>
    <xdr:to>
      <xdr:col>0</xdr:col>
      <xdr:colOff>837360</xdr:colOff>
      <xdr:row>37</xdr:row>
      <xdr:rowOff>297000</xdr:rowOff>
    </xdr:to>
    <xdr:pic>
      <xdr:nvPicPr>
        <xdr:cNvPr id="714" name="图片 376" descr="快充"/>
        <xdr:cNvPicPr/>
      </xdr:nvPicPr>
      <xdr:blipFill>
        <a:blip r:embed="rId162"/>
        <a:stretch/>
      </xdr:blipFill>
      <xdr:spPr>
        <a:xfrm>
          <a:off x="10080" y="44287920"/>
          <a:ext cx="827280" cy="297000"/>
        </a:xfrm>
        <a:prstGeom prst="rect">
          <a:avLst/>
        </a:prstGeom>
        <a:noFill/>
        <a:ln w="9525">
          <a:noFill/>
        </a:ln>
      </xdr:spPr>
    </xdr:pic>
    <xdr:clientData/>
  </xdr:twoCellAnchor>
  <xdr:twoCellAnchor editAs="twoCell">
    <xdr:from>
      <xdr:col>0</xdr:col>
      <xdr:colOff>10080</xdr:colOff>
      <xdr:row>39</xdr:row>
      <xdr:rowOff>0</xdr:rowOff>
    </xdr:from>
    <xdr:to>
      <xdr:col>0</xdr:col>
      <xdr:colOff>837360</xdr:colOff>
      <xdr:row>39</xdr:row>
      <xdr:rowOff>297000</xdr:rowOff>
    </xdr:to>
    <xdr:pic>
      <xdr:nvPicPr>
        <xdr:cNvPr id="715" name="图片 379" descr="快充"/>
        <xdr:cNvPicPr/>
      </xdr:nvPicPr>
      <xdr:blipFill>
        <a:blip r:embed="rId163"/>
        <a:stretch/>
      </xdr:blipFill>
      <xdr:spPr>
        <a:xfrm>
          <a:off x="10080" y="45812160"/>
          <a:ext cx="827280" cy="297000"/>
        </a:xfrm>
        <a:prstGeom prst="rect">
          <a:avLst/>
        </a:prstGeom>
        <a:noFill/>
        <a:ln w="9525">
          <a:noFill/>
        </a:ln>
      </xdr:spPr>
    </xdr:pic>
    <xdr:clientData/>
  </xdr:twoCellAnchor>
  <xdr:twoCellAnchor editAs="twoCell">
    <xdr:from>
      <xdr:col>0</xdr:col>
      <xdr:colOff>10080</xdr:colOff>
      <xdr:row>41</xdr:row>
      <xdr:rowOff>0</xdr:rowOff>
    </xdr:from>
    <xdr:to>
      <xdr:col>0</xdr:col>
      <xdr:colOff>837360</xdr:colOff>
      <xdr:row>41</xdr:row>
      <xdr:rowOff>297000</xdr:rowOff>
    </xdr:to>
    <xdr:pic>
      <xdr:nvPicPr>
        <xdr:cNvPr id="716" name="图片 382" descr="快充"/>
        <xdr:cNvPicPr/>
      </xdr:nvPicPr>
      <xdr:blipFill>
        <a:blip r:embed="rId164"/>
        <a:stretch/>
      </xdr:blipFill>
      <xdr:spPr>
        <a:xfrm>
          <a:off x="10080" y="47336040"/>
          <a:ext cx="827280" cy="297000"/>
        </a:xfrm>
        <a:prstGeom prst="rect">
          <a:avLst/>
        </a:prstGeom>
        <a:noFill/>
        <a:ln w="9525">
          <a:noFill/>
        </a:ln>
      </xdr:spPr>
    </xdr:pic>
    <xdr:clientData/>
  </xdr:twoCellAnchor>
  <xdr:twoCellAnchor editAs="twoCell">
    <xdr:from>
      <xdr:col>0</xdr:col>
      <xdr:colOff>10080</xdr:colOff>
      <xdr:row>43</xdr:row>
      <xdr:rowOff>0</xdr:rowOff>
    </xdr:from>
    <xdr:to>
      <xdr:col>0</xdr:col>
      <xdr:colOff>837360</xdr:colOff>
      <xdr:row>43</xdr:row>
      <xdr:rowOff>297000</xdr:rowOff>
    </xdr:to>
    <xdr:pic>
      <xdr:nvPicPr>
        <xdr:cNvPr id="717" name="图片 388" descr="快充"/>
        <xdr:cNvPicPr/>
      </xdr:nvPicPr>
      <xdr:blipFill>
        <a:blip r:embed="rId165"/>
        <a:stretch/>
      </xdr:blipFill>
      <xdr:spPr>
        <a:xfrm>
          <a:off x="10080" y="48859920"/>
          <a:ext cx="827280" cy="297000"/>
        </a:xfrm>
        <a:prstGeom prst="rect">
          <a:avLst/>
        </a:prstGeom>
        <a:noFill/>
        <a:ln w="9525">
          <a:noFill/>
        </a:ln>
      </xdr:spPr>
    </xdr:pic>
    <xdr:clientData/>
  </xdr:twoCellAnchor>
  <xdr:twoCellAnchor editAs="twoCell">
    <xdr:from>
      <xdr:col>0</xdr:col>
      <xdr:colOff>10080</xdr:colOff>
      <xdr:row>45</xdr:row>
      <xdr:rowOff>0</xdr:rowOff>
    </xdr:from>
    <xdr:to>
      <xdr:col>0</xdr:col>
      <xdr:colOff>837360</xdr:colOff>
      <xdr:row>45</xdr:row>
      <xdr:rowOff>297000</xdr:rowOff>
    </xdr:to>
    <xdr:pic>
      <xdr:nvPicPr>
        <xdr:cNvPr id="718" name="图片 393" descr="快充"/>
        <xdr:cNvPicPr/>
      </xdr:nvPicPr>
      <xdr:blipFill>
        <a:blip r:embed="rId166"/>
        <a:stretch/>
      </xdr:blipFill>
      <xdr:spPr>
        <a:xfrm>
          <a:off x="10080" y="50384160"/>
          <a:ext cx="827280" cy="297000"/>
        </a:xfrm>
        <a:prstGeom prst="rect">
          <a:avLst/>
        </a:prstGeom>
        <a:noFill/>
        <a:ln w="9525">
          <a:noFill/>
        </a:ln>
      </xdr:spPr>
    </xdr:pic>
    <xdr:clientData/>
  </xdr:twoCellAnchor>
  <xdr:twoCellAnchor editAs="twoCell">
    <xdr:from>
      <xdr:col>0</xdr:col>
      <xdr:colOff>10080</xdr:colOff>
      <xdr:row>47</xdr:row>
      <xdr:rowOff>0</xdr:rowOff>
    </xdr:from>
    <xdr:to>
      <xdr:col>0</xdr:col>
      <xdr:colOff>837360</xdr:colOff>
      <xdr:row>47</xdr:row>
      <xdr:rowOff>297000</xdr:rowOff>
    </xdr:to>
    <xdr:pic>
      <xdr:nvPicPr>
        <xdr:cNvPr id="719" name="图片 399" descr="快充"/>
        <xdr:cNvPicPr/>
      </xdr:nvPicPr>
      <xdr:blipFill>
        <a:blip r:embed="rId167"/>
        <a:stretch/>
      </xdr:blipFill>
      <xdr:spPr>
        <a:xfrm>
          <a:off x="10080" y="51908040"/>
          <a:ext cx="827280" cy="297000"/>
        </a:xfrm>
        <a:prstGeom prst="rect">
          <a:avLst/>
        </a:prstGeom>
        <a:noFill/>
        <a:ln w="9525">
          <a:noFill/>
        </a:ln>
      </xdr:spPr>
    </xdr:pic>
    <xdr:clientData/>
  </xdr:twoCellAnchor>
  <xdr:twoCellAnchor editAs="twoCell">
    <xdr:from>
      <xdr:col>0</xdr:col>
      <xdr:colOff>10080</xdr:colOff>
      <xdr:row>49</xdr:row>
      <xdr:rowOff>0</xdr:rowOff>
    </xdr:from>
    <xdr:to>
      <xdr:col>0</xdr:col>
      <xdr:colOff>837360</xdr:colOff>
      <xdr:row>49</xdr:row>
      <xdr:rowOff>297000</xdr:rowOff>
    </xdr:to>
    <xdr:pic>
      <xdr:nvPicPr>
        <xdr:cNvPr id="720" name="图片 418" descr="快充"/>
        <xdr:cNvPicPr/>
      </xdr:nvPicPr>
      <xdr:blipFill>
        <a:blip r:embed="rId168"/>
        <a:stretch/>
      </xdr:blipFill>
      <xdr:spPr>
        <a:xfrm>
          <a:off x="10080" y="53431920"/>
          <a:ext cx="827280" cy="297000"/>
        </a:xfrm>
        <a:prstGeom prst="rect">
          <a:avLst/>
        </a:prstGeom>
        <a:noFill/>
        <a:ln w="9525">
          <a:noFill/>
        </a:ln>
      </xdr:spPr>
    </xdr:pic>
    <xdr:clientData/>
  </xdr:twoCellAnchor>
  <xdr:twoCellAnchor editAs="twoCell">
    <xdr:from>
      <xdr:col>0</xdr:col>
      <xdr:colOff>10080</xdr:colOff>
      <xdr:row>51</xdr:row>
      <xdr:rowOff>35640</xdr:rowOff>
    </xdr:from>
    <xdr:to>
      <xdr:col>0</xdr:col>
      <xdr:colOff>837360</xdr:colOff>
      <xdr:row>51</xdr:row>
      <xdr:rowOff>332640</xdr:rowOff>
    </xdr:to>
    <xdr:pic>
      <xdr:nvPicPr>
        <xdr:cNvPr id="721" name="图片 439" descr="快充"/>
        <xdr:cNvPicPr/>
      </xdr:nvPicPr>
      <xdr:blipFill>
        <a:blip r:embed="rId169"/>
        <a:stretch/>
      </xdr:blipFill>
      <xdr:spPr>
        <a:xfrm>
          <a:off x="10080" y="54991800"/>
          <a:ext cx="827280" cy="297000"/>
        </a:xfrm>
        <a:prstGeom prst="rect">
          <a:avLst/>
        </a:prstGeom>
        <a:noFill/>
        <a:ln w="9525">
          <a:noFill/>
        </a:ln>
      </xdr:spPr>
    </xdr:pic>
    <xdr:clientData/>
  </xdr:twoCellAnchor>
  <xdr:twoCellAnchor editAs="twoCell">
    <xdr:from>
      <xdr:col>0</xdr:col>
      <xdr:colOff>10080</xdr:colOff>
      <xdr:row>52</xdr:row>
      <xdr:rowOff>0</xdr:rowOff>
    </xdr:from>
    <xdr:to>
      <xdr:col>0</xdr:col>
      <xdr:colOff>837360</xdr:colOff>
      <xdr:row>52</xdr:row>
      <xdr:rowOff>297000</xdr:rowOff>
    </xdr:to>
    <xdr:pic>
      <xdr:nvPicPr>
        <xdr:cNvPr id="722" name="图片 453" descr="快充"/>
        <xdr:cNvPicPr/>
      </xdr:nvPicPr>
      <xdr:blipFill>
        <a:blip r:embed="rId170"/>
        <a:stretch/>
      </xdr:blipFill>
      <xdr:spPr>
        <a:xfrm>
          <a:off x="10080" y="56416680"/>
          <a:ext cx="827280" cy="297000"/>
        </a:xfrm>
        <a:prstGeom prst="rect">
          <a:avLst/>
        </a:prstGeom>
        <a:noFill/>
        <a:ln w="9525">
          <a:noFill/>
        </a:ln>
      </xdr:spPr>
    </xdr:pic>
    <xdr:clientData/>
  </xdr:twoCellAnchor>
  <xdr:twoCellAnchor editAs="twoCell">
    <xdr:from>
      <xdr:col>0</xdr:col>
      <xdr:colOff>10080</xdr:colOff>
      <xdr:row>54</xdr:row>
      <xdr:rowOff>0</xdr:rowOff>
    </xdr:from>
    <xdr:to>
      <xdr:col>0</xdr:col>
      <xdr:colOff>837360</xdr:colOff>
      <xdr:row>54</xdr:row>
      <xdr:rowOff>297000</xdr:rowOff>
    </xdr:to>
    <xdr:pic>
      <xdr:nvPicPr>
        <xdr:cNvPr id="723" name="图片 456" descr="快充"/>
        <xdr:cNvPicPr/>
      </xdr:nvPicPr>
      <xdr:blipFill>
        <a:blip r:embed="rId171"/>
        <a:stretch/>
      </xdr:blipFill>
      <xdr:spPr>
        <a:xfrm>
          <a:off x="10080" y="57940560"/>
          <a:ext cx="827280" cy="297000"/>
        </a:xfrm>
        <a:prstGeom prst="rect">
          <a:avLst/>
        </a:prstGeom>
        <a:noFill/>
        <a:ln w="9525">
          <a:noFill/>
        </a:ln>
      </xdr:spPr>
    </xdr:pic>
    <xdr:clientData/>
  </xdr:twoCellAnchor>
  <xdr:twoCellAnchor editAs="twoCell">
    <xdr:from>
      <xdr:col>0</xdr:col>
      <xdr:colOff>10080</xdr:colOff>
      <xdr:row>56</xdr:row>
      <xdr:rowOff>0</xdr:rowOff>
    </xdr:from>
    <xdr:to>
      <xdr:col>0</xdr:col>
      <xdr:colOff>837360</xdr:colOff>
      <xdr:row>56</xdr:row>
      <xdr:rowOff>297000</xdr:rowOff>
    </xdr:to>
    <xdr:pic>
      <xdr:nvPicPr>
        <xdr:cNvPr id="724" name="图片 461" descr="快充"/>
        <xdr:cNvPicPr/>
      </xdr:nvPicPr>
      <xdr:blipFill>
        <a:blip r:embed="rId172"/>
        <a:stretch/>
      </xdr:blipFill>
      <xdr:spPr>
        <a:xfrm>
          <a:off x="10080" y="59464440"/>
          <a:ext cx="827280" cy="297000"/>
        </a:xfrm>
        <a:prstGeom prst="rect">
          <a:avLst/>
        </a:prstGeom>
        <a:noFill/>
        <a:ln w="9525">
          <a:noFill/>
        </a:ln>
      </xdr:spPr>
    </xdr:pic>
    <xdr:clientData/>
  </xdr:twoCellAnchor>
  <xdr:twoCellAnchor editAs="twoCell">
    <xdr:from>
      <xdr:col>0</xdr:col>
      <xdr:colOff>10080</xdr:colOff>
      <xdr:row>58</xdr:row>
      <xdr:rowOff>0</xdr:rowOff>
    </xdr:from>
    <xdr:to>
      <xdr:col>0</xdr:col>
      <xdr:colOff>837360</xdr:colOff>
      <xdr:row>58</xdr:row>
      <xdr:rowOff>297000</xdr:rowOff>
    </xdr:to>
    <xdr:pic>
      <xdr:nvPicPr>
        <xdr:cNvPr id="725" name="图片 486" descr="快充"/>
        <xdr:cNvPicPr/>
      </xdr:nvPicPr>
      <xdr:blipFill>
        <a:blip r:embed="rId173"/>
        <a:stretch/>
      </xdr:blipFill>
      <xdr:spPr>
        <a:xfrm>
          <a:off x="10080" y="60988680"/>
          <a:ext cx="827280" cy="297000"/>
        </a:xfrm>
        <a:prstGeom prst="rect">
          <a:avLst/>
        </a:prstGeom>
        <a:noFill/>
        <a:ln w="9525">
          <a:noFill/>
        </a:ln>
      </xdr:spPr>
    </xdr:pic>
    <xdr:clientData/>
  </xdr:twoCellAnchor>
  <xdr:twoCellAnchor editAs="twoCell">
    <xdr:from>
      <xdr:col>0</xdr:col>
      <xdr:colOff>10080</xdr:colOff>
      <xdr:row>60</xdr:row>
      <xdr:rowOff>0</xdr:rowOff>
    </xdr:from>
    <xdr:to>
      <xdr:col>0</xdr:col>
      <xdr:colOff>837360</xdr:colOff>
      <xdr:row>60</xdr:row>
      <xdr:rowOff>297000</xdr:rowOff>
    </xdr:to>
    <xdr:pic>
      <xdr:nvPicPr>
        <xdr:cNvPr id="726" name="图片 491" descr="快充"/>
        <xdr:cNvPicPr/>
      </xdr:nvPicPr>
      <xdr:blipFill>
        <a:blip r:embed="rId174"/>
        <a:stretch/>
      </xdr:blipFill>
      <xdr:spPr>
        <a:xfrm>
          <a:off x="10080" y="62512560"/>
          <a:ext cx="827280" cy="297000"/>
        </a:xfrm>
        <a:prstGeom prst="rect">
          <a:avLst/>
        </a:prstGeom>
        <a:noFill/>
        <a:ln w="9525">
          <a:noFill/>
        </a:ln>
      </xdr:spPr>
    </xdr:pic>
    <xdr:clientData/>
  </xdr:twoCellAnchor>
  <xdr:twoCellAnchor editAs="twoCell">
    <xdr:from>
      <xdr:col>0</xdr:col>
      <xdr:colOff>10080</xdr:colOff>
      <xdr:row>62</xdr:row>
      <xdr:rowOff>0</xdr:rowOff>
    </xdr:from>
    <xdr:to>
      <xdr:col>0</xdr:col>
      <xdr:colOff>837360</xdr:colOff>
      <xdr:row>62</xdr:row>
      <xdr:rowOff>297000</xdr:rowOff>
    </xdr:to>
    <xdr:pic>
      <xdr:nvPicPr>
        <xdr:cNvPr id="727" name="图片 506" descr="快充"/>
        <xdr:cNvPicPr/>
      </xdr:nvPicPr>
      <xdr:blipFill>
        <a:blip r:embed="rId175"/>
        <a:stretch/>
      </xdr:blipFill>
      <xdr:spPr>
        <a:xfrm>
          <a:off x="10080" y="64036440"/>
          <a:ext cx="827280" cy="297000"/>
        </a:xfrm>
        <a:prstGeom prst="rect">
          <a:avLst/>
        </a:prstGeom>
        <a:noFill/>
        <a:ln w="9525">
          <a:noFill/>
        </a:ln>
      </xdr:spPr>
    </xdr:pic>
    <xdr:clientData/>
  </xdr:twoCellAnchor>
  <xdr:twoCellAnchor editAs="oneCell">
    <xdr:from>
      <xdr:col>1</xdr:col>
      <xdr:colOff>38160</xdr:colOff>
      <xdr:row>100</xdr:row>
      <xdr:rowOff>141480</xdr:rowOff>
    </xdr:from>
    <xdr:to>
      <xdr:col>1</xdr:col>
      <xdr:colOff>1208880</xdr:colOff>
      <xdr:row>100</xdr:row>
      <xdr:rowOff>1318680</xdr:rowOff>
    </xdr:to>
    <xdr:pic>
      <xdr:nvPicPr>
        <xdr:cNvPr id="728" name="图片 37" descr="1(10)"/>
        <xdr:cNvPicPr/>
      </xdr:nvPicPr>
      <xdr:blipFill>
        <a:blip r:embed="rId176"/>
        <a:stretch/>
      </xdr:blipFill>
      <xdr:spPr>
        <a:xfrm>
          <a:off x="4039920" y="110180520"/>
          <a:ext cx="1170720" cy="1177200"/>
        </a:xfrm>
        <a:prstGeom prst="rect">
          <a:avLst/>
        </a:prstGeom>
        <a:noFill/>
        <a:ln w="9525">
          <a:noFill/>
        </a:ln>
      </xdr:spPr>
    </xdr:pic>
    <xdr:clientData/>
  </xdr:twoCellAnchor>
  <xdr:twoCellAnchor editAs="oneCell">
    <xdr:from>
      <xdr:col>2</xdr:col>
      <xdr:colOff>38160</xdr:colOff>
      <xdr:row>108</xdr:row>
      <xdr:rowOff>140760</xdr:rowOff>
    </xdr:from>
    <xdr:to>
      <xdr:col>2</xdr:col>
      <xdr:colOff>1208880</xdr:colOff>
      <xdr:row>108</xdr:row>
      <xdr:rowOff>1319040</xdr:rowOff>
    </xdr:to>
    <xdr:pic>
      <xdr:nvPicPr>
        <xdr:cNvPr id="729" name="图片 89" descr="9(1)"/>
        <xdr:cNvPicPr/>
      </xdr:nvPicPr>
      <xdr:blipFill>
        <a:blip r:embed="rId177"/>
        <a:stretch/>
      </xdr:blipFill>
      <xdr:spPr>
        <a:xfrm>
          <a:off x="5605920" y="121863960"/>
          <a:ext cx="1170720" cy="1178280"/>
        </a:xfrm>
        <a:prstGeom prst="rect">
          <a:avLst/>
        </a:prstGeom>
        <a:noFill/>
        <a:ln w="9525">
          <a:noFill/>
        </a:ln>
      </xdr:spPr>
    </xdr:pic>
    <xdr:clientData/>
  </xdr:twoCellAnchor>
  <xdr:twoCellAnchor editAs="oneCell">
    <xdr:from>
      <xdr:col>2</xdr:col>
      <xdr:colOff>38160</xdr:colOff>
      <xdr:row>109</xdr:row>
      <xdr:rowOff>144000</xdr:rowOff>
    </xdr:from>
    <xdr:to>
      <xdr:col>2</xdr:col>
      <xdr:colOff>1208880</xdr:colOff>
      <xdr:row>109</xdr:row>
      <xdr:rowOff>1315440</xdr:rowOff>
    </xdr:to>
    <xdr:pic>
      <xdr:nvPicPr>
        <xdr:cNvPr id="730" name="图片 90" descr="9(2)"/>
        <xdr:cNvPicPr/>
      </xdr:nvPicPr>
      <xdr:blipFill>
        <a:blip r:embed="rId178"/>
        <a:stretch/>
      </xdr:blipFill>
      <xdr:spPr>
        <a:xfrm>
          <a:off x="5605920" y="123327720"/>
          <a:ext cx="1170720" cy="1171440"/>
        </a:xfrm>
        <a:prstGeom prst="rect">
          <a:avLst/>
        </a:prstGeom>
        <a:noFill/>
        <a:ln w="9525">
          <a:noFill/>
        </a:ln>
      </xdr:spPr>
    </xdr:pic>
    <xdr:clientData/>
  </xdr:twoCellAnchor>
  <xdr:twoCellAnchor editAs="oneCell">
    <xdr:from>
      <xdr:col>2</xdr:col>
      <xdr:colOff>38160</xdr:colOff>
      <xdr:row>110</xdr:row>
      <xdr:rowOff>143280</xdr:rowOff>
    </xdr:from>
    <xdr:to>
      <xdr:col>2</xdr:col>
      <xdr:colOff>1208880</xdr:colOff>
      <xdr:row>110</xdr:row>
      <xdr:rowOff>1316520</xdr:rowOff>
    </xdr:to>
    <xdr:pic>
      <xdr:nvPicPr>
        <xdr:cNvPr id="731" name="图片 191" descr="9(3)"/>
        <xdr:cNvPicPr/>
      </xdr:nvPicPr>
      <xdr:blipFill>
        <a:blip r:embed="rId179"/>
        <a:stretch/>
      </xdr:blipFill>
      <xdr:spPr>
        <a:xfrm>
          <a:off x="5605920" y="124787520"/>
          <a:ext cx="1170720" cy="1173240"/>
        </a:xfrm>
        <a:prstGeom prst="rect">
          <a:avLst/>
        </a:prstGeom>
        <a:noFill/>
        <a:ln w="9525">
          <a:noFill/>
        </a:ln>
      </xdr:spPr>
    </xdr:pic>
    <xdr:clientData/>
  </xdr:twoCellAnchor>
  <xdr:twoCellAnchor editAs="oneCell">
    <xdr:from>
      <xdr:col>2</xdr:col>
      <xdr:colOff>38160</xdr:colOff>
      <xdr:row>107</xdr:row>
      <xdr:rowOff>141120</xdr:rowOff>
    </xdr:from>
    <xdr:to>
      <xdr:col>2</xdr:col>
      <xdr:colOff>1208880</xdr:colOff>
      <xdr:row>107</xdr:row>
      <xdr:rowOff>1319040</xdr:rowOff>
    </xdr:to>
    <xdr:pic>
      <xdr:nvPicPr>
        <xdr:cNvPr id="732" name="图片 197" descr="9"/>
        <xdr:cNvPicPr/>
      </xdr:nvPicPr>
      <xdr:blipFill>
        <a:blip r:embed="rId180"/>
        <a:stretch/>
      </xdr:blipFill>
      <xdr:spPr>
        <a:xfrm>
          <a:off x="5605920" y="120403800"/>
          <a:ext cx="1170720" cy="1177920"/>
        </a:xfrm>
        <a:prstGeom prst="rect">
          <a:avLst/>
        </a:prstGeom>
        <a:noFill/>
        <a:ln w="9525">
          <a:noFill/>
        </a:ln>
      </xdr:spPr>
    </xdr:pic>
    <xdr:clientData/>
  </xdr:twoCellAnchor>
  <xdr:twoCellAnchor editAs="oneCell">
    <xdr:from>
      <xdr:col>2</xdr:col>
      <xdr:colOff>38160</xdr:colOff>
      <xdr:row>104</xdr:row>
      <xdr:rowOff>144000</xdr:rowOff>
    </xdr:from>
    <xdr:to>
      <xdr:col>2</xdr:col>
      <xdr:colOff>1208880</xdr:colOff>
      <xdr:row>104</xdr:row>
      <xdr:rowOff>1315440</xdr:rowOff>
    </xdr:to>
    <xdr:pic>
      <xdr:nvPicPr>
        <xdr:cNvPr id="733" name="图片 198" descr="9(4)"/>
        <xdr:cNvPicPr/>
      </xdr:nvPicPr>
      <xdr:blipFill>
        <a:blip r:embed="rId181"/>
        <a:stretch/>
      </xdr:blipFill>
      <xdr:spPr>
        <a:xfrm>
          <a:off x="5605920" y="116025120"/>
          <a:ext cx="1170720" cy="1171440"/>
        </a:xfrm>
        <a:prstGeom prst="rect">
          <a:avLst/>
        </a:prstGeom>
        <a:noFill/>
        <a:ln w="9525">
          <a:noFill/>
        </a:ln>
      </xdr:spPr>
    </xdr:pic>
    <xdr:clientData/>
  </xdr:twoCellAnchor>
  <xdr:twoCellAnchor editAs="oneCell">
    <xdr:from>
      <xdr:col>2</xdr:col>
      <xdr:colOff>38160</xdr:colOff>
      <xdr:row>105</xdr:row>
      <xdr:rowOff>140760</xdr:rowOff>
    </xdr:from>
    <xdr:to>
      <xdr:col>2</xdr:col>
      <xdr:colOff>1208880</xdr:colOff>
      <xdr:row>105</xdr:row>
      <xdr:rowOff>1319040</xdr:rowOff>
    </xdr:to>
    <xdr:pic>
      <xdr:nvPicPr>
        <xdr:cNvPr id="734" name="图片 199" descr="9(5)"/>
        <xdr:cNvPicPr/>
      </xdr:nvPicPr>
      <xdr:blipFill>
        <a:blip r:embed="rId182"/>
        <a:stretch/>
      </xdr:blipFill>
      <xdr:spPr>
        <a:xfrm>
          <a:off x="5605920" y="117482400"/>
          <a:ext cx="1170720" cy="1178280"/>
        </a:xfrm>
        <a:prstGeom prst="rect">
          <a:avLst/>
        </a:prstGeom>
        <a:noFill/>
        <a:ln w="9525">
          <a:noFill/>
        </a:ln>
      </xdr:spPr>
    </xdr:pic>
    <xdr:clientData/>
  </xdr:twoCellAnchor>
  <xdr:twoCellAnchor editAs="oneCell">
    <xdr:from>
      <xdr:col>2</xdr:col>
      <xdr:colOff>38160</xdr:colOff>
      <xdr:row>106</xdr:row>
      <xdr:rowOff>141120</xdr:rowOff>
    </xdr:from>
    <xdr:to>
      <xdr:col>2</xdr:col>
      <xdr:colOff>1208880</xdr:colOff>
      <xdr:row>106</xdr:row>
      <xdr:rowOff>1319040</xdr:rowOff>
    </xdr:to>
    <xdr:pic>
      <xdr:nvPicPr>
        <xdr:cNvPr id="735" name="图片 200" descr="9(6)"/>
        <xdr:cNvPicPr/>
      </xdr:nvPicPr>
      <xdr:blipFill>
        <a:blip r:embed="rId183"/>
        <a:stretch/>
      </xdr:blipFill>
      <xdr:spPr>
        <a:xfrm>
          <a:off x="5605920" y="118943280"/>
          <a:ext cx="1170720" cy="1177920"/>
        </a:xfrm>
        <a:prstGeom prst="rect">
          <a:avLst/>
        </a:prstGeom>
        <a:noFill/>
        <a:ln w="9525">
          <a:noFill/>
        </a:ln>
      </xdr:spPr>
    </xdr:pic>
    <xdr:clientData/>
  </xdr:twoCellAnchor>
  <xdr:twoCellAnchor editAs="oneCell">
    <xdr:from>
      <xdr:col>2</xdr:col>
      <xdr:colOff>38160</xdr:colOff>
      <xdr:row>101</xdr:row>
      <xdr:rowOff>143280</xdr:rowOff>
    </xdr:from>
    <xdr:to>
      <xdr:col>2</xdr:col>
      <xdr:colOff>1208880</xdr:colOff>
      <xdr:row>101</xdr:row>
      <xdr:rowOff>1316520</xdr:rowOff>
    </xdr:to>
    <xdr:pic>
      <xdr:nvPicPr>
        <xdr:cNvPr id="736" name="图片 233" descr="9(7)"/>
        <xdr:cNvPicPr/>
      </xdr:nvPicPr>
      <xdr:blipFill>
        <a:blip r:embed="rId184"/>
        <a:stretch/>
      </xdr:blipFill>
      <xdr:spPr>
        <a:xfrm>
          <a:off x="5605920" y="111642840"/>
          <a:ext cx="1170720" cy="1173240"/>
        </a:xfrm>
        <a:prstGeom prst="rect">
          <a:avLst/>
        </a:prstGeom>
        <a:noFill/>
        <a:ln w="9525">
          <a:noFill/>
        </a:ln>
      </xdr:spPr>
    </xdr:pic>
    <xdr:clientData/>
  </xdr:twoCellAnchor>
  <xdr:twoCellAnchor editAs="oneCell">
    <xdr:from>
      <xdr:col>2</xdr:col>
      <xdr:colOff>38160</xdr:colOff>
      <xdr:row>103</xdr:row>
      <xdr:rowOff>144000</xdr:rowOff>
    </xdr:from>
    <xdr:to>
      <xdr:col>2</xdr:col>
      <xdr:colOff>1208880</xdr:colOff>
      <xdr:row>103</xdr:row>
      <xdr:rowOff>1315440</xdr:rowOff>
    </xdr:to>
    <xdr:pic>
      <xdr:nvPicPr>
        <xdr:cNvPr id="737" name="图片 241" descr="9(8)"/>
        <xdr:cNvPicPr/>
      </xdr:nvPicPr>
      <xdr:blipFill>
        <a:blip r:embed="rId185"/>
        <a:stretch/>
      </xdr:blipFill>
      <xdr:spPr>
        <a:xfrm>
          <a:off x="5605920" y="114564600"/>
          <a:ext cx="1170720" cy="1171440"/>
        </a:xfrm>
        <a:prstGeom prst="rect">
          <a:avLst/>
        </a:prstGeom>
        <a:noFill/>
        <a:ln w="9525">
          <a:noFill/>
        </a:ln>
      </xdr:spPr>
    </xdr:pic>
    <xdr:clientData/>
  </xdr:twoCellAnchor>
  <xdr:twoCellAnchor editAs="oneCell">
    <xdr:from>
      <xdr:col>2</xdr:col>
      <xdr:colOff>38160</xdr:colOff>
      <xdr:row>102</xdr:row>
      <xdr:rowOff>143280</xdr:rowOff>
    </xdr:from>
    <xdr:to>
      <xdr:col>2</xdr:col>
      <xdr:colOff>1208880</xdr:colOff>
      <xdr:row>102</xdr:row>
      <xdr:rowOff>1316520</xdr:rowOff>
    </xdr:to>
    <xdr:pic>
      <xdr:nvPicPr>
        <xdr:cNvPr id="738" name="图片 242" descr="9(9)"/>
        <xdr:cNvPicPr/>
      </xdr:nvPicPr>
      <xdr:blipFill>
        <a:blip r:embed="rId186"/>
        <a:stretch/>
      </xdr:blipFill>
      <xdr:spPr>
        <a:xfrm>
          <a:off x="5605920" y="113103360"/>
          <a:ext cx="1170720" cy="1173240"/>
        </a:xfrm>
        <a:prstGeom prst="rect">
          <a:avLst/>
        </a:prstGeom>
        <a:noFill/>
        <a:ln w="9525">
          <a:noFill/>
        </a:ln>
      </xdr:spPr>
    </xdr:pic>
    <xdr:clientData/>
  </xdr:twoCellAnchor>
  <xdr:twoCellAnchor editAs="oneCell">
    <xdr:from>
      <xdr:col>1</xdr:col>
      <xdr:colOff>38160</xdr:colOff>
      <xdr:row>101</xdr:row>
      <xdr:rowOff>143280</xdr:rowOff>
    </xdr:from>
    <xdr:to>
      <xdr:col>1</xdr:col>
      <xdr:colOff>1208880</xdr:colOff>
      <xdr:row>101</xdr:row>
      <xdr:rowOff>1316520</xdr:rowOff>
    </xdr:to>
    <xdr:pic>
      <xdr:nvPicPr>
        <xdr:cNvPr id="739" name="图片 243" descr="1(7)"/>
        <xdr:cNvPicPr/>
      </xdr:nvPicPr>
      <xdr:blipFill>
        <a:blip r:embed="rId187"/>
        <a:stretch/>
      </xdr:blipFill>
      <xdr:spPr>
        <a:xfrm>
          <a:off x="4039920" y="111642840"/>
          <a:ext cx="1170720" cy="1173240"/>
        </a:xfrm>
        <a:prstGeom prst="rect">
          <a:avLst/>
        </a:prstGeom>
        <a:noFill/>
        <a:ln w="9525">
          <a:noFill/>
        </a:ln>
      </xdr:spPr>
    </xdr:pic>
    <xdr:clientData/>
  </xdr:twoCellAnchor>
  <xdr:twoCellAnchor editAs="oneCell">
    <xdr:from>
      <xdr:col>1</xdr:col>
      <xdr:colOff>38160</xdr:colOff>
      <xdr:row>103</xdr:row>
      <xdr:rowOff>141480</xdr:rowOff>
    </xdr:from>
    <xdr:to>
      <xdr:col>1</xdr:col>
      <xdr:colOff>1208880</xdr:colOff>
      <xdr:row>103</xdr:row>
      <xdr:rowOff>1317960</xdr:rowOff>
    </xdr:to>
    <xdr:pic>
      <xdr:nvPicPr>
        <xdr:cNvPr id="740" name="图片 244" descr="1(8)"/>
        <xdr:cNvPicPr/>
      </xdr:nvPicPr>
      <xdr:blipFill>
        <a:blip r:embed="rId188"/>
        <a:stretch/>
      </xdr:blipFill>
      <xdr:spPr>
        <a:xfrm>
          <a:off x="4039920" y="114562080"/>
          <a:ext cx="1170720" cy="1176480"/>
        </a:xfrm>
        <a:prstGeom prst="rect">
          <a:avLst/>
        </a:prstGeom>
        <a:noFill/>
        <a:ln w="9525">
          <a:noFill/>
        </a:ln>
      </xdr:spPr>
    </xdr:pic>
    <xdr:clientData/>
  </xdr:twoCellAnchor>
  <xdr:twoCellAnchor editAs="oneCell">
    <xdr:from>
      <xdr:col>1</xdr:col>
      <xdr:colOff>38160</xdr:colOff>
      <xdr:row>102</xdr:row>
      <xdr:rowOff>144000</xdr:rowOff>
    </xdr:from>
    <xdr:to>
      <xdr:col>1</xdr:col>
      <xdr:colOff>1208880</xdr:colOff>
      <xdr:row>102</xdr:row>
      <xdr:rowOff>1315440</xdr:rowOff>
    </xdr:to>
    <xdr:pic>
      <xdr:nvPicPr>
        <xdr:cNvPr id="741" name="图片 251" descr="1(9)"/>
        <xdr:cNvPicPr/>
      </xdr:nvPicPr>
      <xdr:blipFill>
        <a:blip r:embed="rId189"/>
        <a:stretch/>
      </xdr:blipFill>
      <xdr:spPr>
        <a:xfrm>
          <a:off x="4039920" y="113104080"/>
          <a:ext cx="1170720" cy="1171440"/>
        </a:xfrm>
        <a:prstGeom prst="rect">
          <a:avLst/>
        </a:prstGeom>
        <a:noFill/>
        <a:ln w="9525">
          <a:noFill/>
        </a:ln>
      </xdr:spPr>
    </xdr:pic>
    <xdr:clientData/>
  </xdr:twoCellAnchor>
  <xdr:twoCellAnchor editAs="oneCell">
    <xdr:from>
      <xdr:col>1</xdr:col>
      <xdr:colOff>38160</xdr:colOff>
      <xdr:row>104</xdr:row>
      <xdr:rowOff>143640</xdr:rowOff>
    </xdr:from>
    <xdr:to>
      <xdr:col>1</xdr:col>
      <xdr:colOff>1208880</xdr:colOff>
      <xdr:row>104</xdr:row>
      <xdr:rowOff>1316160</xdr:rowOff>
    </xdr:to>
    <xdr:pic>
      <xdr:nvPicPr>
        <xdr:cNvPr id="742" name="图片 252" descr="1(4)"/>
        <xdr:cNvPicPr/>
      </xdr:nvPicPr>
      <xdr:blipFill>
        <a:blip r:embed="rId190"/>
        <a:stretch/>
      </xdr:blipFill>
      <xdr:spPr>
        <a:xfrm>
          <a:off x="4039920" y="116024760"/>
          <a:ext cx="1170720" cy="1172520"/>
        </a:xfrm>
        <a:prstGeom prst="rect">
          <a:avLst/>
        </a:prstGeom>
        <a:noFill/>
        <a:ln w="9525">
          <a:noFill/>
        </a:ln>
      </xdr:spPr>
    </xdr:pic>
    <xdr:clientData/>
  </xdr:twoCellAnchor>
  <xdr:twoCellAnchor editAs="oneCell">
    <xdr:from>
      <xdr:col>1</xdr:col>
      <xdr:colOff>38160</xdr:colOff>
      <xdr:row>105</xdr:row>
      <xdr:rowOff>141480</xdr:rowOff>
    </xdr:from>
    <xdr:to>
      <xdr:col>1</xdr:col>
      <xdr:colOff>1208880</xdr:colOff>
      <xdr:row>105</xdr:row>
      <xdr:rowOff>1317960</xdr:rowOff>
    </xdr:to>
    <xdr:pic>
      <xdr:nvPicPr>
        <xdr:cNvPr id="743" name="图片 253" descr="1(5)"/>
        <xdr:cNvPicPr/>
      </xdr:nvPicPr>
      <xdr:blipFill>
        <a:blip r:embed="rId191"/>
        <a:stretch/>
      </xdr:blipFill>
      <xdr:spPr>
        <a:xfrm>
          <a:off x="4039920" y="117483120"/>
          <a:ext cx="1170720" cy="1176480"/>
        </a:xfrm>
        <a:prstGeom prst="rect">
          <a:avLst/>
        </a:prstGeom>
        <a:noFill/>
        <a:ln w="9525">
          <a:noFill/>
        </a:ln>
      </xdr:spPr>
    </xdr:pic>
    <xdr:clientData/>
  </xdr:twoCellAnchor>
  <xdr:twoCellAnchor editAs="oneCell">
    <xdr:from>
      <xdr:col>1</xdr:col>
      <xdr:colOff>38160</xdr:colOff>
      <xdr:row>106</xdr:row>
      <xdr:rowOff>143640</xdr:rowOff>
    </xdr:from>
    <xdr:to>
      <xdr:col>1</xdr:col>
      <xdr:colOff>1208880</xdr:colOff>
      <xdr:row>106</xdr:row>
      <xdr:rowOff>1316160</xdr:rowOff>
    </xdr:to>
    <xdr:pic>
      <xdr:nvPicPr>
        <xdr:cNvPr id="744" name="图片 254" descr="1(6)"/>
        <xdr:cNvPicPr/>
      </xdr:nvPicPr>
      <xdr:blipFill>
        <a:blip r:embed="rId192"/>
        <a:stretch/>
      </xdr:blipFill>
      <xdr:spPr>
        <a:xfrm>
          <a:off x="4039920" y="118945800"/>
          <a:ext cx="1170720" cy="1172520"/>
        </a:xfrm>
        <a:prstGeom prst="rect">
          <a:avLst/>
        </a:prstGeom>
        <a:noFill/>
        <a:ln w="9525">
          <a:noFill/>
        </a:ln>
      </xdr:spPr>
    </xdr:pic>
    <xdr:clientData/>
  </xdr:twoCellAnchor>
  <xdr:twoCellAnchor editAs="oneCell">
    <xdr:from>
      <xdr:col>1</xdr:col>
      <xdr:colOff>38160</xdr:colOff>
      <xdr:row>108</xdr:row>
      <xdr:rowOff>144000</xdr:rowOff>
    </xdr:from>
    <xdr:to>
      <xdr:col>1</xdr:col>
      <xdr:colOff>1208880</xdr:colOff>
      <xdr:row>108</xdr:row>
      <xdr:rowOff>1315440</xdr:rowOff>
    </xdr:to>
    <xdr:pic>
      <xdr:nvPicPr>
        <xdr:cNvPr id="745" name="图片 260" descr="1(1)"/>
        <xdr:cNvPicPr/>
      </xdr:nvPicPr>
      <xdr:blipFill>
        <a:blip r:embed="rId193"/>
        <a:stretch/>
      </xdr:blipFill>
      <xdr:spPr>
        <a:xfrm>
          <a:off x="4039920" y="121867200"/>
          <a:ext cx="1170720" cy="1171440"/>
        </a:xfrm>
        <a:prstGeom prst="rect">
          <a:avLst/>
        </a:prstGeom>
        <a:noFill/>
        <a:ln w="9525">
          <a:noFill/>
        </a:ln>
      </xdr:spPr>
    </xdr:pic>
    <xdr:clientData/>
  </xdr:twoCellAnchor>
  <xdr:twoCellAnchor editAs="oneCell">
    <xdr:from>
      <xdr:col>1</xdr:col>
      <xdr:colOff>38160</xdr:colOff>
      <xdr:row>109</xdr:row>
      <xdr:rowOff>144000</xdr:rowOff>
    </xdr:from>
    <xdr:to>
      <xdr:col>1</xdr:col>
      <xdr:colOff>1208880</xdr:colOff>
      <xdr:row>109</xdr:row>
      <xdr:rowOff>1315440</xdr:rowOff>
    </xdr:to>
    <xdr:pic>
      <xdr:nvPicPr>
        <xdr:cNvPr id="746" name="图片 262" descr="1(2)"/>
        <xdr:cNvPicPr/>
      </xdr:nvPicPr>
      <xdr:blipFill>
        <a:blip r:embed="rId194"/>
        <a:stretch/>
      </xdr:blipFill>
      <xdr:spPr>
        <a:xfrm>
          <a:off x="4039920" y="123327720"/>
          <a:ext cx="1170720" cy="1171440"/>
        </a:xfrm>
        <a:prstGeom prst="rect">
          <a:avLst/>
        </a:prstGeom>
        <a:noFill/>
        <a:ln w="9525">
          <a:noFill/>
        </a:ln>
      </xdr:spPr>
    </xdr:pic>
    <xdr:clientData/>
  </xdr:twoCellAnchor>
  <xdr:twoCellAnchor editAs="oneCell">
    <xdr:from>
      <xdr:col>1</xdr:col>
      <xdr:colOff>38160</xdr:colOff>
      <xdr:row>110</xdr:row>
      <xdr:rowOff>140760</xdr:rowOff>
    </xdr:from>
    <xdr:to>
      <xdr:col>1</xdr:col>
      <xdr:colOff>1208880</xdr:colOff>
      <xdr:row>110</xdr:row>
      <xdr:rowOff>1319040</xdr:rowOff>
    </xdr:to>
    <xdr:pic>
      <xdr:nvPicPr>
        <xdr:cNvPr id="747" name="图片 263" descr="1(3)"/>
        <xdr:cNvPicPr/>
      </xdr:nvPicPr>
      <xdr:blipFill>
        <a:blip r:embed="rId195"/>
        <a:stretch/>
      </xdr:blipFill>
      <xdr:spPr>
        <a:xfrm>
          <a:off x="4039920" y="124785000"/>
          <a:ext cx="1170720" cy="1178280"/>
        </a:xfrm>
        <a:prstGeom prst="rect">
          <a:avLst/>
        </a:prstGeom>
        <a:noFill/>
        <a:ln w="9525">
          <a:noFill/>
        </a:ln>
      </xdr:spPr>
    </xdr:pic>
    <xdr:clientData/>
  </xdr:twoCellAnchor>
  <xdr:twoCellAnchor editAs="oneCell">
    <xdr:from>
      <xdr:col>1</xdr:col>
      <xdr:colOff>38160</xdr:colOff>
      <xdr:row>107</xdr:row>
      <xdr:rowOff>146880</xdr:rowOff>
    </xdr:from>
    <xdr:to>
      <xdr:col>1</xdr:col>
      <xdr:colOff>1208880</xdr:colOff>
      <xdr:row>107</xdr:row>
      <xdr:rowOff>1313280</xdr:rowOff>
    </xdr:to>
    <xdr:pic>
      <xdr:nvPicPr>
        <xdr:cNvPr id="748" name="图片 265" descr="1"/>
        <xdr:cNvPicPr/>
      </xdr:nvPicPr>
      <xdr:blipFill>
        <a:blip r:embed="rId196"/>
        <a:stretch/>
      </xdr:blipFill>
      <xdr:spPr>
        <a:xfrm>
          <a:off x="4039920" y="120409560"/>
          <a:ext cx="1170720" cy="1166400"/>
        </a:xfrm>
        <a:prstGeom prst="rect">
          <a:avLst/>
        </a:prstGeom>
        <a:noFill/>
        <a:ln w="9525">
          <a:noFill/>
        </a:ln>
      </xdr:spPr>
    </xdr:pic>
    <xdr:clientData/>
  </xdr:twoCellAnchor>
  <xdr:twoCellAnchor editAs="oneCell">
    <xdr:from>
      <xdr:col>2</xdr:col>
      <xdr:colOff>38160</xdr:colOff>
      <xdr:row>100</xdr:row>
      <xdr:rowOff>146880</xdr:rowOff>
    </xdr:from>
    <xdr:to>
      <xdr:col>2</xdr:col>
      <xdr:colOff>1208880</xdr:colOff>
      <xdr:row>100</xdr:row>
      <xdr:rowOff>1313280</xdr:rowOff>
    </xdr:to>
    <xdr:pic>
      <xdr:nvPicPr>
        <xdr:cNvPr id="749" name="图片 268" descr="9"/>
        <xdr:cNvPicPr/>
      </xdr:nvPicPr>
      <xdr:blipFill>
        <a:blip r:embed="rId197"/>
        <a:stretch/>
      </xdr:blipFill>
      <xdr:spPr>
        <a:xfrm>
          <a:off x="5605920" y="110185920"/>
          <a:ext cx="1170720" cy="1166400"/>
        </a:xfrm>
        <a:prstGeom prst="rect">
          <a:avLst/>
        </a:prstGeom>
        <a:noFill/>
        <a:ln w="9525">
          <a:noFill/>
        </a:ln>
      </xdr:spPr>
    </xdr:pic>
    <xdr:clientData/>
  </xdr:twoCellAnchor>
  <xdr:twoCellAnchor editAs="twoCell">
    <xdr:from>
      <xdr:col>0</xdr:col>
      <xdr:colOff>10080</xdr:colOff>
      <xdr:row>100</xdr:row>
      <xdr:rowOff>0</xdr:rowOff>
    </xdr:from>
    <xdr:to>
      <xdr:col>0</xdr:col>
      <xdr:colOff>837360</xdr:colOff>
      <xdr:row>100</xdr:row>
      <xdr:rowOff>297000</xdr:rowOff>
    </xdr:to>
    <xdr:pic>
      <xdr:nvPicPr>
        <xdr:cNvPr id="750" name="图片 269" descr="快充"/>
        <xdr:cNvPicPr/>
      </xdr:nvPicPr>
      <xdr:blipFill>
        <a:blip r:embed="rId198"/>
        <a:stretch/>
      </xdr:blipFill>
      <xdr:spPr>
        <a:xfrm>
          <a:off x="10080" y="110039040"/>
          <a:ext cx="827280" cy="297000"/>
        </a:xfrm>
        <a:prstGeom prst="rect">
          <a:avLst/>
        </a:prstGeom>
        <a:noFill/>
        <a:ln w="9525">
          <a:noFill/>
        </a:ln>
      </xdr:spPr>
    </xdr:pic>
    <xdr:clientData/>
  </xdr:twoCellAnchor>
  <xdr:twoCellAnchor editAs="twoCell">
    <xdr:from>
      <xdr:col>0</xdr:col>
      <xdr:colOff>10080</xdr:colOff>
      <xdr:row>101</xdr:row>
      <xdr:rowOff>0</xdr:rowOff>
    </xdr:from>
    <xdr:to>
      <xdr:col>0</xdr:col>
      <xdr:colOff>837360</xdr:colOff>
      <xdr:row>101</xdr:row>
      <xdr:rowOff>297000</xdr:rowOff>
    </xdr:to>
    <xdr:pic>
      <xdr:nvPicPr>
        <xdr:cNvPr id="751" name="图片 275" descr="快充"/>
        <xdr:cNvPicPr/>
      </xdr:nvPicPr>
      <xdr:blipFill>
        <a:blip r:embed="rId199"/>
        <a:stretch/>
      </xdr:blipFill>
      <xdr:spPr>
        <a:xfrm>
          <a:off x="10080" y="111499560"/>
          <a:ext cx="827280" cy="297000"/>
        </a:xfrm>
        <a:prstGeom prst="rect">
          <a:avLst/>
        </a:prstGeom>
        <a:noFill/>
        <a:ln w="9525">
          <a:noFill/>
        </a:ln>
      </xdr:spPr>
    </xdr:pic>
    <xdr:clientData/>
  </xdr:twoCellAnchor>
  <xdr:twoCellAnchor editAs="twoCell">
    <xdr:from>
      <xdr:col>0</xdr:col>
      <xdr:colOff>10080</xdr:colOff>
      <xdr:row>102</xdr:row>
      <xdr:rowOff>0</xdr:rowOff>
    </xdr:from>
    <xdr:to>
      <xdr:col>0</xdr:col>
      <xdr:colOff>837360</xdr:colOff>
      <xdr:row>102</xdr:row>
      <xdr:rowOff>297000</xdr:rowOff>
    </xdr:to>
    <xdr:pic>
      <xdr:nvPicPr>
        <xdr:cNvPr id="752" name="图片 277" descr="快充"/>
        <xdr:cNvPicPr/>
      </xdr:nvPicPr>
      <xdr:blipFill>
        <a:blip r:embed="rId200"/>
        <a:stretch/>
      </xdr:blipFill>
      <xdr:spPr>
        <a:xfrm>
          <a:off x="10080" y="112960080"/>
          <a:ext cx="827280" cy="297000"/>
        </a:xfrm>
        <a:prstGeom prst="rect">
          <a:avLst/>
        </a:prstGeom>
        <a:noFill/>
        <a:ln w="9525">
          <a:noFill/>
        </a:ln>
      </xdr:spPr>
    </xdr:pic>
    <xdr:clientData/>
  </xdr:twoCellAnchor>
  <xdr:twoCellAnchor editAs="twoCell">
    <xdr:from>
      <xdr:col>0</xdr:col>
      <xdr:colOff>10080</xdr:colOff>
      <xdr:row>103</xdr:row>
      <xdr:rowOff>0</xdr:rowOff>
    </xdr:from>
    <xdr:to>
      <xdr:col>0</xdr:col>
      <xdr:colOff>837360</xdr:colOff>
      <xdr:row>103</xdr:row>
      <xdr:rowOff>297000</xdr:rowOff>
    </xdr:to>
    <xdr:pic>
      <xdr:nvPicPr>
        <xdr:cNvPr id="753" name="图片 279" descr="快充"/>
        <xdr:cNvPicPr/>
      </xdr:nvPicPr>
      <xdr:blipFill>
        <a:blip r:embed="rId201"/>
        <a:stretch/>
      </xdr:blipFill>
      <xdr:spPr>
        <a:xfrm>
          <a:off x="10080" y="114420600"/>
          <a:ext cx="827280" cy="297000"/>
        </a:xfrm>
        <a:prstGeom prst="rect">
          <a:avLst/>
        </a:prstGeom>
        <a:noFill/>
        <a:ln w="9525">
          <a:noFill/>
        </a:ln>
      </xdr:spPr>
    </xdr:pic>
    <xdr:clientData/>
  </xdr:twoCellAnchor>
  <xdr:twoCellAnchor editAs="twoCell">
    <xdr:from>
      <xdr:col>0</xdr:col>
      <xdr:colOff>10080</xdr:colOff>
      <xdr:row>104</xdr:row>
      <xdr:rowOff>0</xdr:rowOff>
    </xdr:from>
    <xdr:to>
      <xdr:col>0</xdr:col>
      <xdr:colOff>837360</xdr:colOff>
      <xdr:row>104</xdr:row>
      <xdr:rowOff>297000</xdr:rowOff>
    </xdr:to>
    <xdr:pic>
      <xdr:nvPicPr>
        <xdr:cNvPr id="754" name="图片 282" descr="快充"/>
        <xdr:cNvPicPr/>
      </xdr:nvPicPr>
      <xdr:blipFill>
        <a:blip r:embed="rId202"/>
        <a:stretch/>
      </xdr:blipFill>
      <xdr:spPr>
        <a:xfrm>
          <a:off x="10080" y="115881120"/>
          <a:ext cx="827280" cy="297000"/>
        </a:xfrm>
        <a:prstGeom prst="rect">
          <a:avLst/>
        </a:prstGeom>
        <a:noFill/>
        <a:ln w="9525">
          <a:noFill/>
        </a:ln>
      </xdr:spPr>
    </xdr:pic>
    <xdr:clientData/>
  </xdr:twoCellAnchor>
  <xdr:twoCellAnchor editAs="twoCell">
    <xdr:from>
      <xdr:col>0</xdr:col>
      <xdr:colOff>10080</xdr:colOff>
      <xdr:row>105</xdr:row>
      <xdr:rowOff>0</xdr:rowOff>
    </xdr:from>
    <xdr:to>
      <xdr:col>0</xdr:col>
      <xdr:colOff>837360</xdr:colOff>
      <xdr:row>105</xdr:row>
      <xdr:rowOff>297000</xdr:rowOff>
    </xdr:to>
    <xdr:pic>
      <xdr:nvPicPr>
        <xdr:cNvPr id="755" name="图片 309" descr="快充"/>
        <xdr:cNvPicPr/>
      </xdr:nvPicPr>
      <xdr:blipFill>
        <a:blip r:embed="rId203"/>
        <a:stretch/>
      </xdr:blipFill>
      <xdr:spPr>
        <a:xfrm>
          <a:off x="10080" y="117341640"/>
          <a:ext cx="827280" cy="297000"/>
        </a:xfrm>
        <a:prstGeom prst="rect">
          <a:avLst/>
        </a:prstGeom>
        <a:noFill/>
        <a:ln w="9525">
          <a:noFill/>
        </a:ln>
      </xdr:spPr>
    </xdr:pic>
    <xdr:clientData/>
  </xdr:twoCellAnchor>
  <xdr:twoCellAnchor editAs="twoCell">
    <xdr:from>
      <xdr:col>0</xdr:col>
      <xdr:colOff>10080</xdr:colOff>
      <xdr:row>106</xdr:row>
      <xdr:rowOff>0</xdr:rowOff>
    </xdr:from>
    <xdr:to>
      <xdr:col>0</xdr:col>
      <xdr:colOff>837360</xdr:colOff>
      <xdr:row>106</xdr:row>
      <xdr:rowOff>297000</xdr:rowOff>
    </xdr:to>
    <xdr:pic>
      <xdr:nvPicPr>
        <xdr:cNvPr id="756" name="图片 316" descr="快充"/>
        <xdr:cNvPicPr/>
      </xdr:nvPicPr>
      <xdr:blipFill>
        <a:blip r:embed="rId204"/>
        <a:stretch/>
      </xdr:blipFill>
      <xdr:spPr>
        <a:xfrm>
          <a:off x="10080" y="118802160"/>
          <a:ext cx="827280" cy="297000"/>
        </a:xfrm>
        <a:prstGeom prst="rect">
          <a:avLst/>
        </a:prstGeom>
        <a:noFill/>
        <a:ln w="9525">
          <a:noFill/>
        </a:ln>
      </xdr:spPr>
    </xdr:pic>
    <xdr:clientData/>
  </xdr:twoCellAnchor>
  <xdr:twoCellAnchor editAs="oneCell">
    <xdr:from>
      <xdr:col>1</xdr:col>
      <xdr:colOff>38160</xdr:colOff>
      <xdr:row>16</xdr:row>
      <xdr:rowOff>146880</xdr:rowOff>
    </xdr:from>
    <xdr:to>
      <xdr:col>1</xdr:col>
      <xdr:colOff>1208880</xdr:colOff>
      <xdr:row>16</xdr:row>
      <xdr:rowOff>1313280</xdr:rowOff>
    </xdr:to>
    <xdr:pic>
      <xdr:nvPicPr>
        <xdr:cNvPr id="757" name="图片 18" descr="3"/>
        <xdr:cNvPicPr/>
      </xdr:nvPicPr>
      <xdr:blipFill>
        <a:blip r:embed="rId205"/>
        <a:stretch/>
      </xdr:blipFill>
      <xdr:spPr>
        <a:xfrm>
          <a:off x="4039920" y="19069920"/>
          <a:ext cx="1170720" cy="1166400"/>
        </a:xfrm>
        <a:prstGeom prst="rect">
          <a:avLst/>
        </a:prstGeom>
        <a:noFill/>
        <a:ln w="9525">
          <a:noFill/>
        </a:ln>
      </xdr:spPr>
    </xdr:pic>
    <xdr:clientData/>
  </xdr:twoCellAnchor>
  <xdr:twoCellAnchor editAs="oneCell">
    <xdr:from>
      <xdr:col>2</xdr:col>
      <xdr:colOff>38160</xdr:colOff>
      <xdr:row>16</xdr:row>
      <xdr:rowOff>145800</xdr:rowOff>
    </xdr:from>
    <xdr:to>
      <xdr:col>2</xdr:col>
      <xdr:colOff>1208880</xdr:colOff>
      <xdr:row>16</xdr:row>
      <xdr:rowOff>1313640</xdr:rowOff>
    </xdr:to>
    <xdr:pic>
      <xdr:nvPicPr>
        <xdr:cNvPr id="758" name="图片 27" descr="11"/>
        <xdr:cNvPicPr/>
      </xdr:nvPicPr>
      <xdr:blipFill>
        <a:blip r:embed="rId206"/>
        <a:stretch/>
      </xdr:blipFill>
      <xdr:spPr>
        <a:xfrm>
          <a:off x="5605920" y="19068840"/>
          <a:ext cx="1170720" cy="1167840"/>
        </a:xfrm>
        <a:prstGeom prst="rect">
          <a:avLst/>
        </a:prstGeom>
        <a:noFill/>
        <a:ln w="9525">
          <a:noFill/>
        </a:ln>
      </xdr:spPr>
    </xdr:pic>
    <xdr:clientData/>
  </xdr:twoCellAnchor>
  <xdr:twoCellAnchor editAs="oneCell">
    <xdr:from>
      <xdr:col>1</xdr:col>
      <xdr:colOff>38160</xdr:colOff>
      <xdr:row>111</xdr:row>
      <xdr:rowOff>144360</xdr:rowOff>
    </xdr:from>
    <xdr:to>
      <xdr:col>1</xdr:col>
      <xdr:colOff>1208880</xdr:colOff>
      <xdr:row>111</xdr:row>
      <xdr:rowOff>1315080</xdr:rowOff>
    </xdr:to>
    <xdr:pic>
      <xdr:nvPicPr>
        <xdr:cNvPr id="759" name="图片 52" descr="1(3)"/>
        <xdr:cNvPicPr/>
      </xdr:nvPicPr>
      <xdr:blipFill>
        <a:blip r:embed="rId207"/>
        <a:stretch/>
      </xdr:blipFill>
      <xdr:spPr>
        <a:xfrm>
          <a:off x="4039920" y="126249120"/>
          <a:ext cx="1170720" cy="1170720"/>
        </a:xfrm>
        <a:prstGeom prst="rect">
          <a:avLst/>
        </a:prstGeom>
        <a:noFill/>
        <a:ln w="9525">
          <a:noFill/>
        </a:ln>
      </xdr:spPr>
    </xdr:pic>
    <xdr:clientData/>
  </xdr:twoCellAnchor>
  <xdr:twoCellAnchor editAs="oneCell">
    <xdr:from>
      <xdr:col>2</xdr:col>
      <xdr:colOff>38160</xdr:colOff>
      <xdr:row>111</xdr:row>
      <xdr:rowOff>140400</xdr:rowOff>
    </xdr:from>
    <xdr:to>
      <xdr:col>2</xdr:col>
      <xdr:colOff>1208880</xdr:colOff>
      <xdr:row>111</xdr:row>
      <xdr:rowOff>1319400</xdr:rowOff>
    </xdr:to>
    <xdr:pic>
      <xdr:nvPicPr>
        <xdr:cNvPr id="760" name="图片 53" descr="9(2)"/>
        <xdr:cNvPicPr/>
      </xdr:nvPicPr>
      <xdr:blipFill>
        <a:blip r:embed="rId208"/>
        <a:stretch/>
      </xdr:blipFill>
      <xdr:spPr>
        <a:xfrm>
          <a:off x="5605920" y="126245160"/>
          <a:ext cx="1170720" cy="1179000"/>
        </a:xfrm>
        <a:prstGeom prst="rect">
          <a:avLst/>
        </a:prstGeom>
        <a:noFill/>
        <a:ln w="9525">
          <a:noFill/>
        </a:ln>
      </xdr:spPr>
    </xdr:pic>
    <xdr:clientData/>
  </xdr:twoCellAnchor>
  <xdr:twoCellAnchor editAs="twoCell">
    <xdr:from>
      <xdr:col>0</xdr:col>
      <xdr:colOff>10080</xdr:colOff>
      <xdr:row>111</xdr:row>
      <xdr:rowOff>0</xdr:rowOff>
    </xdr:from>
    <xdr:to>
      <xdr:col>0</xdr:col>
      <xdr:colOff>837360</xdr:colOff>
      <xdr:row>111</xdr:row>
      <xdr:rowOff>297000</xdr:rowOff>
    </xdr:to>
    <xdr:pic>
      <xdr:nvPicPr>
        <xdr:cNvPr id="761" name="图片 78" descr="快充"/>
        <xdr:cNvPicPr/>
      </xdr:nvPicPr>
      <xdr:blipFill>
        <a:blip r:embed="rId209"/>
        <a:stretch/>
      </xdr:blipFill>
      <xdr:spPr>
        <a:xfrm>
          <a:off x="10080" y="126104760"/>
          <a:ext cx="827280" cy="297000"/>
        </a:xfrm>
        <a:prstGeom prst="rect">
          <a:avLst/>
        </a:prstGeom>
        <a:noFill/>
        <a:ln w="9525">
          <a:noFill/>
        </a:ln>
      </xdr:spPr>
    </xdr:pic>
    <xdr:clientData/>
  </xdr:twoCellAnchor>
  <xdr:twoCellAnchor editAs="oneCell">
    <xdr:from>
      <xdr:col>1</xdr:col>
      <xdr:colOff>38160</xdr:colOff>
      <xdr:row>18</xdr:row>
      <xdr:rowOff>143640</xdr:rowOff>
    </xdr:from>
    <xdr:to>
      <xdr:col>1</xdr:col>
      <xdr:colOff>1208880</xdr:colOff>
      <xdr:row>18</xdr:row>
      <xdr:rowOff>1316160</xdr:rowOff>
    </xdr:to>
    <xdr:pic>
      <xdr:nvPicPr>
        <xdr:cNvPr id="762" name="图片 148" descr="3(2)"/>
        <xdr:cNvPicPr/>
      </xdr:nvPicPr>
      <xdr:blipFill>
        <a:blip r:embed="rId210"/>
        <a:stretch/>
      </xdr:blipFill>
      <xdr:spPr>
        <a:xfrm>
          <a:off x="4039920" y="21987720"/>
          <a:ext cx="1170720" cy="1172520"/>
        </a:xfrm>
        <a:prstGeom prst="rect">
          <a:avLst/>
        </a:prstGeom>
        <a:noFill/>
        <a:ln w="9525">
          <a:noFill/>
        </a:ln>
      </xdr:spPr>
    </xdr:pic>
    <xdr:clientData/>
  </xdr:twoCellAnchor>
  <xdr:twoCellAnchor editAs="oneCell">
    <xdr:from>
      <xdr:col>2</xdr:col>
      <xdr:colOff>38160</xdr:colOff>
      <xdr:row>18</xdr:row>
      <xdr:rowOff>143280</xdr:rowOff>
    </xdr:from>
    <xdr:to>
      <xdr:col>2</xdr:col>
      <xdr:colOff>1208880</xdr:colOff>
      <xdr:row>18</xdr:row>
      <xdr:rowOff>1316520</xdr:rowOff>
    </xdr:to>
    <xdr:pic>
      <xdr:nvPicPr>
        <xdr:cNvPr id="763" name="图片 189" descr="11"/>
        <xdr:cNvPicPr/>
      </xdr:nvPicPr>
      <xdr:blipFill>
        <a:blip r:embed="rId211"/>
        <a:stretch/>
      </xdr:blipFill>
      <xdr:spPr>
        <a:xfrm>
          <a:off x="5605920" y="21987360"/>
          <a:ext cx="1170720" cy="1173240"/>
        </a:xfrm>
        <a:prstGeom prst="rect">
          <a:avLst/>
        </a:prstGeom>
        <a:noFill/>
        <a:ln w="9525">
          <a:noFill/>
        </a:ln>
      </xdr:spPr>
    </xdr:pic>
    <xdr:clientData/>
  </xdr:twoCellAnchor>
  <xdr:twoCellAnchor editAs="oneCell">
    <xdr:from>
      <xdr:col>1</xdr:col>
      <xdr:colOff>38160</xdr:colOff>
      <xdr:row>10</xdr:row>
      <xdr:rowOff>143280</xdr:rowOff>
    </xdr:from>
    <xdr:to>
      <xdr:col>1</xdr:col>
      <xdr:colOff>1208880</xdr:colOff>
      <xdr:row>10</xdr:row>
      <xdr:rowOff>1316520</xdr:rowOff>
    </xdr:to>
    <xdr:pic>
      <xdr:nvPicPr>
        <xdr:cNvPr id="764" name="图片 13" descr="1"/>
        <xdr:cNvPicPr/>
      </xdr:nvPicPr>
      <xdr:blipFill>
        <a:blip r:embed="rId212"/>
        <a:stretch/>
      </xdr:blipFill>
      <xdr:spPr>
        <a:xfrm>
          <a:off x="4039920" y="10303200"/>
          <a:ext cx="1170720" cy="1173240"/>
        </a:xfrm>
        <a:prstGeom prst="rect">
          <a:avLst/>
        </a:prstGeom>
        <a:noFill/>
        <a:ln w="9525">
          <a:noFill/>
        </a:ln>
      </xdr:spPr>
    </xdr:pic>
    <xdr:clientData/>
  </xdr:twoCellAnchor>
  <xdr:twoCellAnchor editAs="oneCell">
    <xdr:from>
      <xdr:col>2</xdr:col>
      <xdr:colOff>38160</xdr:colOff>
      <xdr:row>10</xdr:row>
      <xdr:rowOff>144000</xdr:rowOff>
    </xdr:from>
    <xdr:to>
      <xdr:col>2</xdr:col>
      <xdr:colOff>1208880</xdr:colOff>
      <xdr:row>10</xdr:row>
      <xdr:rowOff>1315440</xdr:rowOff>
    </xdr:to>
    <xdr:pic>
      <xdr:nvPicPr>
        <xdr:cNvPr id="765" name="图片 14" descr="9"/>
        <xdr:cNvPicPr/>
      </xdr:nvPicPr>
      <xdr:blipFill>
        <a:blip r:embed="rId213"/>
        <a:stretch/>
      </xdr:blipFill>
      <xdr:spPr>
        <a:xfrm>
          <a:off x="5605920" y="10303920"/>
          <a:ext cx="1170720" cy="1171440"/>
        </a:xfrm>
        <a:prstGeom prst="rect">
          <a:avLst/>
        </a:prstGeom>
        <a:noFill/>
        <a:ln w="9525">
          <a:noFill/>
        </a:ln>
      </xdr:spPr>
    </xdr:pic>
    <xdr:clientData/>
  </xdr:twoCellAnchor>
  <xdr:twoCellAnchor editAs="oneCell">
    <xdr:from>
      <xdr:col>1</xdr:col>
      <xdr:colOff>38160</xdr:colOff>
      <xdr:row>11</xdr:row>
      <xdr:rowOff>140760</xdr:rowOff>
    </xdr:from>
    <xdr:to>
      <xdr:col>1</xdr:col>
      <xdr:colOff>1208880</xdr:colOff>
      <xdr:row>11</xdr:row>
      <xdr:rowOff>1319040</xdr:rowOff>
    </xdr:to>
    <xdr:pic>
      <xdr:nvPicPr>
        <xdr:cNvPr id="766" name="图片 23" descr="1"/>
        <xdr:cNvPicPr/>
      </xdr:nvPicPr>
      <xdr:blipFill>
        <a:blip r:embed="rId214"/>
        <a:stretch/>
      </xdr:blipFill>
      <xdr:spPr>
        <a:xfrm>
          <a:off x="4039920" y="11761200"/>
          <a:ext cx="1170720" cy="1178280"/>
        </a:xfrm>
        <a:prstGeom prst="rect">
          <a:avLst/>
        </a:prstGeom>
        <a:noFill/>
        <a:ln w="9525">
          <a:noFill/>
        </a:ln>
      </xdr:spPr>
    </xdr:pic>
    <xdr:clientData/>
  </xdr:twoCellAnchor>
  <xdr:twoCellAnchor editAs="oneCell">
    <xdr:from>
      <xdr:col>2</xdr:col>
      <xdr:colOff>38160</xdr:colOff>
      <xdr:row>11</xdr:row>
      <xdr:rowOff>144000</xdr:rowOff>
    </xdr:from>
    <xdr:to>
      <xdr:col>2</xdr:col>
      <xdr:colOff>1208880</xdr:colOff>
      <xdr:row>11</xdr:row>
      <xdr:rowOff>1315440</xdr:rowOff>
    </xdr:to>
    <xdr:pic>
      <xdr:nvPicPr>
        <xdr:cNvPr id="767" name="图片 28" descr="9"/>
        <xdr:cNvPicPr/>
      </xdr:nvPicPr>
      <xdr:blipFill>
        <a:blip r:embed="rId215"/>
        <a:stretch/>
      </xdr:blipFill>
      <xdr:spPr>
        <a:xfrm>
          <a:off x="5605920" y="11764440"/>
          <a:ext cx="1170720" cy="1171440"/>
        </a:xfrm>
        <a:prstGeom prst="rect">
          <a:avLst/>
        </a:prstGeom>
        <a:noFill/>
        <a:ln w="9525">
          <a:noFill/>
        </a:ln>
      </xdr:spPr>
    </xdr:pic>
    <xdr:clientData/>
  </xdr:twoCellAnchor>
  <xdr:twoCellAnchor editAs="oneCell">
    <xdr:from>
      <xdr:col>1</xdr:col>
      <xdr:colOff>38160</xdr:colOff>
      <xdr:row>12</xdr:row>
      <xdr:rowOff>143280</xdr:rowOff>
    </xdr:from>
    <xdr:to>
      <xdr:col>1</xdr:col>
      <xdr:colOff>1208880</xdr:colOff>
      <xdr:row>12</xdr:row>
      <xdr:rowOff>1316520</xdr:rowOff>
    </xdr:to>
    <xdr:pic>
      <xdr:nvPicPr>
        <xdr:cNvPr id="768" name="图片 56" descr="1"/>
        <xdr:cNvPicPr/>
      </xdr:nvPicPr>
      <xdr:blipFill>
        <a:blip r:embed="rId216"/>
        <a:stretch/>
      </xdr:blipFill>
      <xdr:spPr>
        <a:xfrm>
          <a:off x="4039920" y="13224240"/>
          <a:ext cx="1170720" cy="1173240"/>
        </a:xfrm>
        <a:prstGeom prst="rect">
          <a:avLst/>
        </a:prstGeom>
        <a:noFill/>
        <a:ln w="9525">
          <a:noFill/>
        </a:ln>
      </xdr:spPr>
    </xdr:pic>
    <xdr:clientData/>
  </xdr:twoCellAnchor>
  <xdr:twoCellAnchor editAs="oneCell">
    <xdr:from>
      <xdr:col>2</xdr:col>
      <xdr:colOff>38160</xdr:colOff>
      <xdr:row>12</xdr:row>
      <xdr:rowOff>144000</xdr:rowOff>
    </xdr:from>
    <xdr:to>
      <xdr:col>2</xdr:col>
      <xdr:colOff>1208880</xdr:colOff>
      <xdr:row>12</xdr:row>
      <xdr:rowOff>1315440</xdr:rowOff>
    </xdr:to>
    <xdr:pic>
      <xdr:nvPicPr>
        <xdr:cNvPr id="769" name="图片 57" descr="9"/>
        <xdr:cNvPicPr/>
      </xdr:nvPicPr>
      <xdr:blipFill>
        <a:blip r:embed="rId217"/>
        <a:stretch/>
      </xdr:blipFill>
      <xdr:spPr>
        <a:xfrm>
          <a:off x="5605920" y="13224960"/>
          <a:ext cx="1170720" cy="1171440"/>
        </a:xfrm>
        <a:prstGeom prst="rect">
          <a:avLst/>
        </a:prstGeom>
        <a:noFill/>
        <a:ln w="9525">
          <a:noFill/>
        </a:ln>
      </xdr:spPr>
    </xdr:pic>
    <xdr:clientData/>
  </xdr:twoCellAnchor>
  <xdr:twoCellAnchor editAs="twoCell">
    <xdr:from>
      <xdr:col>0</xdr:col>
      <xdr:colOff>10080</xdr:colOff>
      <xdr:row>12</xdr:row>
      <xdr:rowOff>0</xdr:rowOff>
    </xdr:from>
    <xdr:to>
      <xdr:col>0</xdr:col>
      <xdr:colOff>837360</xdr:colOff>
      <xdr:row>12</xdr:row>
      <xdr:rowOff>297000</xdr:rowOff>
    </xdr:to>
    <xdr:pic>
      <xdr:nvPicPr>
        <xdr:cNvPr id="770" name="图片 187" descr="快充"/>
        <xdr:cNvPicPr/>
      </xdr:nvPicPr>
      <xdr:blipFill>
        <a:blip r:embed="rId218"/>
        <a:stretch/>
      </xdr:blipFill>
      <xdr:spPr>
        <a:xfrm>
          <a:off x="10080" y="13080960"/>
          <a:ext cx="827280" cy="297000"/>
        </a:xfrm>
        <a:prstGeom prst="rect">
          <a:avLst/>
        </a:prstGeom>
        <a:noFill/>
        <a:ln w="9525">
          <a:noFill/>
        </a:ln>
      </xdr:spPr>
    </xdr:pic>
    <xdr:clientData/>
  </xdr:twoCellAnchor>
  <xdr:twoCellAnchor editAs="twoCell">
    <xdr:from>
      <xdr:col>0</xdr:col>
      <xdr:colOff>10080</xdr:colOff>
      <xdr:row>11</xdr:row>
      <xdr:rowOff>0</xdr:rowOff>
    </xdr:from>
    <xdr:to>
      <xdr:col>0</xdr:col>
      <xdr:colOff>837360</xdr:colOff>
      <xdr:row>11</xdr:row>
      <xdr:rowOff>297000</xdr:rowOff>
    </xdr:to>
    <xdr:pic>
      <xdr:nvPicPr>
        <xdr:cNvPr id="771" name="图片 220" descr="快充"/>
        <xdr:cNvPicPr/>
      </xdr:nvPicPr>
      <xdr:blipFill>
        <a:blip r:embed="rId219"/>
        <a:stretch/>
      </xdr:blipFill>
      <xdr:spPr>
        <a:xfrm>
          <a:off x="10080" y="11620440"/>
          <a:ext cx="827280" cy="297000"/>
        </a:xfrm>
        <a:prstGeom prst="rect">
          <a:avLst/>
        </a:prstGeom>
        <a:noFill/>
        <a:ln w="9525">
          <a:noFill/>
        </a:ln>
      </xdr:spPr>
    </xdr:pic>
    <xdr:clientData/>
  </xdr:twoCellAnchor>
  <xdr:twoCellAnchor editAs="twoCell">
    <xdr:from>
      <xdr:col>0</xdr:col>
      <xdr:colOff>10080</xdr:colOff>
      <xdr:row>10</xdr:row>
      <xdr:rowOff>0</xdr:rowOff>
    </xdr:from>
    <xdr:to>
      <xdr:col>0</xdr:col>
      <xdr:colOff>837360</xdr:colOff>
      <xdr:row>10</xdr:row>
      <xdr:rowOff>297000</xdr:rowOff>
    </xdr:to>
    <xdr:pic>
      <xdr:nvPicPr>
        <xdr:cNvPr id="772" name="图片 236" descr="快充"/>
        <xdr:cNvPicPr/>
      </xdr:nvPicPr>
      <xdr:blipFill>
        <a:blip r:embed="rId220"/>
        <a:stretch/>
      </xdr:blipFill>
      <xdr:spPr>
        <a:xfrm>
          <a:off x="10080" y="10159920"/>
          <a:ext cx="827280" cy="297000"/>
        </a:xfrm>
        <a:prstGeom prst="rect">
          <a:avLst/>
        </a:prstGeom>
        <a:noFill/>
        <a:ln w="9525">
          <a:noFill/>
        </a:ln>
      </xdr:spPr>
    </xdr:pic>
    <xdr:clientData/>
  </xdr:twoCellAnchor>
  <xdr:twoCellAnchor editAs="oneCell">
    <xdr:from>
      <xdr:col>1</xdr:col>
      <xdr:colOff>38160</xdr:colOff>
      <xdr:row>95</xdr:row>
      <xdr:rowOff>140760</xdr:rowOff>
    </xdr:from>
    <xdr:to>
      <xdr:col>1</xdr:col>
      <xdr:colOff>1208880</xdr:colOff>
      <xdr:row>95</xdr:row>
      <xdr:rowOff>1319040</xdr:rowOff>
    </xdr:to>
    <xdr:pic>
      <xdr:nvPicPr>
        <xdr:cNvPr id="773" name="图片 63" descr="1"/>
        <xdr:cNvPicPr/>
      </xdr:nvPicPr>
      <xdr:blipFill>
        <a:blip r:embed="rId221"/>
        <a:stretch/>
      </xdr:blipFill>
      <xdr:spPr>
        <a:xfrm>
          <a:off x="4039920" y="102877560"/>
          <a:ext cx="1170720" cy="1178280"/>
        </a:xfrm>
        <a:prstGeom prst="rect">
          <a:avLst/>
        </a:prstGeom>
        <a:noFill/>
        <a:ln w="9525">
          <a:noFill/>
        </a:ln>
      </xdr:spPr>
    </xdr:pic>
    <xdr:clientData/>
  </xdr:twoCellAnchor>
  <xdr:twoCellAnchor editAs="oneCell">
    <xdr:from>
      <xdr:col>2</xdr:col>
      <xdr:colOff>38160</xdr:colOff>
      <xdr:row>95</xdr:row>
      <xdr:rowOff>145800</xdr:rowOff>
    </xdr:from>
    <xdr:to>
      <xdr:col>2</xdr:col>
      <xdr:colOff>1208880</xdr:colOff>
      <xdr:row>95</xdr:row>
      <xdr:rowOff>1313640</xdr:rowOff>
    </xdr:to>
    <xdr:pic>
      <xdr:nvPicPr>
        <xdr:cNvPr id="774" name="图片 64" descr="9"/>
        <xdr:cNvPicPr/>
      </xdr:nvPicPr>
      <xdr:blipFill>
        <a:blip r:embed="rId222"/>
        <a:stretch/>
      </xdr:blipFill>
      <xdr:spPr>
        <a:xfrm>
          <a:off x="5605920" y="102882600"/>
          <a:ext cx="1170720" cy="1167840"/>
        </a:xfrm>
        <a:prstGeom prst="rect">
          <a:avLst/>
        </a:prstGeom>
        <a:noFill/>
        <a:ln w="9525">
          <a:noFill/>
        </a:ln>
      </xdr:spPr>
    </xdr:pic>
    <xdr:clientData/>
  </xdr:twoCellAnchor>
  <xdr:twoCellAnchor editAs="oneCell">
    <xdr:from>
      <xdr:col>2</xdr:col>
      <xdr:colOff>38160</xdr:colOff>
      <xdr:row>96</xdr:row>
      <xdr:rowOff>141480</xdr:rowOff>
    </xdr:from>
    <xdr:to>
      <xdr:col>2</xdr:col>
      <xdr:colOff>1208880</xdr:colOff>
      <xdr:row>96</xdr:row>
      <xdr:rowOff>1318680</xdr:rowOff>
    </xdr:to>
    <xdr:pic>
      <xdr:nvPicPr>
        <xdr:cNvPr id="775" name="图片 87" descr="9"/>
        <xdr:cNvPicPr/>
      </xdr:nvPicPr>
      <xdr:blipFill>
        <a:blip r:embed="rId223"/>
        <a:stretch/>
      </xdr:blipFill>
      <xdr:spPr>
        <a:xfrm>
          <a:off x="5605920" y="104338800"/>
          <a:ext cx="1170720" cy="1177200"/>
        </a:xfrm>
        <a:prstGeom prst="rect">
          <a:avLst/>
        </a:prstGeom>
        <a:noFill/>
        <a:ln w="9525">
          <a:noFill/>
        </a:ln>
      </xdr:spPr>
    </xdr:pic>
    <xdr:clientData/>
  </xdr:twoCellAnchor>
  <xdr:twoCellAnchor editAs="oneCell">
    <xdr:from>
      <xdr:col>1</xdr:col>
      <xdr:colOff>38160</xdr:colOff>
      <xdr:row>96</xdr:row>
      <xdr:rowOff>143640</xdr:rowOff>
    </xdr:from>
    <xdr:to>
      <xdr:col>1</xdr:col>
      <xdr:colOff>1208880</xdr:colOff>
      <xdr:row>96</xdr:row>
      <xdr:rowOff>1316160</xdr:rowOff>
    </xdr:to>
    <xdr:pic>
      <xdr:nvPicPr>
        <xdr:cNvPr id="776" name="图片 88" descr="1"/>
        <xdr:cNvPicPr/>
      </xdr:nvPicPr>
      <xdr:blipFill>
        <a:blip r:embed="rId224"/>
        <a:stretch/>
      </xdr:blipFill>
      <xdr:spPr>
        <a:xfrm>
          <a:off x="4039920" y="104340960"/>
          <a:ext cx="1170720" cy="1172520"/>
        </a:xfrm>
        <a:prstGeom prst="rect">
          <a:avLst/>
        </a:prstGeom>
        <a:noFill/>
        <a:ln w="9525">
          <a:noFill/>
        </a:ln>
      </xdr:spPr>
    </xdr:pic>
    <xdr:clientData/>
  </xdr:twoCellAnchor>
  <xdr:twoCellAnchor editAs="oneCell">
    <xdr:from>
      <xdr:col>1</xdr:col>
      <xdr:colOff>38160</xdr:colOff>
      <xdr:row>97</xdr:row>
      <xdr:rowOff>140760</xdr:rowOff>
    </xdr:from>
    <xdr:to>
      <xdr:col>1</xdr:col>
      <xdr:colOff>1208880</xdr:colOff>
      <xdr:row>97</xdr:row>
      <xdr:rowOff>1319040</xdr:rowOff>
    </xdr:to>
    <xdr:pic>
      <xdr:nvPicPr>
        <xdr:cNvPr id="777" name="图片 113" descr="1"/>
        <xdr:cNvPicPr/>
      </xdr:nvPicPr>
      <xdr:blipFill>
        <a:blip r:embed="rId225"/>
        <a:stretch/>
      </xdr:blipFill>
      <xdr:spPr>
        <a:xfrm>
          <a:off x="4039920" y="105798240"/>
          <a:ext cx="1170720" cy="1178280"/>
        </a:xfrm>
        <a:prstGeom prst="rect">
          <a:avLst/>
        </a:prstGeom>
        <a:noFill/>
        <a:ln w="9525">
          <a:noFill/>
        </a:ln>
      </xdr:spPr>
    </xdr:pic>
    <xdr:clientData/>
  </xdr:twoCellAnchor>
  <xdr:twoCellAnchor editAs="oneCell">
    <xdr:from>
      <xdr:col>2</xdr:col>
      <xdr:colOff>38160</xdr:colOff>
      <xdr:row>97</xdr:row>
      <xdr:rowOff>140760</xdr:rowOff>
    </xdr:from>
    <xdr:to>
      <xdr:col>2</xdr:col>
      <xdr:colOff>1208880</xdr:colOff>
      <xdr:row>97</xdr:row>
      <xdr:rowOff>1319040</xdr:rowOff>
    </xdr:to>
    <xdr:pic>
      <xdr:nvPicPr>
        <xdr:cNvPr id="778" name="图片 131" descr="9"/>
        <xdr:cNvPicPr/>
      </xdr:nvPicPr>
      <xdr:blipFill>
        <a:blip r:embed="rId226"/>
        <a:stretch/>
      </xdr:blipFill>
      <xdr:spPr>
        <a:xfrm>
          <a:off x="5605920" y="105798240"/>
          <a:ext cx="1170720" cy="1178280"/>
        </a:xfrm>
        <a:prstGeom prst="rect">
          <a:avLst/>
        </a:prstGeom>
        <a:noFill/>
        <a:ln w="9525">
          <a:noFill/>
        </a:ln>
      </xdr:spPr>
    </xdr:pic>
    <xdr:clientData/>
  </xdr:twoCellAnchor>
  <xdr:twoCellAnchor editAs="oneCell">
    <xdr:from>
      <xdr:col>1</xdr:col>
      <xdr:colOff>38160</xdr:colOff>
      <xdr:row>98</xdr:row>
      <xdr:rowOff>140760</xdr:rowOff>
    </xdr:from>
    <xdr:to>
      <xdr:col>1</xdr:col>
      <xdr:colOff>1208880</xdr:colOff>
      <xdr:row>98</xdr:row>
      <xdr:rowOff>1319040</xdr:rowOff>
    </xdr:to>
    <xdr:pic>
      <xdr:nvPicPr>
        <xdr:cNvPr id="779" name="图片 132" descr="1"/>
        <xdr:cNvPicPr/>
      </xdr:nvPicPr>
      <xdr:blipFill>
        <a:blip r:embed="rId227"/>
        <a:stretch/>
      </xdr:blipFill>
      <xdr:spPr>
        <a:xfrm>
          <a:off x="4039920" y="107258760"/>
          <a:ext cx="1170720" cy="1178280"/>
        </a:xfrm>
        <a:prstGeom prst="rect">
          <a:avLst/>
        </a:prstGeom>
        <a:noFill/>
        <a:ln w="9525">
          <a:noFill/>
        </a:ln>
      </xdr:spPr>
    </xdr:pic>
    <xdr:clientData/>
  </xdr:twoCellAnchor>
  <xdr:twoCellAnchor editAs="oneCell">
    <xdr:from>
      <xdr:col>2</xdr:col>
      <xdr:colOff>38160</xdr:colOff>
      <xdr:row>98</xdr:row>
      <xdr:rowOff>143640</xdr:rowOff>
    </xdr:from>
    <xdr:to>
      <xdr:col>2</xdr:col>
      <xdr:colOff>1208880</xdr:colOff>
      <xdr:row>98</xdr:row>
      <xdr:rowOff>1316160</xdr:rowOff>
    </xdr:to>
    <xdr:pic>
      <xdr:nvPicPr>
        <xdr:cNvPr id="780" name="图片 142" descr="9"/>
        <xdr:cNvPicPr/>
      </xdr:nvPicPr>
      <xdr:blipFill>
        <a:blip r:embed="rId228"/>
        <a:stretch/>
      </xdr:blipFill>
      <xdr:spPr>
        <a:xfrm>
          <a:off x="5605920" y="107261640"/>
          <a:ext cx="1170720" cy="1172520"/>
        </a:xfrm>
        <a:prstGeom prst="rect">
          <a:avLst/>
        </a:prstGeom>
        <a:noFill/>
        <a:ln w="9525">
          <a:noFill/>
        </a:ln>
      </xdr:spPr>
    </xdr:pic>
    <xdr:clientData/>
  </xdr:twoCellAnchor>
  <xdr:twoCellAnchor editAs="oneCell">
    <xdr:from>
      <xdr:col>1</xdr:col>
      <xdr:colOff>38160</xdr:colOff>
      <xdr:row>99</xdr:row>
      <xdr:rowOff>140760</xdr:rowOff>
    </xdr:from>
    <xdr:to>
      <xdr:col>1</xdr:col>
      <xdr:colOff>1208880</xdr:colOff>
      <xdr:row>99</xdr:row>
      <xdr:rowOff>1319040</xdr:rowOff>
    </xdr:to>
    <xdr:pic>
      <xdr:nvPicPr>
        <xdr:cNvPr id="781" name="图片 283" descr="1"/>
        <xdr:cNvPicPr/>
      </xdr:nvPicPr>
      <xdr:blipFill>
        <a:blip r:embed="rId229"/>
        <a:stretch/>
      </xdr:blipFill>
      <xdr:spPr>
        <a:xfrm>
          <a:off x="4039920" y="108719280"/>
          <a:ext cx="1170720" cy="1178280"/>
        </a:xfrm>
        <a:prstGeom prst="rect">
          <a:avLst/>
        </a:prstGeom>
        <a:noFill/>
        <a:ln w="9525">
          <a:noFill/>
        </a:ln>
      </xdr:spPr>
    </xdr:pic>
    <xdr:clientData/>
  </xdr:twoCellAnchor>
  <xdr:twoCellAnchor editAs="oneCell">
    <xdr:from>
      <xdr:col>2</xdr:col>
      <xdr:colOff>38160</xdr:colOff>
      <xdr:row>99</xdr:row>
      <xdr:rowOff>143640</xdr:rowOff>
    </xdr:from>
    <xdr:to>
      <xdr:col>2</xdr:col>
      <xdr:colOff>1208880</xdr:colOff>
      <xdr:row>99</xdr:row>
      <xdr:rowOff>1316160</xdr:rowOff>
    </xdr:to>
    <xdr:pic>
      <xdr:nvPicPr>
        <xdr:cNvPr id="782" name="图片 284" descr="9"/>
        <xdr:cNvPicPr/>
      </xdr:nvPicPr>
      <xdr:blipFill>
        <a:blip r:embed="rId230"/>
        <a:stretch/>
      </xdr:blipFill>
      <xdr:spPr>
        <a:xfrm>
          <a:off x="5605920" y="108722160"/>
          <a:ext cx="1170720" cy="1172520"/>
        </a:xfrm>
        <a:prstGeom prst="rect">
          <a:avLst/>
        </a:prstGeom>
        <a:noFill/>
        <a:ln w="9525">
          <a:noFill/>
        </a:ln>
      </xdr:spPr>
    </xdr:pic>
    <xdr:clientData/>
  </xdr:twoCellAnchor>
  <xdr:twoCellAnchor editAs="twoCell">
    <xdr:from>
      <xdr:col>0</xdr:col>
      <xdr:colOff>10080</xdr:colOff>
      <xdr:row>95</xdr:row>
      <xdr:rowOff>12240</xdr:rowOff>
    </xdr:from>
    <xdr:to>
      <xdr:col>0</xdr:col>
      <xdr:colOff>805680</xdr:colOff>
      <xdr:row>95</xdr:row>
      <xdr:rowOff>309240</xdr:rowOff>
    </xdr:to>
    <xdr:pic>
      <xdr:nvPicPr>
        <xdr:cNvPr id="783" name="图片 289" descr="快充"/>
        <xdr:cNvPicPr/>
      </xdr:nvPicPr>
      <xdr:blipFill>
        <a:blip r:embed="rId231"/>
        <a:stretch/>
      </xdr:blipFill>
      <xdr:spPr>
        <a:xfrm>
          <a:off x="10080" y="102749040"/>
          <a:ext cx="795600" cy="297000"/>
        </a:xfrm>
        <a:prstGeom prst="rect">
          <a:avLst/>
        </a:prstGeom>
        <a:noFill/>
        <a:ln w="9525">
          <a:noFill/>
        </a:ln>
      </xdr:spPr>
    </xdr:pic>
    <xdr:clientData/>
  </xdr:twoCellAnchor>
  <xdr:twoCellAnchor editAs="twoCell">
    <xdr:from>
      <xdr:col>0</xdr:col>
      <xdr:colOff>10080</xdr:colOff>
      <xdr:row>96</xdr:row>
      <xdr:rowOff>12240</xdr:rowOff>
    </xdr:from>
    <xdr:to>
      <xdr:col>0</xdr:col>
      <xdr:colOff>805680</xdr:colOff>
      <xdr:row>96</xdr:row>
      <xdr:rowOff>309240</xdr:rowOff>
    </xdr:to>
    <xdr:pic>
      <xdr:nvPicPr>
        <xdr:cNvPr id="784" name="图片 296" descr="快充"/>
        <xdr:cNvPicPr/>
      </xdr:nvPicPr>
      <xdr:blipFill>
        <a:blip r:embed="rId232"/>
        <a:stretch/>
      </xdr:blipFill>
      <xdr:spPr>
        <a:xfrm>
          <a:off x="10080" y="104209560"/>
          <a:ext cx="795600" cy="297000"/>
        </a:xfrm>
        <a:prstGeom prst="rect">
          <a:avLst/>
        </a:prstGeom>
        <a:noFill/>
        <a:ln w="9525">
          <a:noFill/>
        </a:ln>
      </xdr:spPr>
    </xdr:pic>
    <xdr:clientData/>
  </xdr:twoCellAnchor>
  <xdr:twoCellAnchor editAs="twoCell">
    <xdr:from>
      <xdr:col>0</xdr:col>
      <xdr:colOff>10080</xdr:colOff>
      <xdr:row>97</xdr:row>
      <xdr:rowOff>12240</xdr:rowOff>
    </xdr:from>
    <xdr:to>
      <xdr:col>0</xdr:col>
      <xdr:colOff>805680</xdr:colOff>
      <xdr:row>97</xdr:row>
      <xdr:rowOff>309240</xdr:rowOff>
    </xdr:to>
    <xdr:pic>
      <xdr:nvPicPr>
        <xdr:cNvPr id="785" name="图片 303" descr="快充"/>
        <xdr:cNvPicPr/>
      </xdr:nvPicPr>
      <xdr:blipFill>
        <a:blip r:embed="rId233"/>
        <a:stretch/>
      </xdr:blipFill>
      <xdr:spPr>
        <a:xfrm>
          <a:off x="10080" y="105669720"/>
          <a:ext cx="795600" cy="297000"/>
        </a:xfrm>
        <a:prstGeom prst="rect">
          <a:avLst/>
        </a:prstGeom>
        <a:noFill/>
        <a:ln w="9525">
          <a:noFill/>
        </a:ln>
      </xdr:spPr>
    </xdr:pic>
    <xdr:clientData/>
  </xdr:twoCellAnchor>
  <xdr:twoCellAnchor editAs="twoCell">
    <xdr:from>
      <xdr:col>0</xdr:col>
      <xdr:colOff>10080</xdr:colOff>
      <xdr:row>98</xdr:row>
      <xdr:rowOff>12240</xdr:rowOff>
    </xdr:from>
    <xdr:to>
      <xdr:col>0</xdr:col>
      <xdr:colOff>805680</xdr:colOff>
      <xdr:row>98</xdr:row>
      <xdr:rowOff>309240</xdr:rowOff>
    </xdr:to>
    <xdr:pic>
      <xdr:nvPicPr>
        <xdr:cNvPr id="786" name="图片 310" descr="快充"/>
        <xdr:cNvPicPr/>
      </xdr:nvPicPr>
      <xdr:blipFill>
        <a:blip r:embed="rId234"/>
        <a:stretch/>
      </xdr:blipFill>
      <xdr:spPr>
        <a:xfrm>
          <a:off x="10080" y="107130240"/>
          <a:ext cx="795600" cy="297000"/>
        </a:xfrm>
        <a:prstGeom prst="rect">
          <a:avLst/>
        </a:prstGeom>
        <a:noFill/>
        <a:ln w="9525">
          <a:noFill/>
        </a:ln>
      </xdr:spPr>
    </xdr:pic>
    <xdr:clientData/>
  </xdr:twoCellAnchor>
  <xdr:twoCellAnchor editAs="oneCell">
    <xdr:from>
      <xdr:col>1</xdr:col>
      <xdr:colOff>38160</xdr:colOff>
      <xdr:row>94</xdr:row>
      <xdr:rowOff>143280</xdr:rowOff>
    </xdr:from>
    <xdr:to>
      <xdr:col>1</xdr:col>
      <xdr:colOff>1208880</xdr:colOff>
      <xdr:row>94</xdr:row>
      <xdr:rowOff>1316520</xdr:rowOff>
    </xdr:to>
    <xdr:pic>
      <xdr:nvPicPr>
        <xdr:cNvPr id="787" name="图片 4" descr="1"/>
        <xdr:cNvPicPr/>
      </xdr:nvPicPr>
      <xdr:blipFill>
        <a:blip r:embed="rId235"/>
        <a:stretch/>
      </xdr:blipFill>
      <xdr:spPr>
        <a:xfrm>
          <a:off x="4039920" y="101419560"/>
          <a:ext cx="1170720" cy="1173240"/>
        </a:xfrm>
        <a:prstGeom prst="rect">
          <a:avLst/>
        </a:prstGeom>
        <a:noFill/>
        <a:ln w="9525">
          <a:noFill/>
        </a:ln>
      </xdr:spPr>
    </xdr:pic>
    <xdr:clientData/>
  </xdr:twoCellAnchor>
  <xdr:twoCellAnchor editAs="oneCell">
    <xdr:from>
      <xdr:col>2</xdr:col>
      <xdr:colOff>38160</xdr:colOff>
      <xdr:row>94</xdr:row>
      <xdr:rowOff>143280</xdr:rowOff>
    </xdr:from>
    <xdr:to>
      <xdr:col>2</xdr:col>
      <xdr:colOff>1208880</xdr:colOff>
      <xdr:row>94</xdr:row>
      <xdr:rowOff>1316520</xdr:rowOff>
    </xdr:to>
    <xdr:pic>
      <xdr:nvPicPr>
        <xdr:cNvPr id="788" name="图片 5" descr="9"/>
        <xdr:cNvPicPr/>
      </xdr:nvPicPr>
      <xdr:blipFill>
        <a:blip r:embed="rId236"/>
        <a:stretch/>
      </xdr:blipFill>
      <xdr:spPr>
        <a:xfrm>
          <a:off x="5605920" y="101419560"/>
          <a:ext cx="1170720" cy="1173240"/>
        </a:xfrm>
        <a:prstGeom prst="rect">
          <a:avLst/>
        </a:prstGeom>
        <a:noFill/>
        <a:ln w="9525">
          <a:noFill/>
        </a:ln>
      </xdr:spPr>
    </xdr:pic>
    <xdr:clientData/>
  </xdr:twoCellAnchor>
  <xdr:twoCellAnchor editAs="oneCell">
    <xdr:from>
      <xdr:col>1</xdr:col>
      <xdr:colOff>38160</xdr:colOff>
      <xdr:row>93</xdr:row>
      <xdr:rowOff>140760</xdr:rowOff>
    </xdr:from>
    <xdr:to>
      <xdr:col>1</xdr:col>
      <xdr:colOff>1208880</xdr:colOff>
      <xdr:row>93</xdr:row>
      <xdr:rowOff>1319040</xdr:rowOff>
    </xdr:to>
    <xdr:pic>
      <xdr:nvPicPr>
        <xdr:cNvPr id="789" name="图片 35" descr="1"/>
        <xdr:cNvPicPr/>
      </xdr:nvPicPr>
      <xdr:blipFill>
        <a:blip r:embed="rId237"/>
        <a:stretch/>
      </xdr:blipFill>
      <xdr:spPr>
        <a:xfrm>
          <a:off x="4039920" y="99956520"/>
          <a:ext cx="1170720" cy="1178280"/>
        </a:xfrm>
        <a:prstGeom prst="rect">
          <a:avLst/>
        </a:prstGeom>
        <a:noFill/>
        <a:ln w="9525">
          <a:noFill/>
        </a:ln>
      </xdr:spPr>
    </xdr:pic>
    <xdr:clientData/>
  </xdr:twoCellAnchor>
  <xdr:twoCellAnchor editAs="oneCell">
    <xdr:from>
      <xdr:col>2</xdr:col>
      <xdr:colOff>38160</xdr:colOff>
      <xdr:row>93</xdr:row>
      <xdr:rowOff>144360</xdr:rowOff>
    </xdr:from>
    <xdr:to>
      <xdr:col>2</xdr:col>
      <xdr:colOff>1208880</xdr:colOff>
      <xdr:row>93</xdr:row>
      <xdr:rowOff>1315080</xdr:rowOff>
    </xdr:to>
    <xdr:pic>
      <xdr:nvPicPr>
        <xdr:cNvPr id="790" name="图片 39" descr="9"/>
        <xdr:cNvPicPr/>
      </xdr:nvPicPr>
      <xdr:blipFill>
        <a:blip r:embed="rId238"/>
        <a:stretch/>
      </xdr:blipFill>
      <xdr:spPr>
        <a:xfrm>
          <a:off x="5605920" y="99960120"/>
          <a:ext cx="1170720" cy="1170720"/>
        </a:xfrm>
        <a:prstGeom prst="rect">
          <a:avLst/>
        </a:prstGeom>
        <a:noFill/>
        <a:ln w="9525">
          <a:noFill/>
        </a:ln>
      </xdr:spPr>
    </xdr:pic>
    <xdr:clientData/>
  </xdr:twoCellAnchor>
  <xdr:twoCellAnchor editAs="twoCell">
    <xdr:from>
      <xdr:col>0</xdr:col>
      <xdr:colOff>10080</xdr:colOff>
      <xdr:row>93</xdr:row>
      <xdr:rowOff>0</xdr:rowOff>
    </xdr:from>
    <xdr:to>
      <xdr:col>0</xdr:col>
      <xdr:colOff>837360</xdr:colOff>
      <xdr:row>93</xdr:row>
      <xdr:rowOff>297000</xdr:rowOff>
    </xdr:to>
    <xdr:pic>
      <xdr:nvPicPr>
        <xdr:cNvPr id="791" name="图片 194" descr="快充"/>
        <xdr:cNvPicPr/>
      </xdr:nvPicPr>
      <xdr:blipFill>
        <a:blip r:embed="rId239"/>
        <a:stretch/>
      </xdr:blipFill>
      <xdr:spPr>
        <a:xfrm>
          <a:off x="10080" y="99815760"/>
          <a:ext cx="827280" cy="297000"/>
        </a:xfrm>
        <a:prstGeom prst="rect">
          <a:avLst/>
        </a:prstGeom>
        <a:noFill/>
        <a:ln w="9525">
          <a:noFill/>
        </a:ln>
      </xdr:spPr>
    </xdr:pic>
    <xdr:clientData/>
  </xdr:twoCellAnchor>
  <xdr:twoCellAnchor editAs="twoCell">
    <xdr:from>
      <xdr:col>0</xdr:col>
      <xdr:colOff>10080</xdr:colOff>
      <xdr:row>94</xdr:row>
      <xdr:rowOff>0</xdr:rowOff>
    </xdr:from>
    <xdr:to>
      <xdr:col>0</xdr:col>
      <xdr:colOff>837360</xdr:colOff>
      <xdr:row>94</xdr:row>
      <xdr:rowOff>297000</xdr:rowOff>
    </xdr:to>
    <xdr:pic>
      <xdr:nvPicPr>
        <xdr:cNvPr id="792" name="图片 237" descr="快充"/>
        <xdr:cNvPicPr/>
      </xdr:nvPicPr>
      <xdr:blipFill>
        <a:blip r:embed="rId240"/>
        <a:stretch/>
      </xdr:blipFill>
      <xdr:spPr>
        <a:xfrm>
          <a:off x="10080" y="101276280"/>
          <a:ext cx="827280" cy="297000"/>
        </a:xfrm>
        <a:prstGeom prst="rect">
          <a:avLst/>
        </a:prstGeom>
        <a:noFill/>
        <a:ln w="9525">
          <a:noFill/>
        </a:ln>
      </xdr:spPr>
    </xdr:pic>
    <xdr:clientData/>
  </xdr:twoCellAnchor>
  <xdr:twoCellAnchor editAs="oneCell">
    <xdr:from>
      <xdr:col>1</xdr:col>
      <xdr:colOff>38160</xdr:colOff>
      <xdr:row>31</xdr:row>
      <xdr:rowOff>140760</xdr:rowOff>
    </xdr:from>
    <xdr:to>
      <xdr:col>1</xdr:col>
      <xdr:colOff>1208880</xdr:colOff>
      <xdr:row>31</xdr:row>
      <xdr:rowOff>1319040</xdr:rowOff>
    </xdr:to>
    <xdr:pic>
      <xdr:nvPicPr>
        <xdr:cNvPr id="793" name="图片 17" descr="1"/>
        <xdr:cNvPicPr/>
      </xdr:nvPicPr>
      <xdr:blipFill>
        <a:blip r:embed="rId241"/>
        <a:stretch/>
      </xdr:blipFill>
      <xdr:spPr>
        <a:xfrm>
          <a:off x="4039920" y="38459880"/>
          <a:ext cx="1170720" cy="1178280"/>
        </a:xfrm>
        <a:prstGeom prst="rect">
          <a:avLst/>
        </a:prstGeom>
        <a:noFill/>
        <a:ln w="9525">
          <a:noFill/>
        </a:ln>
      </xdr:spPr>
    </xdr:pic>
    <xdr:clientData/>
  </xdr:twoCellAnchor>
  <xdr:twoCellAnchor editAs="oneCell">
    <xdr:from>
      <xdr:col>2</xdr:col>
      <xdr:colOff>38160</xdr:colOff>
      <xdr:row>31</xdr:row>
      <xdr:rowOff>144000</xdr:rowOff>
    </xdr:from>
    <xdr:to>
      <xdr:col>2</xdr:col>
      <xdr:colOff>1208880</xdr:colOff>
      <xdr:row>31</xdr:row>
      <xdr:rowOff>1316160</xdr:rowOff>
    </xdr:to>
    <xdr:pic>
      <xdr:nvPicPr>
        <xdr:cNvPr id="794" name="图片 91" descr="9"/>
        <xdr:cNvPicPr/>
      </xdr:nvPicPr>
      <xdr:blipFill>
        <a:blip r:embed="rId242"/>
        <a:stretch/>
      </xdr:blipFill>
      <xdr:spPr>
        <a:xfrm>
          <a:off x="5605920" y="38463120"/>
          <a:ext cx="1170720" cy="1172160"/>
        </a:xfrm>
        <a:prstGeom prst="rect">
          <a:avLst/>
        </a:prstGeom>
        <a:noFill/>
        <a:ln w="9525">
          <a:noFill/>
        </a:ln>
      </xdr:spPr>
    </xdr:pic>
    <xdr:clientData/>
  </xdr:twoCellAnchor>
  <xdr:twoCellAnchor editAs="oneCell">
    <xdr:from>
      <xdr:col>1</xdr:col>
      <xdr:colOff>38160</xdr:colOff>
      <xdr:row>32</xdr:row>
      <xdr:rowOff>140760</xdr:rowOff>
    </xdr:from>
    <xdr:to>
      <xdr:col>1</xdr:col>
      <xdr:colOff>1208880</xdr:colOff>
      <xdr:row>32</xdr:row>
      <xdr:rowOff>1319040</xdr:rowOff>
    </xdr:to>
    <xdr:pic>
      <xdr:nvPicPr>
        <xdr:cNvPr id="795" name="图片 170" descr="1"/>
        <xdr:cNvPicPr/>
      </xdr:nvPicPr>
      <xdr:blipFill>
        <a:blip r:embed="rId243"/>
        <a:stretch/>
      </xdr:blipFill>
      <xdr:spPr>
        <a:xfrm>
          <a:off x="4039920" y="39920400"/>
          <a:ext cx="1170720" cy="1178280"/>
        </a:xfrm>
        <a:prstGeom prst="rect">
          <a:avLst/>
        </a:prstGeom>
        <a:noFill/>
        <a:ln w="9525">
          <a:noFill/>
        </a:ln>
      </xdr:spPr>
    </xdr:pic>
    <xdr:clientData/>
  </xdr:twoCellAnchor>
  <xdr:twoCellAnchor editAs="oneCell">
    <xdr:from>
      <xdr:col>2</xdr:col>
      <xdr:colOff>38160</xdr:colOff>
      <xdr:row>32</xdr:row>
      <xdr:rowOff>146520</xdr:rowOff>
    </xdr:from>
    <xdr:to>
      <xdr:col>2</xdr:col>
      <xdr:colOff>1208880</xdr:colOff>
      <xdr:row>32</xdr:row>
      <xdr:rowOff>1313280</xdr:rowOff>
    </xdr:to>
    <xdr:pic>
      <xdr:nvPicPr>
        <xdr:cNvPr id="796" name="图片 175" descr="9"/>
        <xdr:cNvPicPr/>
      </xdr:nvPicPr>
      <xdr:blipFill>
        <a:blip r:embed="rId244"/>
        <a:stretch/>
      </xdr:blipFill>
      <xdr:spPr>
        <a:xfrm>
          <a:off x="5605920" y="39926160"/>
          <a:ext cx="1170720" cy="1166760"/>
        </a:xfrm>
        <a:prstGeom prst="rect">
          <a:avLst/>
        </a:prstGeom>
        <a:noFill/>
        <a:ln w="9525">
          <a:noFill/>
        </a:ln>
      </xdr:spPr>
    </xdr:pic>
    <xdr:clientData/>
  </xdr:twoCellAnchor>
  <xdr:twoCellAnchor editAs="oneCell">
    <xdr:from>
      <xdr:col>1</xdr:col>
      <xdr:colOff>38160</xdr:colOff>
      <xdr:row>33</xdr:row>
      <xdr:rowOff>172440</xdr:rowOff>
    </xdr:from>
    <xdr:to>
      <xdr:col>1</xdr:col>
      <xdr:colOff>1208880</xdr:colOff>
      <xdr:row>34</xdr:row>
      <xdr:rowOff>588960</xdr:rowOff>
    </xdr:to>
    <xdr:pic>
      <xdr:nvPicPr>
        <xdr:cNvPr id="797" name="图片 305" descr="3"/>
        <xdr:cNvPicPr/>
      </xdr:nvPicPr>
      <xdr:blipFill>
        <a:blip r:embed="rId245"/>
        <a:stretch/>
      </xdr:blipFill>
      <xdr:spPr>
        <a:xfrm>
          <a:off x="4039920" y="41412600"/>
          <a:ext cx="1170720" cy="1178280"/>
        </a:xfrm>
        <a:prstGeom prst="rect">
          <a:avLst/>
        </a:prstGeom>
        <a:noFill/>
        <a:ln w="9525">
          <a:noFill/>
        </a:ln>
      </xdr:spPr>
    </xdr:pic>
    <xdr:clientData/>
  </xdr:twoCellAnchor>
  <xdr:twoCellAnchor editAs="oneCell">
    <xdr:from>
      <xdr:col>2</xdr:col>
      <xdr:colOff>38160</xdr:colOff>
      <xdr:row>33</xdr:row>
      <xdr:rowOff>174960</xdr:rowOff>
    </xdr:from>
    <xdr:to>
      <xdr:col>2</xdr:col>
      <xdr:colOff>1208880</xdr:colOff>
      <xdr:row>34</xdr:row>
      <xdr:rowOff>586440</xdr:rowOff>
    </xdr:to>
    <xdr:pic>
      <xdr:nvPicPr>
        <xdr:cNvPr id="798" name="图片 320" descr="11"/>
        <xdr:cNvPicPr/>
      </xdr:nvPicPr>
      <xdr:blipFill>
        <a:blip r:embed="rId246"/>
        <a:stretch/>
      </xdr:blipFill>
      <xdr:spPr>
        <a:xfrm>
          <a:off x="5605920" y="41415120"/>
          <a:ext cx="1170720" cy="1173240"/>
        </a:xfrm>
        <a:prstGeom prst="rect">
          <a:avLst/>
        </a:prstGeom>
        <a:noFill/>
        <a:ln w="9525">
          <a:noFill/>
        </a:ln>
      </xdr:spPr>
    </xdr:pic>
    <xdr:clientData/>
  </xdr:twoCellAnchor>
  <xdr:twoCellAnchor editAs="oneCell">
    <xdr:from>
      <xdr:col>1</xdr:col>
      <xdr:colOff>38160</xdr:colOff>
      <xdr:row>35</xdr:row>
      <xdr:rowOff>173520</xdr:rowOff>
    </xdr:from>
    <xdr:to>
      <xdr:col>1</xdr:col>
      <xdr:colOff>1208880</xdr:colOff>
      <xdr:row>36</xdr:row>
      <xdr:rowOff>587520</xdr:rowOff>
    </xdr:to>
    <xdr:pic>
      <xdr:nvPicPr>
        <xdr:cNvPr id="799" name="图片 377" descr="3"/>
        <xdr:cNvPicPr/>
      </xdr:nvPicPr>
      <xdr:blipFill>
        <a:blip r:embed="rId247"/>
        <a:stretch/>
      </xdr:blipFill>
      <xdr:spPr>
        <a:xfrm>
          <a:off x="4039920" y="42937560"/>
          <a:ext cx="1170720" cy="1176120"/>
        </a:xfrm>
        <a:prstGeom prst="rect">
          <a:avLst/>
        </a:prstGeom>
        <a:noFill/>
        <a:ln w="9525">
          <a:noFill/>
        </a:ln>
      </xdr:spPr>
    </xdr:pic>
    <xdr:clientData/>
  </xdr:twoCellAnchor>
  <xdr:twoCellAnchor editAs="oneCell">
    <xdr:from>
      <xdr:col>2</xdr:col>
      <xdr:colOff>38160</xdr:colOff>
      <xdr:row>35</xdr:row>
      <xdr:rowOff>176040</xdr:rowOff>
    </xdr:from>
    <xdr:to>
      <xdr:col>2</xdr:col>
      <xdr:colOff>1208880</xdr:colOff>
      <xdr:row>36</xdr:row>
      <xdr:rowOff>584640</xdr:rowOff>
    </xdr:to>
    <xdr:pic>
      <xdr:nvPicPr>
        <xdr:cNvPr id="800" name="图片 380" descr="11"/>
        <xdr:cNvPicPr/>
      </xdr:nvPicPr>
      <xdr:blipFill>
        <a:blip r:embed="rId248"/>
        <a:stretch/>
      </xdr:blipFill>
      <xdr:spPr>
        <a:xfrm>
          <a:off x="5605920" y="42940080"/>
          <a:ext cx="1170720" cy="1170720"/>
        </a:xfrm>
        <a:prstGeom prst="rect">
          <a:avLst/>
        </a:prstGeom>
        <a:noFill/>
        <a:ln w="9525">
          <a:noFill/>
        </a:ln>
      </xdr:spPr>
    </xdr:pic>
    <xdr:clientData/>
  </xdr:twoCellAnchor>
  <xdr:twoCellAnchor editAs="twoCell">
    <xdr:from>
      <xdr:col>0</xdr:col>
      <xdr:colOff>10080</xdr:colOff>
      <xdr:row>31</xdr:row>
      <xdr:rowOff>12240</xdr:rowOff>
    </xdr:from>
    <xdr:to>
      <xdr:col>0</xdr:col>
      <xdr:colOff>837360</xdr:colOff>
      <xdr:row>31</xdr:row>
      <xdr:rowOff>309240</xdr:rowOff>
    </xdr:to>
    <xdr:pic>
      <xdr:nvPicPr>
        <xdr:cNvPr id="801" name="图片 449" descr="快充"/>
        <xdr:cNvPicPr/>
      </xdr:nvPicPr>
      <xdr:blipFill>
        <a:blip r:embed="rId249"/>
        <a:stretch/>
      </xdr:blipFill>
      <xdr:spPr>
        <a:xfrm>
          <a:off x="10080" y="38331360"/>
          <a:ext cx="827280" cy="297000"/>
        </a:xfrm>
        <a:prstGeom prst="rect">
          <a:avLst/>
        </a:prstGeom>
        <a:noFill/>
        <a:ln w="9525">
          <a:noFill/>
        </a:ln>
      </xdr:spPr>
    </xdr:pic>
    <xdr:clientData/>
  </xdr:twoCellAnchor>
  <xdr:twoCellAnchor editAs="twoCell">
    <xdr:from>
      <xdr:col>0</xdr:col>
      <xdr:colOff>10080</xdr:colOff>
      <xdr:row>32</xdr:row>
      <xdr:rowOff>12240</xdr:rowOff>
    </xdr:from>
    <xdr:to>
      <xdr:col>0</xdr:col>
      <xdr:colOff>837360</xdr:colOff>
      <xdr:row>32</xdr:row>
      <xdr:rowOff>309240</xdr:rowOff>
    </xdr:to>
    <xdr:pic>
      <xdr:nvPicPr>
        <xdr:cNvPr id="802" name="图片 457" descr="快充"/>
        <xdr:cNvPicPr/>
      </xdr:nvPicPr>
      <xdr:blipFill>
        <a:blip r:embed="rId250"/>
        <a:stretch/>
      </xdr:blipFill>
      <xdr:spPr>
        <a:xfrm>
          <a:off x="10080" y="39791880"/>
          <a:ext cx="827280" cy="297000"/>
        </a:xfrm>
        <a:prstGeom prst="rect">
          <a:avLst/>
        </a:prstGeom>
        <a:noFill/>
        <a:ln w="9525">
          <a:noFill/>
        </a:ln>
      </xdr:spPr>
    </xdr:pic>
    <xdr:clientData/>
  </xdr:twoCellAnchor>
  <xdr:twoCellAnchor editAs="twoCell">
    <xdr:from>
      <xdr:col>0</xdr:col>
      <xdr:colOff>10080</xdr:colOff>
      <xdr:row>33</xdr:row>
      <xdr:rowOff>12240</xdr:rowOff>
    </xdr:from>
    <xdr:to>
      <xdr:col>0</xdr:col>
      <xdr:colOff>837360</xdr:colOff>
      <xdr:row>33</xdr:row>
      <xdr:rowOff>309240</xdr:rowOff>
    </xdr:to>
    <xdr:pic>
      <xdr:nvPicPr>
        <xdr:cNvPr id="803" name="图片 462" descr="快充"/>
        <xdr:cNvPicPr/>
      </xdr:nvPicPr>
      <xdr:blipFill>
        <a:blip r:embed="rId251"/>
        <a:stretch/>
      </xdr:blipFill>
      <xdr:spPr>
        <a:xfrm>
          <a:off x="10080" y="41252400"/>
          <a:ext cx="827280" cy="297000"/>
        </a:xfrm>
        <a:prstGeom prst="rect">
          <a:avLst/>
        </a:prstGeom>
        <a:noFill/>
        <a:ln w="9525">
          <a:noFill/>
        </a:ln>
      </xdr:spPr>
    </xdr:pic>
    <xdr:clientData/>
  </xdr:twoCellAnchor>
  <xdr:twoCellAnchor editAs="oneCell">
    <xdr:from>
      <xdr:col>1</xdr:col>
      <xdr:colOff>38160</xdr:colOff>
      <xdr:row>8</xdr:row>
      <xdr:rowOff>143280</xdr:rowOff>
    </xdr:from>
    <xdr:to>
      <xdr:col>1</xdr:col>
      <xdr:colOff>1208880</xdr:colOff>
      <xdr:row>8</xdr:row>
      <xdr:rowOff>1316520</xdr:rowOff>
    </xdr:to>
    <xdr:pic>
      <xdr:nvPicPr>
        <xdr:cNvPr id="804" name="图片 55" descr="1"/>
        <xdr:cNvPicPr/>
      </xdr:nvPicPr>
      <xdr:blipFill>
        <a:blip r:embed="rId252"/>
        <a:stretch/>
      </xdr:blipFill>
      <xdr:spPr>
        <a:xfrm>
          <a:off x="4039920" y="7382160"/>
          <a:ext cx="1170720" cy="1173240"/>
        </a:xfrm>
        <a:prstGeom prst="rect">
          <a:avLst/>
        </a:prstGeom>
        <a:noFill/>
        <a:ln w="9525">
          <a:noFill/>
        </a:ln>
      </xdr:spPr>
    </xdr:pic>
    <xdr:clientData/>
  </xdr:twoCellAnchor>
  <xdr:twoCellAnchor editAs="oneCell">
    <xdr:from>
      <xdr:col>2</xdr:col>
      <xdr:colOff>38160</xdr:colOff>
      <xdr:row>8</xdr:row>
      <xdr:rowOff>144000</xdr:rowOff>
    </xdr:from>
    <xdr:to>
      <xdr:col>2</xdr:col>
      <xdr:colOff>1208880</xdr:colOff>
      <xdr:row>8</xdr:row>
      <xdr:rowOff>1315440</xdr:rowOff>
    </xdr:to>
    <xdr:pic>
      <xdr:nvPicPr>
        <xdr:cNvPr id="805" name="图片 125" descr="9"/>
        <xdr:cNvPicPr/>
      </xdr:nvPicPr>
      <xdr:blipFill>
        <a:blip r:embed="rId253"/>
        <a:stretch/>
      </xdr:blipFill>
      <xdr:spPr>
        <a:xfrm>
          <a:off x="5605920" y="7382880"/>
          <a:ext cx="1170720" cy="1171440"/>
        </a:xfrm>
        <a:prstGeom prst="rect">
          <a:avLst/>
        </a:prstGeom>
        <a:noFill/>
        <a:ln w="9525">
          <a:noFill/>
        </a:ln>
      </xdr:spPr>
    </xdr:pic>
    <xdr:clientData/>
  </xdr:twoCellAnchor>
  <xdr:twoCellAnchor editAs="oneCell">
    <xdr:from>
      <xdr:col>1</xdr:col>
      <xdr:colOff>38160</xdr:colOff>
      <xdr:row>9</xdr:row>
      <xdr:rowOff>140760</xdr:rowOff>
    </xdr:from>
    <xdr:to>
      <xdr:col>1</xdr:col>
      <xdr:colOff>1208880</xdr:colOff>
      <xdr:row>9</xdr:row>
      <xdr:rowOff>1319040</xdr:rowOff>
    </xdr:to>
    <xdr:pic>
      <xdr:nvPicPr>
        <xdr:cNvPr id="806" name="图片 143" descr="1"/>
        <xdr:cNvPicPr/>
      </xdr:nvPicPr>
      <xdr:blipFill>
        <a:blip r:embed="rId254"/>
        <a:stretch/>
      </xdr:blipFill>
      <xdr:spPr>
        <a:xfrm>
          <a:off x="4039920" y="8840160"/>
          <a:ext cx="1170720" cy="1178280"/>
        </a:xfrm>
        <a:prstGeom prst="rect">
          <a:avLst/>
        </a:prstGeom>
        <a:noFill/>
        <a:ln w="9525">
          <a:noFill/>
        </a:ln>
      </xdr:spPr>
    </xdr:pic>
    <xdr:clientData/>
  </xdr:twoCellAnchor>
  <xdr:twoCellAnchor editAs="oneCell">
    <xdr:from>
      <xdr:col>2</xdr:col>
      <xdr:colOff>38160</xdr:colOff>
      <xdr:row>9</xdr:row>
      <xdr:rowOff>144000</xdr:rowOff>
    </xdr:from>
    <xdr:to>
      <xdr:col>2</xdr:col>
      <xdr:colOff>1208880</xdr:colOff>
      <xdr:row>9</xdr:row>
      <xdr:rowOff>1315440</xdr:rowOff>
    </xdr:to>
    <xdr:pic>
      <xdr:nvPicPr>
        <xdr:cNvPr id="807" name="图片 156" descr="9"/>
        <xdr:cNvPicPr/>
      </xdr:nvPicPr>
      <xdr:blipFill>
        <a:blip r:embed="rId255"/>
        <a:stretch/>
      </xdr:blipFill>
      <xdr:spPr>
        <a:xfrm>
          <a:off x="5605920" y="8843400"/>
          <a:ext cx="1170720" cy="1171440"/>
        </a:xfrm>
        <a:prstGeom prst="rect">
          <a:avLst/>
        </a:prstGeom>
        <a:noFill/>
        <a:ln w="9525">
          <a:noFill/>
        </a:ln>
      </xdr:spPr>
    </xdr:pic>
    <xdr:clientData/>
  </xdr:twoCellAnchor>
  <xdr:twoCellAnchor editAs="twoCell">
    <xdr:from>
      <xdr:col>0</xdr:col>
      <xdr:colOff>10080</xdr:colOff>
      <xdr:row>8</xdr:row>
      <xdr:rowOff>0</xdr:rowOff>
    </xdr:from>
    <xdr:to>
      <xdr:col>0</xdr:col>
      <xdr:colOff>837360</xdr:colOff>
      <xdr:row>8</xdr:row>
      <xdr:rowOff>297000</xdr:rowOff>
    </xdr:to>
    <xdr:pic>
      <xdr:nvPicPr>
        <xdr:cNvPr id="808" name="图片 181" descr="快充"/>
        <xdr:cNvPicPr/>
      </xdr:nvPicPr>
      <xdr:blipFill>
        <a:blip r:embed="rId256"/>
        <a:stretch/>
      </xdr:blipFill>
      <xdr:spPr>
        <a:xfrm>
          <a:off x="10080" y="7238880"/>
          <a:ext cx="827280" cy="297000"/>
        </a:xfrm>
        <a:prstGeom prst="rect">
          <a:avLst/>
        </a:prstGeom>
        <a:noFill/>
        <a:ln w="9525">
          <a:noFill/>
        </a:ln>
      </xdr:spPr>
    </xdr:pic>
    <xdr:clientData/>
  </xdr:twoCellAnchor>
  <xdr:twoCellAnchor editAs="twoCell">
    <xdr:from>
      <xdr:col>0</xdr:col>
      <xdr:colOff>10080</xdr:colOff>
      <xdr:row>9</xdr:row>
      <xdr:rowOff>0</xdr:rowOff>
    </xdr:from>
    <xdr:to>
      <xdr:col>0</xdr:col>
      <xdr:colOff>837360</xdr:colOff>
      <xdr:row>9</xdr:row>
      <xdr:rowOff>297000</xdr:rowOff>
    </xdr:to>
    <xdr:pic>
      <xdr:nvPicPr>
        <xdr:cNvPr id="809" name="图片 192" descr="快充"/>
        <xdr:cNvPicPr/>
      </xdr:nvPicPr>
      <xdr:blipFill>
        <a:blip r:embed="rId257"/>
        <a:stretch/>
      </xdr:blipFill>
      <xdr:spPr>
        <a:xfrm>
          <a:off x="10080" y="8699400"/>
          <a:ext cx="827280" cy="297000"/>
        </a:xfrm>
        <a:prstGeom prst="rect">
          <a:avLst/>
        </a:prstGeom>
        <a:noFill/>
        <a:ln w="9525">
          <a:noFill/>
        </a:ln>
      </xdr:spPr>
    </xdr:pic>
    <xdr:clientData/>
  </xdr:twoCellAnchor>
  <xdr:twoCellAnchor editAs="oneCell">
    <xdr:from>
      <xdr:col>1</xdr:col>
      <xdr:colOff>38160</xdr:colOff>
      <xdr:row>120</xdr:row>
      <xdr:rowOff>143280</xdr:rowOff>
    </xdr:from>
    <xdr:to>
      <xdr:col>1</xdr:col>
      <xdr:colOff>1208880</xdr:colOff>
      <xdr:row>120</xdr:row>
      <xdr:rowOff>1316520</xdr:rowOff>
    </xdr:to>
    <xdr:pic>
      <xdr:nvPicPr>
        <xdr:cNvPr id="810" name="图片 12" descr="3(5)"/>
        <xdr:cNvPicPr/>
      </xdr:nvPicPr>
      <xdr:blipFill>
        <a:blip r:embed="rId258"/>
        <a:stretch/>
      </xdr:blipFill>
      <xdr:spPr>
        <a:xfrm>
          <a:off x="4039920" y="139392360"/>
          <a:ext cx="1170720" cy="1173240"/>
        </a:xfrm>
        <a:prstGeom prst="rect">
          <a:avLst/>
        </a:prstGeom>
        <a:noFill/>
        <a:ln w="9525">
          <a:noFill/>
        </a:ln>
      </xdr:spPr>
    </xdr:pic>
    <xdr:clientData/>
  </xdr:twoCellAnchor>
  <xdr:twoCellAnchor editAs="oneCell">
    <xdr:from>
      <xdr:col>2</xdr:col>
      <xdr:colOff>38160</xdr:colOff>
      <xdr:row>120</xdr:row>
      <xdr:rowOff>146160</xdr:rowOff>
    </xdr:from>
    <xdr:to>
      <xdr:col>2</xdr:col>
      <xdr:colOff>1208880</xdr:colOff>
      <xdr:row>120</xdr:row>
      <xdr:rowOff>1313640</xdr:rowOff>
    </xdr:to>
    <xdr:pic>
      <xdr:nvPicPr>
        <xdr:cNvPr id="811" name="图片 36" descr="11"/>
        <xdr:cNvPicPr/>
      </xdr:nvPicPr>
      <xdr:blipFill>
        <a:blip r:embed="rId259"/>
        <a:stretch/>
      </xdr:blipFill>
      <xdr:spPr>
        <a:xfrm>
          <a:off x="5605920" y="139395240"/>
          <a:ext cx="1170720" cy="1167480"/>
        </a:xfrm>
        <a:prstGeom prst="rect">
          <a:avLst/>
        </a:prstGeom>
        <a:noFill/>
        <a:ln w="9525">
          <a:noFill/>
        </a:ln>
      </xdr:spPr>
    </xdr:pic>
    <xdr:clientData/>
  </xdr:twoCellAnchor>
  <xdr:twoCellAnchor editAs="oneCell">
    <xdr:from>
      <xdr:col>1</xdr:col>
      <xdr:colOff>38160</xdr:colOff>
      <xdr:row>90</xdr:row>
      <xdr:rowOff>143640</xdr:rowOff>
    </xdr:from>
    <xdr:to>
      <xdr:col>1</xdr:col>
      <xdr:colOff>1208880</xdr:colOff>
      <xdr:row>90</xdr:row>
      <xdr:rowOff>1316160</xdr:rowOff>
    </xdr:to>
    <xdr:pic>
      <xdr:nvPicPr>
        <xdr:cNvPr id="812" name="图片 171" descr="2"/>
        <xdr:cNvPicPr/>
      </xdr:nvPicPr>
      <xdr:blipFill>
        <a:blip r:embed="rId260"/>
        <a:stretch/>
      </xdr:blipFill>
      <xdr:spPr>
        <a:xfrm>
          <a:off x="4039920" y="95577840"/>
          <a:ext cx="1170720" cy="1172520"/>
        </a:xfrm>
        <a:prstGeom prst="rect">
          <a:avLst/>
        </a:prstGeom>
        <a:noFill/>
        <a:ln w="9525">
          <a:noFill/>
        </a:ln>
      </xdr:spPr>
    </xdr:pic>
    <xdr:clientData/>
  </xdr:twoCellAnchor>
  <xdr:twoCellAnchor editAs="oneCell">
    <xdr:from>
      <xdr:col>2</xdr:col>
      <xdr:colOff>38160</xdr:colOff>
      <xdr:row>90</xdr:row>
      <xdr:rowOff>143280</xdr:rowOff>
    </xdr:from>
    <xdr:to>
      <xdr:col>2</xdr:col>
      <xdr:colOff>1208880</xdr:colOff>
      <xdr:row>90</xdr:row>
      <xdr:rowOff>1316520</xdr:rowOff>
    </xdr:to>
    <xdr:pic>
      <xdr:nvPicPr>
        <xdr:cNvPr id="813" name="图片 177" descr="9"/>
        <xdr:cNvPicPr/>
      </xdr:nvPicPr>
      <xdr:blipFill>
        <a:blip r:embed="rId261"/>
        <a:stretch/>
      </xdr:blipFill>
      <xdr:spPr>
        <a:xfrm>
          <a:off x="5605920" y="95577480"/>
          <a:ext cx="1170720" cy="1173240"/>
        </a:xfrm>
        <a:prstGeom prst="rect">
          <a:avLst/>
        </a:prstGeom>
        <a:noFill/>
        <a:ln w="9525">
          <a:noFill/>
        </a:ln>
      </xdr:spPr>
    </xdr:pic>
    <xdr:clientData/>
  </xdr:twoCellAnchor>
  <xdr:twoCellAnchor editAs="oneCell">
    <xdr:from>
      <xdr:col>1</xdr:col>
      <xdr:colOff>38160</xdr:colOff>
      <xdr:row>91</xdr:row>
      <xdr:rowOff>143280</xdr:rowOff>
    </xdr:from>
    <xdr:to>
      <xdr:col>1</xdr:col>
      <xdr:colOff>1208880</xdr:colOff>
      <xdr:row>91</xdr:row>
      <xdr:rowOff>1316520</xdr:rowOff>
    </xdr:to>
    <xdr:pic>
      <xdr:nvPicPr>
        <xdr:cNvPr id="814" name="图片 226" descr="2"/>
        <xdr:cNvPicPr/>
      </xdr:nvPicPr>
      <xdr:blipFill>
        <a:blip r:embed="rId262"/>
        <a:stretch/>
      </xdr:blipFill>
      <xdr:spPr>
        <a:xfrm>
          <a:off x="4039920" y="97038000"/>
          <a:ext cx="1170720" cy="1173240"/>
        </a:xfrm>
        <a:prstGeom prst="rect">
          <a:avLst/>
        </a:prstGeom>
        <a:noFill/>
        <a:ln w="9525">
          <a:noFill/>
        </a:ln>
      </xdr:spPr>
    </xdr:pic>
    <xdr:clientData/>
  </xdr:twoCellAnchor>
  <xdr:twoCellAnchor editAs="oneCell">
    <xdr:from>
      <xdr:col>2</xdr:col>
      <xdr:colOff>38160</xdr:colOff>
      <xdr:row>91</xdr:row>
      <xdr:rowOff>143280</xdr:rowOff>
    </xdr:from>
    <xdr:to>
      <xdr:col>2</xdr:col>
      <xdr:colOff>1208880</xdr:colOff>
      <xdr:row>91</xdr:row>
      <xdr:rowOff>1316520</xdr:rowOff>
    </xdr:to>
    <xdr:pic>
      <xdr:nvPicPr>
        <xdr:cNvPr id="815" name="图片 306" descr="9"/>
        <xdr:cNvPicPr/>
      </xdr:nvPicPr>
      <xdr:blipFill>
        <a:blip r:embed="rId263"/>
        <a:stretch/>
      </xdr:blipFill>
      <xdr:spPr>
        <a:xfrm>
          <a:off x="5605920" y="97038000"/>
          <a:ext cx="1170720" cy="1173240"/>
        </a:xfrm>
        <a:prstGeom prst="rect">
          <a:avLst/>
        </a:prstGeom>
        <a:noFill/>
        <a:ln w="9525">
          <a:noFill/>
        </a:ln>
      </xdr:spPr>
    </xdr:pic>
    <xdr:clientData/>
  </xdr:twoCellAnchor>
  <xdr:twoCellAnchor editAs="oneCell">
    <xdr:from>
      <xdr:col>1</xdr:col>
      <xdr:colOff>38160</xdr:colOff>
      <xdr:row>92</xdr:row>
      <xdr:rowOff>143280</xdr:rowOff>
    </xdr:from>
    <xdr:to>
      <xdr:col>1</xdr:col>
      <xdr:colOff>1208880</xdr:colOff>
      <xdr:row>92</xdr:row>
      <xdr:rowOff>1316520</xdr:rowOff>
    </xdr:to>
    <xdr:pic>
      <xdr:nvPicPr>
        <xdr:cNvPr id="816" name="图片 333" descr="2"/>
        <xdr:cNvPicPr/>
      </xdr:nvPicPr>
      <xdr:blipFill>
        <a:blip r:embed="rId264"/>
        <a:stretch/>
      </xdr:blipFill>
      <xdr:spPr>
        <a:xfrm>
          <a:off x="4039920" y="98498520"/>
          <a:ext cx="1170720" cy="1173240"/>
        </a:xfrm>
        <a:prstGeom prst="rect">
          <a:avLst/>
        </a:prstGeom>
        <a:noFill/>
        <a:ln w="9525">
          <a:noFill/>
        </a:ln>
      </xdr:spPr>
    </xdr:pic>
    <xdr:clientData/>
  </xdr:twoCellAnchor>
  <xdr:twoCellAnchor editAs="oneCell">
    <xdr:from>
      <xdr:col>2</xdr:col>
      <xdr:colOff>38160</xdr:colOff>
      <xdr:row>92</xdr:row>
      <xdr:rowOff>143280</xdr:rowOff>
    </xdr:from>
    <xdr:to>
      <xdr:col>2</xdr:col>
      <xdr:colOff>1208880</xdr:colOff>
      <xdr:row>92</xdr:row>
      <xdr:rowOff>1316520</xdr:rowOff>
    </xdr:to>
    <xdr:pic>
      <xdr:nvPicPr>
        <xdr:cNvPr id="817" name="图片 334" descr="9"/>
        <xdr:cNvPicPr/>
      </xdr:nvPicPr>
      <xdr:blipFill>
        <a:blip r:embed="rId265"/>
        <a:stretch/>
      </xdr:blipFill>
      <xdr:spPr>
        <a:xfrm>
          <a:off x="5605920" y="98498520"/>
          <a:ext cx="1170720" cy="1173240"/>
        </a:xfrm>
        <a:prstGeom prst="rect">
          <a:avLst/>
        </a:prstGeom>
        <a:noFill/>
        <a:ln w="9525">
          <a:noFill/>
        </a:ln>
      </xdr:spPr>
    </xdr:pic>
    <xdr:clientData/>
  </xdr:twoCellAnchor>
  <xdr:twoCellAnchor editAs="oneCell">
    <xdr:from>
      <xdr:col>1</xdr:col>
      <xdr:colOff>38160</xdr:colOff>
      <xdr:row>85</xdr:row>
      <xdr:rowOff>145800</xdr:rowOff>
    </xdr:from>
    <xdr:to>
      <xdr:col>1</xdr:col>
      <xdr:colOff>1208880</xdr:colOff>
      <xdr:row>85</xdr:row>
      <xdr:rowOff>1313640</xdr:rowOff>
    </xdr:to>
    <xdr:pic>
      <xdr:nvPicPr>
        <xdr:cNvPr id="818" name="图片 107" descr="1"/>
        <xdr:cNvPicPr/>
      </xdr:nvPicPr>
      <xdr:blipFill>
        <a:blip r:embed="rId266"/>
        <a:stretch/>
      </xdr:blipFill>
      <xdr:spPr>
        <a:xfrm>
          <a:off x="4039920" y="88277400"/>
          <a:ext cx="1170720" cy="1167840"/>
        </a:xfrm>
        <a:prstGeom prst="rect">
          <a:avLst/>
        </a:prstGeom>
        <a:noFill/>
        <a:ln w="9525">
          <a:noFill/>
        </a:ln>
      </xdr:spPr>
    </xdr:pic>
    <xdr:clientData/>
  </xdr:twoCellAnchor>
  <xdr:twoCellAnchor editAs="oneCell">
    <xdr:from>
      <xdr:col>2</xdr:col>
      <xdr:colOff>38160</xdr:colOff>
      <xdr:row>85</xdr:row>
      <xdr:rowOff>144000</xdr:rowOff>
    </xdr:from>
    <xdr:to>
      <xdr:col>2</xdr:col>
      <xdr:colOff>1208880</xdr:colOff>
      <xdr:row>85</xdr:row>
      <xdr:rowOff>1315440</xdr:rowOff>
    </xdr:to>
    <xdr:pic>
      <xdr:nvPicPr>
        <xdr:cNvPr id="819" name="图片 115" descr="9"/>
        <xdr:cNvPicPr/>
      </xdr:nvPicPr>
      <xdr:blipFill>
        <a:blip r:embed="rId267"/>
        <a:stretch/>
      </xdr:blipFill>
      <xdr:spPr>
        <a:xfrm>
          <a:off x="5605920" y="88275600"/>
          <a:ext cx="1170720" cy="1171440"/>
        </a:xfrm>
        <a:prstGeom prst="rect">
          <a:avLst/>
        </a:prstGeom>
        <a:noFill/>
        <a:ln w="9525">
          <a:noFill/>
        </a:ln>
      </xdr:spPr>
    </xdr:pic>
    <xdr:clientData/>
  </xdr:twoCellAnchor>
  <xdr:twoCellAnchor editAs="oneCell">
    <xdr:from>
      <xdr:col>1</xdr:col>
      <xdr:colOff>38160</xdr:colOff>
      <xdr:row>86</xdr:row>
      <xdr:rowOff>143280</xdr:rowOff>
    </xdr:from>
    <xdr:to>
      <xdr:col>1</xdr:col>
      <xdr:colOff>1208880</xdr:colOff>
      <xdr:row>86</xdr:row>
      <xdr:rowOff>1316520</xdr:rowOff>
    </xdr:to>
    <xdr:pic>
      <xdr:nvPicPr>
        <xdr:cNvPr id="820" name="图片 116" descr="1"/>
        <xdr:cNvPicPr/>
      </xdr:nvPicPr>
      <xdr:blipFill>
        <a:blip r:embed="rId268"/>
        <a:stretch/>
      </xdr:blipFill>
      <xdr:spPr>
        <a:xfrm>
          <a:off x="4039920" y="89735400"/>
          <a:ext cx="1170720" cy="1173240"/>
        </a:xfrm>
        <a:prstGeom prst="rect">
          <a:avLst/>
        </a:prstGeom>
        <a:noFill/>
        <a:ln w="9525">
          <a:noFill/>
        </a:ln>
      </xdr:spPr>
    </xdr:pic>
    <xdr:clientData/>
  </xdr:twoCellAnchor>
  <xdr:twoCellAnchor editAs="oneCell">
    <xdr:from>
      <xdr:col>2</xdr:col>
      <xdr:colOff>38160</xdr:colOff>
      <xdr:row>86</xdr:row>
      <xdr:rowOff>144000</xdr:rowOff>
    </xdr:from>
    <xdr:to>
      <xdr:col>2</xdr:col>
      <xdr:colOff>1208880</xdr:colOff>
      <xdr:row>86</xdr:row>
      <xdr:rowOff>1315440</xdr:rowOff>
    </xdr:to>
    <xdr:pic>
      <xdr:nvPicPr>
        <xdr:cNvPr id="821" name="图片 118" descr="9"/>
        <xdr:cNvPicPr/>
      </xdr:nvPicPr>
      <xdr:blipFill>
        <a:blip r:embed="rId269"/>
        <a:stretch/>
      </xdr:blipFill>
      <xdr:spPr>
        <a:xfrm>
          <a:off x="5605920" y="89736120"/>
          <a:ext cx="1170720" cy="1171440"/>
        </a:xfrm>
        <a:prstGeom prst="rect">
          <a:avLst/>
        </a:prstGeom>
        <a:noFill/>
        <a:ln w="9525">
          <a:noFill/>
        </a:ln>
      </xdr:spPr>
    </xdr:pic>
    <xdr:clientData/>
  </xdr:twoCellAnchor>
  <xdr:twoCellAnchor editAs="oneCell">
    <xdr:from>
      <xdr:col>1</xdr:col>
      <xdr:colOff>38160</xdr:colOff>
      <xdr:row>87</xdr:row>
      <xdr:rowOff>143280</xdr:rowOff>
    </xdr:from>
    <xdr:to>
      <xdr:col>1</xdr:col>
      <xdr:colOff>1208880</xdr:colOff>
      <xdr:row>87</xdr:row>
      <xdr:rowOff>1316520</xdr:rowOff>
    </xdr:to>
    <xdr:pic>
      <xdr:nvPicPr>
        <xdr:cNvPr id="822" name="图片 128" descr="1"/>
        <xdr:cNvPicPr/>
      </xdr:nvPicPr>
      <xdr:blipFill>
        <a:blip r:embed="rId270"/>
        <a:stretch/>
      </xdr:blipFill>
      <xdr:spPr>
        <a:xfrm>
          <a:off x="4039920" y="91195920"/>
          <a:ext cx="1170720" cy="1173240"/>
        </a:xfrm>
        <a:prstGeom prst="rect">
          <a:avLst/>
        </a:prstGeom>
        <a:noFill/>
        <a:ln w="9525">
          <a:noFill/>
        </a:ln>
      </xdr:spPr>
    </xdr:pic>
    <xdr:clientData/>
  </xdr:twoCellAnchor>
  <xdr:twoCellAnchor editAs="oneCell">
    <xdr:from>
      <xdr:col>2</xdr:col>
      <xdr:colOff>38160</xdr:colOff>
      <xdr:row>87</xdr:row>
      <xdr:rowOff>144000</xdr:rowOff>
    </xdr:from>
    <xdr:to>
      <xdr:col>2</xdr:col>
      <xdr:colOff>1208880</xdr:colOff>
      <xdr:row>87</xdr:row>
      <xdr:rowOff>1315440</xdr:rowOff>
    </xdr:to>
    <xdr:pic>
      <xdr:nvPicPr>
        <xdr:cNvPr id="823" name="图片 130" descr="9"/>
        <xdr:cNvPicPr/>
      </xdr:nvPicPr>
      <xdr:blipFill>
        <a:blip r:embed="rId271"/>
        <a:stretch/>
      </xdr:blipFill>
      <xdr:spPr>
        <a:xfrm>
          <a:off x="5605920" y="91196640"/>
          <a:ext cx="1170720" cy="1171440"/>
        </a:xfrm>
        <a:prstGeom prst="rect">
          <a:avLst/>
        </a:prstGeom>
        <a:noFill/>
        <a:ln w="9525">
          <a:noFill/>
        </a:ln>
      </xdr:spPr>
    </xdr:pic>
    <xdr:clientData/>
  </xdr:twoCellAnchor>
  <xdr:twoCellAnchor editAs="oneCell">
    <xdr:from>
      <xdr:col>1</xdr:col>
      <xdr:colOff>38160</xdr:colOff>
      <xdr:row>88</xdr:row>
      <xdr:rowOff>143280</xdr:rowOff>
    </xdr:from>
    <xdr:to>
      <xdr:col>1</xdr:col>
      <xdr:colOff>1208880</xdr:colOff>
      <xdr:row>88</xdr:row>
      <xdr:rowOff>1316520</xdr:rowOff>
    </xdr:to>
    <xdr:pic>
      <xdr:nvPicPr>
        <xdr:cNvPr id="824" name="图片 135" descr="1"/>
        <xdr:cNvPicPr/>
      </xdr:nvPicPr>
      <xdr:blipFill>
        <a:blip r:embed="rId272"/>
        <a:stretch/>
      </xdr:blipFill>
      <xdr:spPr>
        <a:xfrm>
          <a:off x="4039920" y="92656440"/>
          <a:ext cx="1170720" cy="1173240"/>
        </a:xfrm>
        <a:prstGeom prst="rect">
          <a:avLst/>
        </a:prstGeom>
        <a:noFill/>
        <a:ln w="9525">
          <a:noFill/>
        </a:ln>
      </xdr:spPr>
    </xdr:pic>
    <xdr:clientData/>
  </xdr:twoCellAnchor>
  <xdr:twoCellAnchor editAs="oneCell">
    <xdr:from>
      <xdr:col>2</xdr:col>
      <xdr:colOff>38160</xdr:colOff>
      <xdr:row>88</xdr:row>
      <xdr:rowOff>144000</xdr:rowOff>
    </xdr:from>
    <xdr:to>
      <xdr:col>2</xdr:col>
      <xdr:colOff>1208880</xdr:colOff>
      <xdr:row>88</xdr:row>
      <xdr:rowOff>1315440</xdr:rowOff>
    </xdr:to>
    <xdr:pic>
      <xdr:nvPicPr>
        <xdr:cNvPr id="825" name="图片 136" descr="9"/>
        <xdr:cNvPicPr/>
      </xdr:nvPicPr>
      <xdr:blipFill>
        <a:blip r:embed="rId273"/>
        <a:stretch/>
      </xdr:blipFill>
      <xdr:spPr>
        <a:xfrm>
          <a:off x="5605920" y="92657160"/>
          <a:ext cx="1170720" cy="1171440"/>
        </a:xfrm>
        <a:prstGeom prst="rect">
          <a:avLst/>
        </a:prstGeom>
        <a:noFill/>
        <a:ln w="9525">
          <a:noFill/>
        </a:ln>
      </xdr:spPr>
    </xdr:pic>
    <xdr:clientData/>
  </xdr:twoCellAnchor>
  <xdr:twoCellAnchor editAs="oneCell">
    <xdr:from>
      <xdr:col>1</xdr:col>
      <xdr:colOff>38160</xdr:colOff>
      <xdr:row>89</xdr:row>
      <xdr:rowOff>143280</xdr:rowOff>
    </xdr:from>
    <xdr:to>
      <xdr:col>1</xdr:col>
      <xdr:colOff>1208880</xdr:colOff>
      <xdr:row>89</xdr:row>
      <xdr:rowOff>1316520</xdr:rowOff>
    </xdr:to>
    <xdr:pic>
      <xdr:nvPicPr>
        <xdr:cNvPr id="826" name="图片 140" descr="1"/>
        <xdr:cNvPicPr/>
      </xdr:nvPicPr>
      <xdr:blipFill>
        <a:blip r:embed="rId274"/>
        <a:stretch/>
      </xdr:blipFill>
      <xdr:spPr>
        <a:xfrm>
          <a:off x="4039920" y="94116960"/>
          <a:ext cx="1170720" cy="1173240"/>
        </a:xfrm>
        <a:prstGeom prst="rect">
          <a:avLst/>
        </a:prstGeom>
        <a:noFill/>
        <a:ln w="9525">
          <a:noFill/>
        </a:ln>
      </xdr:spPr>
    </xdr:pic>
    <xdr:clientData/>
  </xdr:twoCellAnchor>
  <xdr:twoCellAnchor editAs="oneCell">
    <xdr:from>
      <xdr:col>2</xdr:col>
      <xdr:colOff>38160</xdr:colOff>
      <xdr:row>89</xdr:row>
      <xdr:rowOff>144000</xdr:rowOff>
    </xdr:from>
    <xdr:to>
      <xdr:col>2</xdr:col>
      <xdr:colOff>1208880</xdr:colOff>
      <xdr:row>89</xdr:row>
      <xdr:rowOff>1315440</xdr:rowOff>
    </xdr:to>
    <xdr:pic>
      <xdr:nvPicPr>
        <xdr:cNvPr id="827" name="图片 144" descr="9"/>
        <xdr:cNvPicPr/>
      </xdr:nvPicPr>
      <xdr:blipFill>
        <a:blip r:embed="rId275"/>
        <a:stretch/>
      </xdr:blipFill>
      <xdr:spPr>
        <a:xfrm>
          <a:off x="5605920" y="94117680"/>
          <a:ext cx="1170720" cy="1171440"/>
        </a:xfrm>
        <a:prstGeom prst="rect">
          <a:avLst/>
        </a:prstGeom>
        <a:noFill/>
        <a:ln w="9525">
          <a:noFill/>
        </a:ln>
      </xdr:spPr>
    </xdr:pic>
    <xdr:clientData/>
  </xdr:twoCellAnchor>
  <xdr:twoCellAnchor editAs="twoCell">
    <xdr:from>
      <xdr:col>0</xdr:col>
      <xdr:colOff>9360</xdr:colOff>
      <xdr:row>87</xdr:row>
      <xdr:rowOff>12240</xdr:rowOff>
    </xdr:from>
    <xdr:to>
      <xdr:col>0</xdr:col>
      <xdr:colOff>836640</xdr:colOff>
      <xdr:row>87</xdr:row>
      <xdr:rowOff>309240</xdr:rowOff>
    </xdr:to>
    <xdr:pic>
      <xdr:nvPicPr>
        <xdr:cNvPr id="828" name="图片 153" descr="快充"/>
        <xdr:cNvPicPr/>
      </xdr:nvPicPr>
      <xdr:blipFill>
        <a:blip r:embed="rId276"/>
        <a:stretch/>
      </xdr:blipFill>
      <xdr:spPr>
        <a:xfrm>
          <a:off x="9360" y="91064880"/>
          <a:ext cx="827280" cy="297000"/>
        </a:xfrm>
        <a:prstGeom prst="rect">
          <a:avLst/>
        </a:prstGeom>
        <a:noFill/>
        <a:ln w="9525">
          <a:noFill/>
        </a:ln>
      </xdr:spPr>
    </xdr:pic>
    <xdr:clientData/>
  </xdr:twoCellAnchor>
  <xdr:twoCellAnchor editAs="twoCell">
    <xdr:from>
      <xdr:col>0</xdr:col>
      <xdr:colOff>9360</xdr:colOff>
      <xdr:row>88</xdr:row>
      <xdr:rowOff>12240</xdr:rowOff>
    </xdr:from>
    <xdr:to>
      <xdr:col>0</xdr:col>
      <xdr:colOff>836640</xdr:colOff>
      <xdr:row>88</xdr:row>
      <xdr:rowOff>309240</xdr:rowOff>
    </xdr:to>
    <xdr:pic>
      <xdr:nvPicPr>
        <xdr:cNvPr id="829" name="图片 162" descr="快充"/>
        <xdr:cNvPicPr/>
      </xdr:nvPicPr>
      <xdr:blipFill>
        <a:blip r:embed="rId277"/>
        <a:stretch/>
      </xdr:blipFill>
      <xdr:spPr>
        <a:xfrm>
          <a:off x="9360" y="92525400"/>
          <a:ext cx="827280" cy="297000"/>
        </a:xfrm>
        <a:prstGeom prst="rect">
          <a:avLst/>
        </a:prstGeom>
        <a:noFill/>
        <a:ln w="9525">
          <a:noFill/>
        </a:ln>
      </xdr:spPr>
    </xdr:pic>
    <xdr:clientData/>
  </xdr:twoCellAnchor>
  <xdr:twoCellAnchor editAs="twoCell">
    <xdr:from>
      <xdr:col>0</xdr:col>
      <xdr:colOff>9360</xdr:colOff>
      <xdr:row>89</xdr:row>
      <xdr:rowOff>12240</xdr:rowOff>
    </xdr:from>
    <xdr:to>
      <xdr:col>0</xdr:col>
      <xdr:colOff>836640</xdr:colOff>
      <xdr:row>89</xdr:row>
      <xdr:rowOff>309240</xdr:rowOff>
    </xdr:to>
    <xdr:pic>
      <xdr:nvPicPr>
        <xdr:cNvPr id="830" name="图片 168" descr="快充"/>
        <xdr:cNvPicPr/>
      </xdr:nvPicPr>
      <xdr:blipFill>
        <a:blip r:embed="rId278"/>
        <a:stretch/>
      </xdr:blipFill>
      <xdr:spPr>
        <a:xfrm>
          <a:off x="9360" y="93985920"/>
          <a:ext cx="827280" cy="297000"/>
        </a:xfrm>
        <a:prstGeom prst="rect">
          <a:avLst/>
        </a:prstGeom>
        <a:noFill/>
        <a:ln w="9525">
          <a:noFill/>
        </a:ln>
      </xdr:spPr>
    </xdr:pic>
    <xdr:clientData/>
  </xdr:twoCellAnchor>
  <xdr:twoCellAnchor editAs="twoCell">
    <xdr:from>
      <xdr:col>0</xdr:col>
      <xdr:colOff>9360</xdr:colOff>
      <xdr:row>86</xdr:row>
      <xdr:rowOff>12240</xdr:rowOff>
    </xdr:from>
    <xdr:to>
      <xdr:col>0</xdr:col>
      <xdr:colOff>836640</xdr:colOff>
      <xdr:row>86</xdr:row>
      <xdr:rowOff>309240</xdr:rowOff>
    </xdr:to>
    <xdr:pic>
      <xdr:nvPicPr>
        <xdr:cNvPr id="831" name="图片 185" descr="快充"/>
        <xdr:cNvPicPr/>
      </xdr:nvPicPr>
      <xdr:blipFill>
        <a:blip r:embed="rId279"/>
        <a:stretch/>
      </xdr:blipFill>
      <xdr:spPr>
        <a:xfrm>
          <a:off x="9360" y="89604360"/>
          <a:ext cx="827280" cy="297000"/>
        </a:xfrm>
        <a:prstGeom prst="rect">
          <a:avLst/>
        </a:prstGeom>
        <a:noFill/>
        <a:ln w="9525">
          <a:noFill/>
        </a:ln>
      </xdr:spPr>
    </xdr:pic>
    <xdr:clientData/>
  </xdr:twoCellAnchor>
  <xdr:twoCellAnchor editAs="twoCell">
    <xdr:from>
      <xdr:col>0</xdr:col>
      <xdr:colOff>9360</xdr:colOff>
      <xdr:row>85</xdr:row>
      <xdr:rowOff>12240</xdr:rowOff>
    </xdr:from>
    <xdr:to>
      <xdr:col>0</xdr:col>
      <xdr:colOff>836640</xdr:colOff>
      <xdr:row>85</xdr:row>
      <xdr:rowOff>309240</xdr:rowOff>
    </xdr:to>
    <xdr:pic>
      <xdr:nvPicPr>
        <xdr:cNvPr id="832" name="图片 240" descr="快充"/>
        <xdr:cNvPicPr/>
      </xdr:nvPicPr>
      <xdr:blipFill>
        <a:blip r:embed="rId280"/>
        <a:stretch/>
      </xdr:blipFill>
      <xdr:spPr>
        <a:xfrm>
          <a:off x="9360" y="88143840"/>
          <a:ext cx="827280" cy="297000"/>
        </a:xfrm>
        <a:prstGeom prst="rect">
          <a:avLst/>
        </a:prstGeom>
        <a:noFill/>
        <a:ln w="9525">
          <a:noFill/>
        </a:ln>
      </xdr:spPr>
    </xdr:pic>
    <xdr:clientData/>
  </xdr:twoCellAnchor>
  <xdr:twoCellAnchor editAs="oneCell">
    <xdr:from>
      <xdr:col>1</xdr:col>
      <xdr:colOff>38160</xdr:colOff>
      <xdr:row>51</xdr:row>
      <xdr:rowOff>143280</xdr:rowOff>
    </xdr:from>
    <xdr:to>
      <xdr:col>1</xdr:col>
      <xdr:colOff>1208880</xdr:colOff>
      <xdr:row>51</xdr:row>
      <xdr:rowOff>1316520</xdr:rowOff>
    </xdr:to>
    <xdr:pic>
      <xdr:nvPicPr>
        <xdr:cNvPr id="833" name="图片 22" descr="2"/>
        <xdr:cNvPicPr/>
      </xdr:nvPicPr>
      <xdr:blipFill>
        <a:blip r:embed="rId281"/>
        <a:stretch/>
      </xdr:blipFill>
      <xdr:spPr>
        <a:xfrm>
          <a:off x="4039920" y="55099440"/>
          <a:ext cx="1170720" cy="1173240"/>
        </a:xfrm>
        <a:prstGeom prst="rect">
          <a:avLst/>
        </a:prstGeom>
        <a:noFill/>
        <a:ln w="9525">
          <a:noFill/>
        </a:ln>
      </xdr:spPr>
    </xdr:pic>
    <xdr:clientData/>
  </xdr:twoCellAnchor>
  <xdr:twoCellAnchor editAs="oneCell">
    <xdr:from>
      <xdr:col>2</xdr:col>
      <xdr:colOff>38160</xdr:colOff>
      <xdr:row>51</xdr:row>
      <xdr:rowOff>143280</xdr:rowOff>
    </xdr:from>
    <xdr:to>
      <xdr:col>2</xdr:col>
      <xdr:colOff>1208880</xdr:colOff>
      <xdr:row>51</xdr:row>
      <xdr:rowOff>1316520</xdr:rowOff>
    </xdr:to>
    <xdr:pic>
      <xdr:nvPicPr>
        <xdr:cNvPr id="834" name="图片 24" descr="9"/>
        <xdr:cNvPicPr/>
      </xdr:nvPicPr>
      <xdr:blipFill>
        <a:blip r:embed="rId282"/>
        <a:stretch/>
      </xdr:blipFill>
      <xdr:spPr>
        <a:xfrm>
          <a:off x="5605920" y="55099440"/>
          <a:ext cx="1170720" cy="1173240"/>
        </a:xfrm>
        <a:prstGeom prst="rect">
          <a:avLst/>
        </a:prstGeom>
        <a:noFill/>
        <a:ln w="9525">
          <a:noFill/>
        </a:ln>
      </xdr:spPr>
    </xdr:pic>
    <xdr:clientData/>
  </xdr:twoCellAnchor>
  <xdr:twoCellAnchor editAs="oneCell">
    <xdr:from>
      <xdr:col>1</xdr:col>
      <xdr:colOff>38160</xdr:colOff>
      <xdr:row>119</xdr:row>
      <xdr:rowOff>146160</xdr:rowOff>
    </xdr:from>
    <xdr:to>
      <xdr:col>1</xdr:col>
      <xdr:colOff>1208880</xdr:colOff>
      <xdr:row>119</xdr:row>
      <xdr:rowOff>1313640</xdr:rowOff>
    </xdr:to>
    <xdr:pic>
      <xdr:nvPicPr>
        <xdr:cNvPr id="835" name="图片 25" descr="2(3)"/>
        <xdr:cNvPicPr/>
      </xdr:nvPicPr>
      <xdr:blipFill>
        <a:blip r:embed="rId283"/>
        <a:stretch/>
      </xdr:blipFill>
      <xdr:spPr>
        <a:xfrm>
          <a:off x="4039920" y="137934720"/>
          <a:ext cx="1170720" cy="1167480"/>
        </a:xfrm>
        <a:prstGeom prst="rect">
          <a:avLst/>
        </a:prstGeom>
        <a:noFill/>
        <a:ln w="9525">
          <a:noFill/>
        </a:ln>
      </xdr:spPr>
    </xdr:pic>
    <xdr:clientData/>
  </xdr:twoCellAnchor>
  <xdr:twoCellAnchor editAs="oneCell">
    <xdr:from>
      <xdr:col>2</xdr:col>
      <xdr:colOff>38160</xdr:colOff>
      <xdr:row>119</xdr:row>
      <xdr:rowOff>144000</xdr:rowOff>
    </xdr:from>
    <xdr:to>
      <xdr:col>2</xdr:col>
      <xdr:colOff>1208880</xdr:colOff>
      <xdr:row>119</xdr:row>
      <xdr:rowOff>1315440</xdr:rowOff>
    </xdr:to>
    <xdr:pic>
      <xdr:nvPicPr>
        <xdr:cNvPr id="836" name="图片 29" descr="10"/>
        <xdr:cNvPicPr/>
      </xdr:nvPicPr>
      <xdr:blipFill>
        <a:blip r:embed="rId284"/>
        <a:stretch/>
      </xdr:blipFill>
      <xdr:spPr>
        <a:xfrm>
          <a:off x="5605920" y="137932560"/>
          <a:ext cx="1170720" cy="1171440"/>
        </a:xfrm>
        <a:prstGeom prst="rect">
          <a:avLst/>
        </a:prstGeom>
        <a:noFill/>
        <a:ln w="9525">
          <a:noFill/>
        </a:ln>
      </xdr:spPr>
    </xdr:pic>
    <xdr:clientData/>
  </xdr:twoCellAnchor>
  <xdr:twoCellAnchor editAs="oneCell">
    <xdr:from>
      <xdr:col>1</xdr:col>
      <xdr:colOff>38160</xdr:colOff>
      <xdr:row>17</xdr:row>
      <xdr:rowOff>140760</xdr:rowOff>
    </xdr:from>
    <xdr:to>
      <xdr:col>1</xdr:col>
      <xdr:colOff>1208880</xdr:colOff>
      <xdr:row>17</xdr:row>
      <xdr:rowOff>1319040</xdr:rowOff>
    </xdr:to>
    <xdr:pic>
      <xdr:nvPicPr>
        <xdr:cNvPr id="837" name="图片 30" descr="2(1)"/>
        <xdr:cNvPicPr/>
      </xdr:nvPicPr>
      <xdr:blipFill>
        <a:blip r:embed="rId285"/>
        <a:stretch/>
      </xdr:blipFill>
      <xdr:spPr>
        <a:xfrm>
          <a:off x="4039920" y="20524320"/>
          <a:ext cx="1170720" cy="1178280"/>
        </a:xfrm>
        <a:prstGeom prst="rect">
          <a:avLst/>
        </a:prstGeom>
        <a:noFill/>
        <a:ln w="9525">
          <a:noFill/>
        </a:ln>
      </xdr:spPr>
    </xdr:pic>
    <xdr:clientData/>
  </xdr:twoCellAnchor>
  <xdr:twoCellAnchor editAs="oneCell">
    <xdr:from>
      <xdr:col>2</xdr:col>
      <xdr:colOff>38160</xdr:colOff>
      <xdr:row>17</xdr:row>
      <xdr:rowOff>145080</xdr:rowOff>
    </xdr:from>
    <xdr:to>
      <xdr:col>2</xdr:col>
      <xdr:colOff>1208880</xdr:colOff>
      <xdr:row>17</xdr:row>
      <xdr:rowOff>1314720</xdr:rowOff>
    </xdr:to>
    <xdr:pic>
      <xdr:nvPicPr>
        <xdr:cNvPr id="838" name="图片 34" descr="10"/>
        <xdr:cNvPicPr/>
      </xdr:nvPicPr>
      <xdr:blipFill>
        <a:blip r:embed="rId286"/>
        <a:stretch/>
      </xdr:blipFill>
      <xdr:spPr>
        <a:xfrm>
          <a:off x="5605920" y="20528640"/>
          <a:ext cx="1170720" cy="1169640"/>
        </a:xfrm>
        <a:prstGeom prst="rect">
          <a:avLst/>
        </a:prstGeom>
        <a:noFill/>
        <a:ln w="9525">
          <a:noFill/>
        </a:ln>
      </xdr:spPr>
    </xdr:pic>
    <xdr:clientData/>
  </xdr:twoCellAnchor>
  <xdr:twoCellAnchor editAs="oneCell">
    <xdr:from>
      <xdr:col>1</xdr:col>
      <xdr:colOff>38160</xdr:colOff>
      <xdr:row>23</xdr:row>
      <xdr:rowOff>142560</xdr:rowOff>
    </xdr:from>
    <xdr:to>
      <xdr:col>1</xdr:col>
      <xdr:colOff>1208880</xdr:colOff>
      <xdr:row>23</xdr:row>
      <xdr:rowOff>1317600</xdr:rowOff>
    </xdr:to>
    <xdr:pic>
      <xdr:nvPicPr>
        <xdr:cNvPr id="839" name="图片 32" descr="1"/>
        <xdr:cNvPicPr/>
      </xdr:nvPicPr>
      <xdr:blipFill>
        <a:blip r:embed="rId287"/>
        <a:stretch/>
      </xdr:blipFill>
      <xdr:spPr>
        <a:xfrm>
          <a:off x="4039920" y="26777520"/>
          <a:ext cx="1170720" cy="1175040"/>
        </a:xfrm>
        <a:prstGeom prst="rect">
          <a:avLst/>
        </a:prstGeom>
        <a:noFill/>
        <a:ln w="9525">
          <a:noFill/>
        </a:ln>
      </xdr:spPr>
    </xdr:pic>
    <xdr:clientData/>
  </xdr:twoCellAnchor>
  <xdr:twoCellAnchor editAs="oneCell">
    <xdr:from>
      <xdr:col>2</xdr:col>
      <xdr:colOff>38160</xdr:colOff>
      <xdr:row>23</xdr:row>
      <xdr:rowOff>144720</xdr:rowOff>
    </xdr:from>
    <xdr:to>
      <xdr:col>2</xdr:col>
      <xdr:colOff>1208880</xdr:colOff>
      <xdr:row>23</xdr:row>
      <xdr:rowOff>1315080</xdr:rowOff>
    </xdr:to>
    <xdr:pic>
      <xdr:nvPicPr>
        <xdr:cNvPr id="840" name="图片 33" descr="9"/>
        <xdr:cNvPicPr/>
      </xdr:nvPicPr>
      <xdr:blipFill>
        <a:blip r:embed="rId288"/>
        <a:stretch/>
      </xdr:blipFill>
      <xdr:spPr>
        <a:xfrm>
          <a:off x="5605920" y="26779680"/>
          <a:ext cx="1170720" cy="1170360"/>
        </a:xfrm>
        <a:prstGeom prst="rect">
          <a:avLst/>
        </a:prstGeom>
        <a:noFill/>
        <a:ln w="9525">
          <a:noFill/>
        </a:ln>
      </xdr:spPr>
    </xdr:pic>
    <xdr:clientData/>
  </xdr:twoCellAnchor>
  <xdr:twoCellAnchor editAs="oneCell">
    <xdr:from>
      <xdr:col>1</xdr:col>
      <xdr:colOff>38160</xdr:colOff>
      <xdr:row>24</xdr:row>
      <xdr:rowOff>142560</xdr:rowOff>
    </xdr:from>
    <xdr:to>
      <xdr:col>1</xdr:col>
      <xdr:colOff>1208880</xdr:colOff>
      <xdr:row>24</xdr:row>
      <xdr:rowOff>1317600</xdr:rowOff>
    </xdr:to>
    <xdr:pic>
      <xdr:nvPicPr>
        <xdr:cNvPr id="841" name="图片 34" descr="1"/>
        <xdr:cNvPicPr/>
      </xdr:nvPicPr>
      <xdr:blipFill>
        <a:blip r:embed="rId289"/>
        <a:stretch/>
      </xdr:blipFill>
      <xdr:spPr>
        <a:xfrm>
          <a:off x="4039920" y="28238040"/>
          <a:ext cx="1170720" cy="1175040"/>
        </a:xfrm>
        <a:prstGeom prst="rect">
          <a:avLst/>
        </a:prstGeom>
        <a:noFill/>
        <a:ln w="9525">
          <a:noFill/>
        </a:ln>
      </xdr:spPr>
    </xdr:pic>
    <xdr:clientData/>
  </xdr:twoCellAnchor>
  <xdr:twoCellAnchor editAs="oneCell">
    <xdr:from>
      <xdr:col>2</xdr:col>
      <xdr:colOff>38160</xdr:colOff>
      <xdr:row>24</xdr:row>
      <xdr:rowOff>144720</xdr:rowOff>
    </xdr:from>
    <xdr:to>
      <xdr:col>2</xdr:col>
      <xdr:colOff>1208880</xdr:colOff>
      <xdr:row>24</xdr:row>
      <xdr:rowOff>1315080</xdr:rowOff>
    </xdr:to>
    <xdr:pic>
      <xdr:nvPicPr>
        <xdr:cNvPr id="842" name="图片 35" descr="9"/>
        <xdr:cNvPicPr/>
      </xdr:nvPicPr>
      <xdr:blipFill>
        <a:blip r:embed="rId290"/>
        <a:stretch/>
      </xdr:blipFill>
      <xdr:spPr>
        <a:xfrm>
          <a:off x="5605920" y="28240200"/>
          <a:ext cx="1170720" cy="1170360"/>
        </a:xfrm>
        <a:prstGeom prst="rect">
          <a:avLst/>
        </a:prstGeom>
        <a:noFill/>
        <a:ln w="9525">
          <a:noFill/>
        </a:ln>
      </xdr:spPr>
    </xdr:pic>
    <xdr:clientData/>
  </xdr:twoCellAnchor>
  <xdr:twoCellAnchor editAs="oneCell">
    <xdr:from>
      <xdr:col>1</xdr:col>
      <xdr:colOff>38160</xdr:colOff>
      <xdr:row>25</xdr:row>
      <xdr:rowOff>140040</xdr:rowOff>
    </xdr:from>
    <xdr:to>
      <xdr:col>1</xdr:col>
      <xdr:colOff>1208880</xdr:colOff>
      <xdr:row>25</xdr:row>
      <xdr:rowOff>1320120</xdr:rowOff>
    </xdr:to>
    <xdr:pic>
      <xdr:nvPicPr>
        <xdr:cNvPr id="843" name="图片 36" descr="1"/>
        <xdr:cNvPicPr/>
      </xdr:nvPicPr>
      <xdr:blipFill>
        <a:blip r:embed="rId291"/>
        <a:stretch/>
      </xdr:blipFill>
      <xdr:spPr>
        <a:xfrm>
          <a:off x="4039920" y="29696040"/>
          <a:ext cx="1170720" cy="1180080"/>
        </a:xfrm>
        <a:prstGeom prst="rect">
          <a:avLst/>
        </a:prstGeom>
        <a:noFill/>
        <a:ln w="9525">
          <a:noFill/>
        </a:ln>
      </xdr:spPr>
    </xdr:pic>
    <xdr:clientData/>
  </xdr:twoCellAnchor>
  <xdr:twoCellAnchor editAs="oneCell">
    <xdr:from>
      <xdr:col>2</xdr:col>
      <xdr:colOff>38160</xdr:colOff>
      <xdr:row>25</xdr:row>
      <xdr:rowOff>144720</xdr:rowOff>
    </xdr:from>
    <xdr:to>
      <xdr:col>2</xdr:col>
      <xdr:colOff>1208880</xdr:colOff>
      <xdr:row>25</xdr:row>
      <xdr:rowOff>1315080</xdr:rowOff>
    </xdr:to>
    <xdr:pic>
      <xdr:nvPicPr>
        <xdr:cNvPr id="844" name="图片 37" descr="9"/>
        <xdr:cNvPicPr/>
      </xdr:nvPicPr>
      <xdr:blipFill>
        <a:blip r:embed="rId292"/>
        <a:stretch/>
      </xdr:blipFill>
      <xdr:spPr>
        <a:xfrm>
          <a:off x="5605920" y="29700720"/>
          <a:ext cx="1170720" cy="1170360"/>
        </a:xfrm>
        <a:prstGeom prst="rect">
          <a:avLst/>
        </a:prstGeom>
        <a:noFill/>
        <a:ln w="9525">
          <a:noFill/>
        </a:ln>
      </xdr:spPr>
    </xdr:pic>
    <xdr:clientData/>
  </xdr:twoCellAnchor>
  <xdr:twoCellAnchor editAs="oneCell">
    <xdr:from>
      <xdr:col>1</xdr:col>
      <xdr:colOff>38160</xdr:colOff>
      <xdr:row>26</xdr:row>
      <xdr:rowOff>142560</xdr:rowOff>
    </xdr:from>
    <xdr:to>
      <xdr:col>1</xdr:col>
      <xdr:colOff>1208880</xdr:colOff>
      <xdr:row>26</xdr:row>
      <xdr:rowOff>1317600</xdr:rowOff>
    </xdr:to>
    <xdr:pic>
      <xdr:nvPicPr>
        <xdr:cNvPr id="845" name="图片 38" descr="1"/>
        <xdr:cNvPicPr/>
      </xdr:nvPicPr>
      <xdr:blipFill>
        <a:blip r:embed="rId293"/>
        <a:stretch/>
      </xdr:blipFill>
      <xdr:spPr>
        <a:xfrm>
          <a:off x="4039920" y="31159080"/>
          <a:ext cx="1170720" cy="1175040"/>
        </a:xfrm>
        <a:prstGeom prst="rect">
          <a:avLst/>
        </a:prstGeom>
        <a:noFill/>
        <a:ln w="9525">
          <a:noFill/>
        </a:ln>
      </xdr:spPr>
    </xdr:pic>
    <xdr:clientData/>
  </xdr:twoCellAnchor>
  <xdr:twoCellAnchor editAs="oneCell">
    <xdr:from>
      <xdr:col>2</xdr:col>
      <xdr:colOff>38160</xdr:colOff>
      <xdr:row>26</xdr:row>
      <xdr:rowOff>145440</xdr:rowOff>
    </xdr:from>
    <xdr:to>
      <xdr:col>2</xdr:col>
      <xdr:colOff>1208880</xdr:colOff>
      <xdr:row>26</xdr:row>
      <xdr:rowOff>1314720</xdr:rowOff>
    </xdr:to>
    <xdr:pic>
      <xdr:nvPicPr>
        <xdr:cNvPr id="846" name="图片 39" descr="9"/>
        <xdr:cNvPicPr/>
      </xdr:nvPicPr>
      <xdr:blipFill>
        <a:blip r:embed="rId294"/>
        <a:stretch/>
      </xdr:blipFill>
      <xdr:spPr>
        <a:xfrm>
          <a:off x="5605920" y="31161960"/>
          <a:ext cx="1170720" cy="1169280"/>
        </a:xfrm>
        <a:prstGeom prst="rect">
          <a:avLst/>
        </a:prstGeom>
        <a:noFill/>
        <a:ln w="9525">
          <a:noFill/>
        </a:ln>
      </xdr:spPr>
    </xdr:pic>
    <xdr:clientData/>
  </xdr:twoCellAnchor>
  <xdr:twoCellAnchor editAs="oneCell">
    <xdr:from>
      <xdr:col>1</xdr:col>
      <xdr:colOff>38160</xdr:colOff>
      <xdr:row>27</xdr:row>
      <xdr:rowOff>140040</xdr:rowOff>
    </xdr:from>
    <xdr:to>
      <xdr:col>1</xdr:col>
      <xdr:colOff>1208880</xdr:colOff>
      <xdr:row>27</xdr:row>
      <xdr:rowOff>1320120</xdr:rowOff>
    </xdr:to>
    <xdr:pic>
      <xdr:nvPicPr>
        <xdr:cNvPr id="847" name="图片 40" descr="1"/>
        <xdr:cNvPicPr/>
      </xdr:nvPicPr>
      <xdr:blipFill>
        <a:blip r:embed="rId295"/>
        <a:stretch/>
      </xdr:blipFill>
      <xdr:spPr>
        <a:xfrm>
          <a:off x="4039920" y="32617080"/>
          <a:ext cx="1170720" cy="1180080"/>
        </a:xfrm>
        <a:prstGeom prst="rect">
          <a:avLst/>
        </a:prstGeom>
        <a:noFill/>
        <a:ln w="9525">
          <a:noFill/>
        </a:ln>
      </xdr:spPr>
    </xdr:pic>
    <xdr:clientData/>
  </xdr:twoCellAnchor>
  <xdr:twoCellAnchor editAs="oneCell">
    <xdr:from>
      <xdr:col>2</xdr:col>
      <xdr:colOff>38160</xdr:colOff>
      <xdr:row>27</xdr:row>
      <xdr:rowOff>145080</xdr:rowOff>
    </xdr:from>
    <xdr:to>
      <xdr:col>2</xdr:col>
      <xdr:colOff>1208880</xdr:colOff>
      <xdr:row>27</xdr:row>
      <xdr:rowOff>1314720</xdr:rowOff>
    </xdr:to>
    <xdr:pic>
      <xdr:nvPicPr>
        <xdr:cNvPr id="848" name="图片 41" descr="9"/>
        <xdr:cNvPicPr/>
      </xdr:nvPicPr>
      <xdr:blipFill>
        <a:blip r:embed="rId296"/>
        <a:stretch/>
      </xdr:blipFill>
      <xdr:spPr>
        <a:xfrm>
          <a:off x="5605920" y="32622120"/>
          <a:ext cx="1170720" cy="1169640"/>
        </a:xfrm>
        <a:prstGeom prst="rect">
          <a:avLst/>
        </a:prstGeom>
        <a:noFill/>
        <a:ln w="9525">
          <a:noFill/>
        </a:ln>
      </xdr:spPr>
    </xdr:pic>
    <xdr:clientData/>
  </xdr:twoCellAnchor>
  <xdr:twoCellAnchor editAs="oneCell">
    <xdr:from>
      <xdr:col>1</xdr:col>
      <xdr:colOff>38160</xdr:colOff>
      <xdr:row>28</xdr:row>
      <xdr:rowOff>142560</xdr:rowOff>
    </xdr:from>
    <xdr:to>
      <xdr:col>1</xdr:col>
      <xdr:colOff>1208880</xdr:colOff>
      <xdr:row>28</xdr:row>
      <xdr:rowOff>1317600</xdr:rowOff>
    </xdr:to>
    <xdr:pic>
      <xdr:nvPicPr>
        <xdr:cNvPr id="849" name="图片 42" descr="1"/>
        <xdr:cNvPicPr/>
      </xdr:nvPicPr>
      <xdr:blipFill>
        <a:blip r:embed="rId297"/>
        <a:stretch/>
      </xdr:blipFill>
      <xdr:spPr>
        <a:xfrm>
          <a:off x="4039920" y="34080120"/>
          <a:ext cx="1170720" cy="1175040"/>
        </a:xfrm>
        <a:prstGeom prst="rect">
          <a:avLst/>
        </a:prstGeom>
        <a:noFill/>
        <a:ln w="9525">
          <a:noFill/>
        </a:ln>
      </xdr:spPr>
    </xdr:pic>
    <xdr:clientData/>
  </xdr:twoCellAnchor>
  <xdr:twoCellAnchor editAs="oneCell">
    <xdr:from>
      <xdr:col>2</xdr:col>
      <xdr:colOff>38160</xdr:colOff>
      <xdr:row>28</xdr:row>
      <xdr:rowOff>144720</xdr:rowOff>
    </xdr:from>
    <xdr:to>
      <xdr:col>2</xdr:col>
      <xdr:colOff>1208880</xdr:colOff>
      <xdr:row>28</xdr:row>
      <xdr:rowOff>1315080</xdr:rowOff>
    </xdr:to>
    <xdr:pic>
      <xdr:nvPicPr>
        <xdr:cNvPr id="850" name="图片 43" descr="9"/>
        <xdr:cNvPicPr/>
      </xdr:nvPicPr>
      <xdr:blipFill>
        <a:blip r:embed="rId298"/>
        <a:stretch/>
      </xdr:blipFill>
      <xdr:spPr>
        <a:xfrm>
          <a:off x="5605920" y="34082280"/>
          <a:ext cx="1170720" cy="1170360"/>
        </a:xfrm>
        <a:prstGeom prst="rect">
          <a:avLst/>
        </a:prstGeom>
        <a:noFill/>
        <a:ln w="9525">
          <a:noFill/>
        </a:ln>
      </xdr:spPr>
    </xdr:pic>
    <xdr:clientData/>
  </xdr:twoCellAnchor>
  <xdr:twoCellAnchor editAs="twoCell">
    <xdr:from>
      <xdr:col>0</xdr:col>
      <xdr:colOff>9360</xdr:colOff>
      <xdr:row>28</xdr:row>
      <xdr:rowOff>0</xdr:rowOff>
    </xdr:from>
    <xdr:to>
      <xdr:col>0</xdr:col>
      <xdr:colOff>836640</xdr:colOff>
      <xdr:row>28</xdr:row>
      <xdr:rowOff>297000</xdr:rowOff>
    </xdr:to>
    <xdr:pic>
      <xdr:nvPicPr>
        <xdr:cNvPr id="851" name="图片 449" descr="快充"/>
        <xdr:cNvPicPr/>
      </xdr:nvPicPr>
      <xdr:blipFill>
        <a:blip r:embed="rId299"/>
        <a:stretch/>
      </xdr:blipFill>
      <xdr:spPr>
        <a:xfrm>
          <a:off x="9360" y="33937560"/>
          <a:ext cx="827280" cy="297000"/>
        </a:xfrm>
        <a:prstGeom prst="rect">
          <a:avLst/>
        </a:prstGeom>
        <a:noFill/>
        <a:ln w="9525">
          <a:noFill/>
        </a:ln>
      </xdr:spPr>
    </xdr:pic>
    <xdr:clientData/>
  </xdr:twoCellAnchor>
  <xdr:twoCellAnchor editAs="twoCell">
    <xdr:from>
      <xdr:col>0</xdr:col>
      <xdr:colOff>9360</xdr:colOff>
      <xdr:row>27</xdr:row>
      <xdr:rowOff>0</xdr:rowOff>
    </xdr:from>
    <xdr:to>
      <xdr:col>0</xdr:col>
      <xdr:colOff>836640</xdr:colOff>
      <xdr:row>27</xdr:row>
      <xdr:rowOff>297000</xdr:rowOff>
    </xdr:to>
    <xdr:pic>
      <xdr:nvPicPr>
        <xdr:cNvPr id="852" name="图片 449" descr="快充"/>
        <xdr:cNvPicPr/>
      </xdr:nvPicPr>
      <xdr:blipFill>
        <a:blip r:embed="rId300"/>
        <a:stretch/>
      </xdr:blipFill>
      <xdr:spPr>
        <a:xfrm>
          <a:off x="9360" y="32477040"/>
          <a:ext cx="827280" cy="297000"/>
        </a:xfrm>
        <a:prstGeom prst="rect">
          <a:avLst/>
        </a:prstGeom>
        <a:noFill/>
        <a:ln w="9525">
          <a:noFill/>
        </a:ln>
      </xdr:spPr>
    </xdr:pic>
    <xdr:clientData/>
  </xdr:twoCellAnchor>
  <xdr:twoCellAnchor editAs="twoCell">
    <xdr:from>
      <xdr:col>0</xdr:col>
      <xdr:colOff>9360</xdr:colOff>
      <xdr:row>26</xdr:row>
      <xdr:rowOff>0</xdr:rowOff>
    </xdr:from>
    <xdr:to>
      <xdr:col>0</xdr:col>
      <xdr:colOff>836640</xdr:colOff>
      <xdr:row>26</xdr:row>
      <xdr:rowOff>297000</xdr:rowOff>
    </xdr:to>
    <xdr:pic>
      <xdr:nvPicPr>
        <xdr:cNvPr id="853" name="图片 449" descr="快充"/>
        <xdr:cNvPicPr/>
      </xdr:nvPicPr>
      <xdr:blipFill>
        <a:blip r:embed="rId301"/>
        <a:stretch/>
      </xdr:blipFill>
      <xdr:spPr>
        <a:xfrm>
          <a:off x="9360" y="31016520"/>
          <a:ext cx="827280" cy="297000"/>
        </a:xfrm>
        <a:prstGeom prst="rect">
          <a:avLst/>
        </a:prstGeom>
        <a:noFill/>
        <a:ln w="9525">
          <a:noFill/>
        </a:ln>
      </xdr:spPr>
    </xdr:pic>
    <xdr:clientData/>
  </xdr:twoCellAnchor>
  <xdr:twoCellAnchor editAs="twoCell">
    <xdr:from>
      <xdr:col>0</xdr:col>
      <xdr:colOff>9360</xdr:colOff>
      <xdr:row>25</xdr:row>
      <xdr:rowOff>0</xdr:rowOff>
    </xdr:from>
    <xdr:to>
      <xdr:col>0</xdr:col>
      <xdr:colOff>836640</xdr:colOff>
      <xdr:row>25</xdr:row>
      <xdr:rowOff>297000</xdr:rowOff>
    </xdr:to>
    <xdr:pic>
      <xdr:nvPicPr>
        <xdr:cNvPr id="854" name="图片 449" descr="快充"/>
        <xdr:cNvPicPr/>
      </xdr:nvPicPr>
      <xdr:blipFill>
        <a:blip r:embed="rId302"/>
        <a:stretch/>
      </xdr:blipFill>
      <xdr:spPr>
        <a:xfrm>
          <a:off x="9360" y="29556000"/>
          <a:ext cx="827280" cy="297000"/>
        </a:xfrm>
        <a:prstGeom prst="rect">
          <a:avLst/>
        </a:prstGeom>
        <a:noFill/>
        <a:ln w="9525">
          <a:noFill/>
        </a:ln>
      </xdr:spPr>
    </xdr:pic>
    <xdr:clientData/>
  </xdr:twoCellAnchor>
  <xdr:twoCellAnchor editAs="twoCell">
    <xdr:from>
      <xdr:col>0</xdr:col>
      <xdr:colOff>9360</xdr:colOff>
      <xdr:row>24</xdr:row>
      <xdr:rowOff>0</xdr:rowOff>
    </xdr:from>
    <xdr:to>
      <xdr:col>0</xdr:col>
      <xdr:colOff>836640</xdr:colOff>
      <xdr:row>24</xdr:row>
      <xdr:rowOff>297000</xdr:rowOff>
    </xdr:to>
    <xdr:pic>
      <xdr:nvPicPr>
        <xdr:cNvPr id="855" name="图片 449" descr="快充"/>
        <xdr:cNvPicPr/>
      </xdr:nvPicPr>
      <xdr:blipFill>
        <a:blip r:embed="rId303"/>
        <a:stretch/>
      </xdr:blipFill>
      <xdr:spPr>
        <a:xfrm>
          <a:off x="9360" y="28095480"/>
          <a:ext cx="827280" cy="297000"/>
        </a:xfrm>
        <a:prstGeom prst="rect">
          <a:avLst/>
        </a:prstGeom>
        <a:noFill/>
        <a:ln w="9525">
          <a:noFill/>
        </a:ln>
      </xdr:spPr>
    </xdr:pic>
    <xdr:clientData/>
  </xdr:twoCellAnchor>
  <xdr:twoCellAnchor editAs="twoCell">
    <xdr:from>
      <xdr:col>0</xdr:col>
      <xdr:colOff>9360</xdr:colOff>
      <xdr:row>23</xdr:row>
      <xdr:rowOff>0</xdr:rowOff>
    </xdr:from>
    <xdr:to>
      <xdr:col>0</xdr:col>
      <xdr:colOff>836640</xdr:colOff>
      <xdr:row>23</xdr:row>
      <xdr:rowOff>297000</xdr:rowOff>
    </xdr:to>
    <xdr:pic>
      <xdr:nvPicPr>
        <xdr:cNvPr id="856" name="图片 449" descr="快充"/>
        <xdr:cNvPicPr/>
      </xdr:nvPicPr>
      <xdr:blipFill>
        <a:blip r:embed="rId304"/>
        <a:stretch/>
      </xdr:blipFill>
      <xdr:spPr>
        <a:xfrm>
          <a:off x="9360" y="26634960"/>
          <a:ext cx="827280" cy="297000"/>
        </a:xfrm>
        <a:prstGeom prst="rect">
          <a:avLst/>
        </a:prstGeom>
        <a:noFill/>
        <a:ln w="9525">
          <a:noFill/>
        </a:ln>
      </xdr:spPr>
    </xdr:pic>
    <xdr:clientData/>
  </xdr:twoCellAnchor>
  <xdr:twoCellAnchor editAs="oneCell">
    <xdr:from>
      <xdr:col>1</xdr:col>
      <xdr:colOff>38160</xdr:colOff>
      <xdr:row>4</xdr:row>
      <xdr:rowOff>142920</xdr:rowOff>
    </xdr:from>
    <xdr:to>
      <xdr:col>1</xdr:col>
      <xdr:colOff>1208880</xdr:colOff>
      <xdr:row>4</xdr:row>
      <xdr:rowOff>1317240</xdr:rowOff>
    </xdr:to>
    <xdr:pic>
      <xdr:nvPicPr>
        <xdr:cNvPr id="857" name="图片 15" descr="2"/>
        <xdr:cNvPicPr/>
      </xdr:nvPicPr>
      <xdr:blipFill>
        <a:blip r:embed="rId305"/>
        <a:stretch/>
      </xdr:blipFill>
      <xdr:spPr>
        <a:xfrm>
          <a:off x="4039920" y="1540080"/>
          <a:ext cx="1170720" cy="1174320"/>
        </a:xfrm>
        <a:prstGeom prst="rect">
          <a:avLst/>
        </a:prstGeom>
        <a:noFill/>
        <a:ln w="9525">
          <a:noFill/>
        </a:ln>
      </xdr:spPr>
    </xdr:pic>
    <xdr:clientData/>
  </xdr:twoCellAnchor>
  <xdr:twoCellAnchor editAs="oneCell">
    <xdr:from>
      <xdr:col>2</xdr:col>
      <xdr:colOff>38160</xdr:colOff>
      <xdr:row>4</xdr:row>
      <xdr:rowOff>144000</xdr:rowOff>
    </xdr:from>
    <xdr:to>
      <xdr:col>2</xdr:col>
      <xdr:colOff>1208880</xdr:colOff>
      <xdr:row>4</xdr:row>
      <xdr:rowOff>1315440</xdr:rowOff>
    </xdr:to>
    <xdr:pic>
      <xdr:nvPicPr>
        <xdr:cNvPr id="858" name="图片 14" descr="8"/>
        <xdr:cNvPicPr/>
      </xdr:nvPicPr>
      <xdr:blipFill>
        <a:blip r:embed="rId306"/>
        <a:stretch/>
      </xdr:blipFill>
      <xdr:spPr>
        <a:xfrm>
          <a:off x="5605920" y="1541160"/>
          <a:ext cx="1170720" cy="1171440"/>
        </a:xfrm>
        <a:prstGeom prst="rect">
          <a:avLst/>
        </a:prstGeom>
        <a:noFill/>
        <a:ln w="9525">
          <a:noFill/>
        </a:ln>
      </xdr:spPr>
    </xdr:pic>
    <xdr:clientData/>
  </xdr:twoCellAnchor>
  <xdr:twoCellAnchor editAs="oneCell">
    <xdr:from>
      <xdr:col>1</xdr:col>
      <xdr:colOff>38160</xdr:colOff>
      <xdr:row>5</xdr:row>
      <xdr:rowOff>142560</xdr:rowOff>
    </xdr:from>
    <xdr:to>
      <xdr:col>1</xdr:col>
      <xdr:colOff>1208880</xdr:colOff>
      <xdr:row>5</xdr:row>
      <xdr:rowOff>1317600</xdr:rowOff>
    </xdr:to>
    <xdr:pic>
      <xdr:nvPicPr>
        <xdr:cNvPr id="859" name="图片 17" descr="2"/>
        <xdr:cNvPicPr/>
      </xdr:nvPicPr>
      <xdr:blipFill>
        <a:blip r:embed="rId307"/>
        <a:stretch/>
      </xdr:blipFill>
      <xdr:spPr>
        <a:xfrm>
          <a:off x="4039920" y="3000240"/>
          <a:ext cx="1170720" cy="1175040"/>
        </a:xfrm>
        <a:prstGeom prst="rect">
          <a:avLst/>
        </a:prstGeom>
        <a:noFill/>
        <a:ln w="9525">
          <a:noFill/>
        </a:ln>
      </xdr:spPr>
    </xdr:pic>
    <xdr:clientData/>
  </xdr:twoCellAnchor>
  <xdr:twoCellAnchor editAs="oneCell">
    <xdr:from>
      <xdr:col>2</xdr:col>
      <xdr:colOff>38160</xdr:colOff>
      <xdr:row>5</xdr:row>
      <xdr:rowOff>142560</xdr:rowOff>
    </xdr:from>
    <xdr:to>
      <xdr:col>2</xdr:col>
      <xdr:colOff>1208880</xdr:colOff>
      <xdr:row>5</xdr:row>
      <xdr:rowOff>1317600</xdr:rowOff>
    </xdr:to>
    <xdr:pic>
      <xdr:nvPicPr>
        <xdr:cNvPr id="860" name="图片 18" descr="8"/>
        <xdr:cNvPicPr/>
      </xdr:nvPicPr>
      <xdr:blipFill>
        <a:blip r:embed="rId308"/>
        <a:stretch/>
      </xdr:blipFill>
      <xdr:spPr>
        <a:xfrm>
          <a:off x="5605920" y="3000240"/>
          <a:ext cx="1170720" cy="1175040"/>
        </a:xfrm>
        <a:prstGeom prst="rect">
          <a:avLst/>
        </a:prstGeom>
        <a:noFill/>
        <a:ln w="9525">
          <a:noFill/>
        </a:ln>
      </xdr:spPr>
    </xdr:pic>
    <xdr:clientData/>
  </xdr:twoCellAnchor>
  <xdr:twoCellAnchor editAs="oneCell">
    <xdr:from>
      <xdr:col>1</xdr:col>
      <xdr:colOff>38160</xdr:colOff>
      <xdr:row>6</xdr:row>
      <xdr:rowOff>142560</xdr:rowOff>
    </xdr:from>
    <xdr:to>
      <xdr:col>1</xdr:col>
      <xdr:colOff>1208880</xdr:colOff>
      <xdr:row>6</xdr:row>
      <xdr:rowOff>1317600</xdr:rowOff>
    </xdr:to>
    <xdr:pic>
      <xdr:nvPicPr>
        <xdr:cNvPr id="861" name="图片 19" descr="2"/>
        <xdr:cNvPicPr/>
      </xdr:nvPicPr>
      <xdr:blipFill>
        <a:blip r:embed="rId309"/>
        <a:stretch/>
      </xdr:blipFill>
      <xdr:spPr>
        <a:xfrm>
          <a:off x="4039920" y="4460400"/>
          <a:ext cx="1170720" cy="1175040"/>
        </a:xfrm>
        <a:prstGeom prst="rect">
          <a:avLst/>
        </a:prstGeom>
        <a:noFill/>
        <a:ln w="9525">
          <a:noFill/>
        </a:ln>
      </xdr:spPr>
    </xdr:pic>
    <xdr:clientData/>
  </xdr:twoCellAnchor>
  <xdr:twoCellAnchor editAs="oneCell">
    <xdr:from>
      <xdr:col>2</xdr:col>
      <xdr:colOff>38160</xdr:colOff>
      <xdr:row>6</xdr:row>
      <xdr:rowOff>142200</xdr:rowOff>
    </xdr:from>
    <xdr:to>
      <xdr:col>2</xdr:col>
      <xdr:colOff>1208880</xdr:colOff>
      <xdr:row>6</xdr:row>
      <xdr:rowOff>1317600</xdr:rowOff>
    </xdr:to>
    <xdr:pic>
      <xdr:nvPicPr>
        <xdr:cNvPr id="862" name="图片 20" descr="8"/>
        <xdr:cNvPicPr/>
      </xdr:nvPicPr>
      <xdr:blipFill>
        <a:blip r:embed="rId310"/>
        <a:stretch/>
      </xdr:blipFill>
      <xdr:spPr>
        <a:xfrm>
          <a:off x="5605920" y="4460040"/>
          <a:ext cx="1170720" cy="1175400"/>
        </a:xfrm>
        <a:prstGeom prst="rect">
          <a:avLst/>
        </a:prstGeom>
        <a:noFill/>
        <a:ln w="9525">
          <a:noFill/>
        </a:ln>
      </xdr:spPr>
    </xdr:pic>
    <xdr:clientData/>
  </xdr:twoCellAnchor>
  <xdr:twoCellAnchor editAs="oneCell">
    <xdr:from>
      <xdr:col>1</xdr:col>
      <xdr:colOff>38160</xdr:colOff>
      <xdr:row>7</xdr:row>
      <xdr:rowOff>140040</xdr:rowOff>
    </xdr:from>
    <xdr:to>
      <xdr:col>1</xdr:col>
      <xdr:colOff>1208880</xdr:colOff>
      <xdr:row>7</xdr:row>
      <xdr:rowOff>1320120</xdr:rowOff>
    </xdr:to>
    <xdr:pic>
      <xdr:nvPicPr>
        <xdr:cNvPr id="863" name="图片 21" descr="2"/>
        <xdr:cNvPicPr/>
      </xdr:nvPicPr>
      <xdr:blipFill>
        <a:blip r:embed="rId311"/>
        <a:stretch/>
      </xdr:blipFill>
      <xdr:spPr>
        <a:xfrm>
          <a:off x="4039920" y="5918400"/>
          <a:ext cx="1170720" cy="1180080"/>
        </a:xfrm>
        <a:prstGeom prst="rect">
          <a:avLst/>
        </a:prstGeom>
        <a:noFill/>
        <a:ln w="9525">
          <a:noFill/>
        </a:ln>
      </xdr:spPr>
    </xdr:pic>
    <xdr:clientData/>
  </xdr:twoCellAnchor>
  <xdr:twoCellAnchor editAs="oneCell">
    <xdr:from>
      <xdr:col>2</xdr:col>
      <xdr:colOff>38160</xdr:colOff>
      <xdr:row>7</xdr:row>
      <xdr:rowOff>142560</xdr:rowOff>
    </xdr:from>
    <xdr:to>
      <xdr:col>2</xdr:col>
      <xdr:colOff>1208880</xdr:colOff>
      <xdr:row>7</xdr:row>
      <xdr:rowOff>1317600</xdr:rowOff>
    </xdr:to>
    <xdr:pic>
      <xdr:nvPicPr>
        <xdr:cNvPr id="864" name="图片 22" descr="8"/>
        <xdr:cNvPicPr/>
      </xdr:nvPicPr>
      <xdr:blipFill>
        <a:blip r:embed="rId312"/>
        <a:stretch/>
      </xdr:blipFill>
      <xdr:spPr>
        <a:xfrm>
          <a:off x="5605920" y="5920920"/>
          <a:ext cx="1170720" cy="1175040"/>
        </a:xfrm>
        <a:prstGeom prst="rect">
          <a:avLst/>
        </a:prstGeom>
        <a:noFill/>
        <a:ln w="9525">
          <a:noFill/>
        </a:ln>
      </xdr:spPr>
    </xdr:pic>
    <xdr:clientData/>
  </xdr:twoCellAnchor>
  <xdr:twoCellAnchor editAs="twoCell">
    <xdr:from>
      <xdr:col>0</xdr:col>
      <xdr:colOff>9360</xdr:colOff>
      <xdr:row>4</xdr:row>
      <xdr:rowOff>0</xdr:rowOff>
    </xdr:from>
    <xdr:to>
      <xdr:col>0</xdr:col>
      <xdr:colOff>805680</xdr:colOff>
      <xdr:row>4</xdr:row>
      <xdr:rowOff>297000</xdr:rowOff>
    </xdr:to>
    <xdr:pic>
      <xdr:nvPicPr>
        <xdr:cNvPr id="865" name="图片 205" descr="快充"/>
        <xdr:cNvPicPr/>
      </xdr:nvPicPr>
      <xdr:blipFill>
        <a:blip r:embed="rId313"/>
        <a:stretch/>
      </xdr:blipFill>
      <xdr:spPr>
        <a:xfrm>
          <a:off x="9360" y="1397160"/>
          <a:ext cx="796320" cy="297000"/>
        </a:xfrm>
        <a:prstGeom prst="rect">
          <a:avLst/>
        </a:prstGeom>
        <a:noFill/>
        <a:ln w="9525">
          <a:noFill/>
        </a:ln>
      </xdr:spPr>
    </xdr:pic>
    <xdr:clientData/>
  </xdr:twoCellAnchor>
  <xdr:twoCellAnchor editAs="twoCell">
    <xdr:from>
      <xdr:col>0</xdr:col>
      <xdr:colOff>9360</xdr:colOff>
      <xdr:row>5</xdr:row>
      <xdr:rowOff>0</xdr:rowOff>
    </xdr:from>
    <xdr:to>
      <xdr:col>0</xdr:col>
      <xdr:colOff>805680</xdr:colOff>
      <xdr:row>5</xdr:row>
      <xdr:rowOff>297000</xdr:rowOff>
    </xdr:to>
    <xdr:pic>
      <xdr:nvPicPr>
        <xdr:cNvPr id="866" name="图片 205" descr="快充"/>
        <xdr:cNvPicPr/>
      </xdr:nvPicPr>
      <xdr:blipFill>
        <a:blip r:embed="rId314"/>
        <a:stretch/>
      </xdr:blipFill>
      <xdr:spPr>
        <a:xfrm>
          <a:off x="9360" y="2857680"/>
          <a:ext cx="796320" cy="297000"/>
        </a:xfrm>
        <a:prstGeom prst="rect">
          <a:avLst/>
        </a:prstGeom>
        <a:noFill/>
        <a:ln w="9525">
          <a:noFill/>
        </a:ln>
      </xdr:spPr>
    </xdr:pic>
    <xdr:clientData/>
  </xdr:twoCellAnchor>
  <xdr:twoCellAnchor editAs="twoCell">
    <xdr:from>
      <xdr:col>0</xdr:col>
      <xdr:colOff>9360</xdr:colOff>
      <xdr:row>5</xdr:row>
      <xdr:rowOff>1459440</xdr:rowOff>
    </xdr:from>
    <xdr:to>
      <xdr:col>0</xdr:col>
      <xdr:colOff>805680</xdr:colOff>
      <xdr:row>6</xdr:row>
      <xdr:rowOff>258840</xdr:rowOff>
    </xdr:to>
    <xdr:pic>
      <xdr:nvPicPr>
        <xdr:cNvPr id="867" name="图片 205" descr="快充"/>
        <xdr:cNvPicPr/>
      </xdr:nvPicPr>
      <xdr:blipFill>
        <a:blip r:embed="rId315"/>
        <a:stretch/>
      </xdr:blipFill>
      <xdr:spPr>
        <a:xfrm>
          <a:off x="9360" y="4317120"/>
          <a:ext cx="796320" cy="259560"/>
        </a:xfrm>
        <a:prstGeom prst="rect">
          <a:avLst/>
        </a:prstGeom>
        <a:noFill/>
        <a:ln w="9525">
          <a:noFill/>
        </a:ln>
      </xdr:spPr>
    </xdr:pic>
    <xdr:clientData/>
  </xdr:twoCellAnchor>
  <xdr:twoCellAnchor editAs="twoCell">
    <xdr:from>
      <xdr:col>0</xdr:col>
      <xdr:colOff>9360</xdr:colOff>
      <xdr:row>7</xdr:row>
      <xdr:rowOff>0</xdr:rowOff>
    </xdr:from>
    <xdr:to>
      <xdr:col>0</xdr:col>
      <xdr:colOff>805680</xdr:colOff>
      <xdr:row>7</xdr:row>
      <xdr:rowOff>297000</xdr:rowOff>
    </xdr:to>
    <xdr:pic>
      <xdr:nvPicPr>
        <xdr:cNvPr id="868" name="图片 205" descr="快充"/>
        <xdr:cNvPicPr/>
      </xdr:nvPicPr>
      <xdr:blipFill>
        <a:blip r:embed="rId316"/>
        <a:stretch/>
      </xdr:blipFill>
      <xdr:spPr>
        <a:xfrm>
          <a:off x="9360" y="5778360"/>
          <a:ext cx="796320" cy="297000"/>
        </a:xfrm>
        <a:prstGeom prst="rect">
          <a:avLst/>
        </a:prstGeom>
        <a:noFill/>
        <a:ln w="9525">
          <a:noFill/>
        </a:ln>
      </xdr:spPr>
    </xdr:pic>
    <xdr:clientData/>
  </xdr:twoCellAnchor>
  <xdr:twoCellAnchor editAs="oneCell">
    <xdr:from>
      <xdr:col>1</xdr:col>
      <xdr:colOff>38160</xdr:colOff>
      <xdr:row>81</xdr:row>
      <xdr:rowOff>141480</xdr:rowOff>
    </xdr:from>
    <xdr:to>
      <xdr:col>1</xdr:col>
      <xdr:colOff>1208880</xdr:colOff>
      <xdr:row>81</xdr:row>
      <xdr:rowOff>1318680</xdr:rowOff>
    </xdr:to>
    <xdr:pic>
      <xdr:nvPicPr>
        <xdr:cNvPr id="869" name="图片 37" descr="1"/>
        <xdr:cNvPicPr/>
      </xdr:nvPicPr>
      <xdr:blipFill>
        <a:blip r:embed="rId317"/>
        <a:stretch/>
      </xdr:blipFill>
      <xdr:spPr>
        <a:xfrm>
          <a:off x="4039920" y="82431000"/>
          <a:ext cx="1170720" cy="1177200"/>
        </a:xfrm>
        <a:prstGeom prst="rect">
          <a:avLst/>
        </a:prstGeom>
        <a:noFill/>
        <a:ln w="0">
          <a:noFill/>
        </a:ln>
      </xdr:spPr>
    </xdr:pic>
    <xdr:clientData/>
  </xdr:twoCellAnchor>
  <xdr:twoCellAnchor editAs="oneCell">
    <xdr:from>
      <xdr:col>2</xdr:col>
      <xdr:colOff>38160</xdr:colOff>
      <xdr:row>81</xdr:row>
      <xdr:rowOff>146880</xdr:rowOff>
    </xdr:from>
    <xdr:to>
      <xdr:col>2</xdr:col>
      <xdr:colOff>1208880</xdr:colOff>
      <xdr:row>81</xdr:row>
      <xdr:rowOff>1312560</xdr:rowOff>
    </xdr:to>
    <xdr:pic>
      <xdr:nvPicPr>
        <xdr:cNvPr id="870" name="图片 38" descr="8"/>
        <xdr:cNvPicPr/>
      </xdr:nvPicPr>
      <xdr:blipFill>
        <a:blip r:embed="rId318"/>
        <a:stretch/>
      </xdr:blipFill>
      <xdr:spPr>
        <a:xfrm>
          <a:off x="5605920" y="82436400"/>
          <a:ext cx="1170720" cy="1165680"/>
        </a:xfrm>
        <a:prstGeom prst="rect">
          <a:avLst/>
        </a:prstGeom>
        <a:noFill/>
        <a:ln w="0">
          <a:noFill/>
        </a:ln>
      </xdr:spPr>
    </xdr:pic>
    <xdr:clientData/>
  </xdr:twoCellAnchor>
  <xdr:twoCellAnchor editAs="oneCell">
    <xdr:from>
      <xdr:col>1</xdr:col>
      <xdr:colOff>38160</xdr:colOff>
      <xdr:row>82</xdr:row>
      <xdr:rowOff>141840</xdr:rowOff>
    </xdr:from>
    <xdr:to>
      <xdr:col>1</xdr:col>
      <xdr:colOff>1208880</xdr:colOff>
      <xdr:row>82</xdr:row>
      <xdr:rowOff>1317960</xdr:rowOff>
    </xdr:to>
    <xdr:pic>
      <xdr:nvPicPr>
        <xdr:cNvPr id="871" name="图片 39" descr="1"/>
        <xdr:cNvPicPr/>
      </xdr:nvPicPr>
      <xdr:blipFill>
        <a:blip r:embed="rId319"/>
        <a:stretch/>
      </xdr:blipFill>
      <xdr:spPr>
        <a:xfrm>
          <a:off x="4039920" y="83891880"/>
          <a:ext cx="1170720" cy="1176120"/>
        </a:xfrm>
        <a:prstGeom prst="rect">
          <a:avLst/>
        </a:prstGeom>
        <a:noFill/>
        <a:ln w="0">
          <a:noFill/>
        </a:ln>
      </xdr:spPr>
    </xdr:pic>
    <xdr:clientData/>
  </xdr:twoCellAnchor>
  <xdr:twoCellAnchor editAs="oneCell">
    <xdr:from>
      <xdr:col>2</xdr:col>
      <xdr:colOff>38160</xdr:colOff>
      <xdr:row>82</xdr:row>
      <xdr:rowOff>144000</xdr:rowOff>
    </xdr:from>
    <xdr:to>
      <xdr:col>2</xdr:col>
      <xdr:colOff>1208880</xdr:colOff>
      <xdr:row>82</xdr:row>
      <xdr:rowOff>1315440</xdr:rowOff>
    </xdr:to>
    <xdr:pic>
      <xdr:nvPicPr>
        <xdr:cNvPr id="872" name="图片 40" descr="8"/>
        <xdr:cNvPicPr/>
      </xdr:nvPicPr>
      <xdr:blipFill>
        <a:blip r:embed="rId320"/>
        <a:stretch/>
      </xdr:blipFill>
      <xdr:spPr>
        <a:xfrm>
          <a:off x="5605920" y="83894040"/>
          <a:ext cx="1170720" cy="1171440"/>
        </a:xfrm>
        <a:prstGeom prst="rect">
          <a:avLst/>
        </a:prstGeom>
        <a:noFill/>
        <a:ln w="0">
          <a:noFill/>
        </a:ln>
      </xdr:spPr>
    </xdr:pic>
    <xdr:clientData/>
  </xdr:twoCellAnchor>
  <xdr:twoCellAnchor editAs="oneCell">
    <xdr:from>
      <xdr:col>1</xdr:col>
      <xdr:colOff>38160</xdr:colOff>
      <xdr:row>83</xdr:row>
      <xdr:rowOff>141840</xdr:rowOff>
    </xdr:from>
    <xdr:to>
      <xdr:col>1</xdr:col>
      <xdr:colOff>1208880</xdr:colOff>
      <xdr:row>83</xdr:row>
      <xdr:rowOff>1317960</xdr:rowOff>
    </xdr:to>
    <xdr:pic>
      <xdr:nvPicPr>
        <xdr:cNvPr id="873" name="图片 41" descr="1"/>
        <xdr:cNvPicPr/>
      </xdr:nvPicPr>
      <xdr:blipFill>
        <a:blip r:embed="rId321"/>
        <a:stretch/>
      </xdr:blipFill>
      <xdr:spPr>
        <a:xfrm>
          <a:off x="4039920" y="85352400"/>
          <a:ext cx="1170720" cy="1176120"/>
        </a:xfrm>
        <a:prstGeom prst="rect">
          <a:avLst/>
        </a:prstGeom>
        <a:noFill/>
        <a:ln w="0">
          <a:noFill/>
        </a:ln>
      </xdr:spPr>
    </xdr:pic>
    <xdr:clientData/>
  </xdr:twoCellAnchor>
  <xdr:twoCellAnchor editAs="oneCell">
    <xdr:from>
      <xdr:col>2</xdr:col>
      <xdr:colOff>38160</xdr:colOff>
      <xdr:row>83</xdr:row>
      <xdr:rowOff>144000</xdr:rowOff>
    </xdr:from>
    <xdr:to>
      <xdr:col>2</xdr:col>
      <xdr:colOff>1208880</xdr:colOff>
      <xdr:row>83</xdr:row>
      <xdr:rowOff>1315440</xdr:rowOff>
    </xdr:to>
    <xdr:pic>
      <xdr:nvPicPr>
        <xdr:cNvPr id="874" name="图片 42" descr="8"/>
        <xdr:cNvPicPr/>
      </xdr:nvPicPr>
      <xdr:blipFill>
        <a:blip r:embed="rId322"/>
        <a:stretch/>
      </xdr:blipFill>
      <xdr:spPr>
        <a:xfrm>
          <a:off x="5605920" y="85354560"/>
          <a:ext cx="1170720" cy="1171440"/>
        </a:xfrm>
        <a:prstGeom prst="rect">
          <a:avLst/>
        </a:prstGeom>
        <a:noFill/>
        <a:ln w="0">
          <a:noFill/>
        </a:ln>
      </xdr:spPr>
    </xdr:pic>
    <xdr:clientData/>
  </xdr:twoCellAnchor>
  <xdr:twoCellAnchor editAs="oneCell">
    <xdr:from>
      <xdr:col>1</xdr:col>
      <xdr:colOff>38160</xdr:colOff>
      <xdr:row>84</xdr:row>
      <xdr:rowOff>141840</xdr:rowOff>
    </xdr:from>
    <xdr:to>
      <xdr:col>1</xdr:col>
      <xdr:colOff>1208880</xdr:colOff>
      <xdr:row>84</xdr:row>
      <xdr:rowOff>1317960</xdr:rowOff>
    </xdr:to>
    <xdr:pic>
      <xdr:nvPicPr>
        <xdr:cNvPr id="875" name="图片 43" descr="1"/>
        <xdr:cNvPicPr/>
      </xdr:nvPicPr>
      <xdr:blipFill>
        <a:blip r:embed="rId323"/>
        <a:stretch/>
      </xdr:blipFill>
      <xdr:spPr>
        <a:xfrm>
          <a:off x="4039920" y="86812920"/>
          <a:ext cx="1170720" cy="1176120"/>
        </a:xfrm>
        <a:prstGeom prst="rect">
          <a:avLst/>
        </a:prstGeom>
        <a:noFill/>
        <a:ln w="0">
          <a:noFill/>
        </a:ln>
      </xdr:spPr>
    </xdr:pic>
    <xdr:clientData/>
  </xdr:twoCellAnchor>
  <xdr:twoCellAnchor editAs="oneCell">
    <xdr:from>
      <xdr:col>2</xdr:col>
      <xdr:colOff>38160</xdr:colOff>
      <xdr:row>84</xdr:row>
      <xdr:rowOff>144000</xdr:rowOff>
    </xdr:from>
    <xdr:to>
      <xdr:col>2</xdr:col>
      <xdr:colOff>1208880</xdr:colOff>
      <xdr:row>84</xdr:row>
      <xdr:rowOff>1315440</xdr:rowOff>
    </xdr:to>
    <xdr:pic>
      <xdr:nvPicPr>
        <xdr:cNvPr id="876" name="图片 44" descr="8"/>
        <xdr:cNvPicPr/>
      </xdr:nvPicPr>
      <xdr:blipFill>
        <a:blip r:embed="rId324"/>
        <a:stretch/>
      </xdr:blipFill>
      <xdr:spPr>
        <a:xfrm>
          <a:off x="5605920" y="86815080"/>
          <a:ext cx="1170720" cy="1171440"/>
        </a:xfrm>
        <a:prstGeom prst="rect">
          <a:avLst/>
        </a:prstGeom>
        <a:noFill/>
        <a:ln w="0">
          <a:noFill/>
        </a:ln>
      </xdr:spPr>
    </xdr:pic>
    <xdr:clientData/>
  </xdr:twoCellAnchor>
  <xdr:twoCellAnchor editAs="twoCell">
    <xdr:from>
      <xdr:col>0</xdr:col>
      <xdr:colOff>9360</xdr:colOff>
      <xdr:row>84</xdr:row>
      <xdr:rowOff>12240</xdr:rowOff>
    </xdr:from>
    <xdr:to>
      <xdr:col>0</xdr:col>
      <xdr:colOff>837360</xdr:colOff>
      <xdr:row>84</xdr:row>
      <xdr:rowOff>309240</xdr:rowOff>
    </xdr:to>
    <xdr:pic>
      <xdr:nvPicPr>
        <xdr:cNvPr id="877" name="图片 242" descr="快充"/>
        <xdr:cNvPicPr/>
      </xdr:nvPicPr>
      <xdr:blipFill>
        <a:blip r:embed="rId325"/>
        <a:stretch/>
      </xdr:blipFill>
      <xdr:spPr>
        <a:xfrm>
          <a:off x="9360" y="86683320"/>
          <a:ext cx="828000" cy="297000"/>
        </a:xfrm>
        <a:prstGeom prst="rect">
          <a:avLst/>
        </a:prstGeom>
        <a:noFill/>
        <a:ln w="9525">
          <a:noFill/>
        </a:ln>
      </xdr:spPr>
    </xdr:pic>
    <xdr:clientData/>
  </xdr:twoCellAnchor>
  <xdr:twoCellAnchor editAs="twoCell">
    <xdr:from>
      <xdr:col>0</xdr:col>
      <xdr:colOff>9360</xdr:colOff>
      <xdr:row>83</xdr:row>
      <xdr:rowOff>12240</xdr:rowOff>
    </xdr:from>
    <xdr:to>
      <xdr:col>0</xdr:col>
      <xdr:colOff>837360</xdr:colOff>
      <xdr:row>83</xdr:row>
      <xdr:rowOff>309240</xdr:rowOff>
    </xdr:to>
    <xdr:pic>
      <xdr:nvPicPr>
        <xdr:cNvPr id="878" name="图片 242" descr="快充"/>
        <xdr:cNvPicPr/>
      </xdr:nvPicPr>
      <xdr:blipFill>
        <a:blip r:embed="rId326"/>
        <a:stretch/>
      </xdr:blipFill>
      <xdr:spPr>
        <a:xfrm>
          <a:off x="9360" y="85222800"/>
          <a:ext cx="828000" cy="297000"/>
        </a:xfrm>
        <a:prstGeom prst="rect">
          <a:avLst/>
        </a:prstGeom>
        <a:noFill/>
        <a:ln w="9525">
          <a:noFill/>
        </a:ln>
      </xdr:spPr>
    </xdr:pic>
    <xdr:clientData/>
  </xdr:twoCellAnchor>
  <xdr:twoCellAnchor editAs="twoCell">
    <xdr:from>
      <xdr:col>0</xdr:col>
      <xdr:colOff>9360</xdr:colOff>
      <xdr:row>81</xdr:row>
      <xdr:rowOff>1459800</xdr:rowOff>
    </xdr:from>
    <xdr:to>
      <xdr:col>0</xdr:col>
      <xdr:colOff>837360</xdr:colOff>
      <xdr:row>82</xdr:row>
      <xdr:rowOff>271080</xdr:rowOff>
    </xdr:to>
    <xdr:pic>
      <xdr:nvPicPr>
        <xdr:cNvPr id="879" name="图片 242" descr="快充"/>
        <xdr:cNvPicPr/>
      </xdr:nvPicPr>
      <xdr:blipFill>
        <a:blip r:embed="rId327"/>
        <a:stretch/>
      </xdr:blipFill>
      <xdr:spPr>
        <a:xfrm>
          <a:off x="9360" y="83749320"/>
          <a:ext cx="828000" cy="271800"/>
        </a:xfrm>
        <a:prstGeom prst="rect">
          <a:avLst/>
        </a:prstGeom>
        <a:noFill/>
        <a:ln w="9525">
          <a:noFill/>
        </a:ln>
      </xdr:spPr>
    </xdr:pic>
    <xdr:clientData/>
  </xdr:twoCellAnchor>
  <xdr:twoCellAnchor editAs="twoCell">
    <xdr:from>
      <xdr:col>0</xdr:col>
      <xdr:colOff>9360</xdr:colOff>
      <xdr:row>81</xdr:row>
      <xdr:rowOff>12240</xdr:rowOff>
    </xdr:from>
    <xdr:to>
      <xdr:col>0</xdr:col>
      <xdr:colOff>837360</xdr:colOff>
      <xdr:row>81</xdr:row>
      <xdr:rowOff>309240</xdr:rowOff>
    </xdr:to>
    <xdr:pic>
      <xdr:nvPicPr>
        <xdr:cNvPr id="880" name="图片 242" descr="快充"/>
        <xdr:cNvPicPr/>
      </xdr:nvPicPr>
      <xdr:blipFill>
        <a:blip r:embed="rId328"/>
        <a:stretch/>
      </xdr:blipFill>
      <xdr:spPr>
        <a:xfrm>
          <a:off x="9360" y="82301760"/>
          <a:ext cx="828000" cy="297000"/>
        </a:xfrm>
        <a:prstGeom prst="rect">
          <a:avLst/>
        </a:prstGeom>
        <a:noFill/>
        <a:ln w="9525">
          <a:noFill/>
        </a:ln>
      </xdr:spPr>
    </xdr:pic>
    <xdr:clientData/>
  </xdr:twoCellAnchor>
  <xdr:twoCellAnchor editAs="oneCell">
    <xdr:from>
      <xdr:col>1</xdr:col>
      <xdr:colOff>38160</xdr:colOff>
      <xdr:row>29</xdr:row>
      <xdr:rowOff>144360</xdr:rowOff>
    </xdr:from>
    <xdr:to>
      <xdr:col>1</xdr:col>
      <xdr:colOff>1208880</xdr:colOff>
      <xdr:row>29</xdr:row>
      <xdr:rowOff>1315080</xdr:rowOff>
    </xdr:to>
    <xdr:pic>
      <xdr:nvPicPr>
        <xdr:cNvPr id="881" name="图片 22" descr="1"/>
        <xdr:cNvPicPr/>
      </xdr:nvPicPr>
      <xdr:blipFill>
        <a:blip r:embed="rId329"/>
        <a:stretch/>
      </xdr:blipFill>
      <xdr:spPr>
        <a:xfrm>
          <a:off x="4039920" y="35542440"/>
          <a:ext cx="1170720" cy="1170720"/>
        </a:xfrm>
        <a:prstGeom prst="rect">
          <a:avLst/>
        </a:prstGeom>
        <a:noFill/>
        <a:ln w="0">
          <a:noFill/>
        </a:ln>
      </xdr:spPr>
    </xdr:pic>
    <xdr:clientData/>
  </xdr:twoCellAnchor>
  <xdr:twoCellAnchor editAs="oneCell">
    <xdr:from>
      <xdr:col>2</xdr:col>
      <xdr:colOff>38160</xdr:colOff>
      <xdr:row>29</xdr:row>
      <xdr:rowOff>144360</xdr:rowOff>
    </xdr:from>
    <xdr:to>
      <xdr:col>2</xdr:col>
      <xdr:colOff>1208880</xdr:colOff>
      <xdr:row>29</xdr:row>
      <xdr:rowOff>1315080</xdr:rowOff>
    </xdr:to>
    <xdr:pic>
      <xdr:nvPicPr>
        <xdr:cNvPr id="882" name="图片 24" descr="8"/>
        <xdr:cNvPicPr/>
      </xdr:nvPicPr>
      <xdr:blipFill>
        <a:blip r:embed="rId330"/>
        <a:stretch/>
      </xdr:blipFill>
      <xdr:spPr>
        <a:xfrm>
          <a:off x="5605920" y="35542440"/>
          <a:ext cx="1170720" cy="1170720"/>
        </a:xfrm>
        <a:prstGeom prst="rect">
          <a:avLst/>
        </a:prstGeom>
        <a:noFill/>
        <a:ln w="0">
          <a:noFill/>
        </a:ln>
      </xdr:spPr>
    </xdr:pic>
    <xdr:clientData/>
  </xdr:twoCellAnchor>
  <xdr:twoCellAnchor editAs="oneCell">
    <xdr:from>
      <xdr:col>1</xdr:col>
      <xdr:colOff>38160</xdr:colOff>
      <xdr:row>30</xdr:row>
      <xdr:rowOff>142200</xdr:rowOff>
    </xdr:from>
    <xdr:to>
      <xdr:col>1</xdr:col>
      <xdr:colOff>1208880</xdr:colOff>
      <xdr:row>30</xdr:row>
      <xdr:rowOff>1317600</xdr:rowOff>
    </xdr:to>
    <xdr:pic>
      <xdr:nvPicPr>
        <xdr:cNvPr id="883" name="图片 28" descr="1"/>
        <xdr:cNvPicPr/>
      </xdr:nvPicPr>
      <xdr:blipFill>
        <a:blip r:embed="rId331"/>
        <a:stretch/>
      </xdr:blipFill>
      <xdr:spPr>
        <a:xfrm>
          <a:off x="4039920" y="37000800"/>
          <a:ext cx="1170720" cy="1175400"/>
        </a:xfrm>
        <a:prstGeom prst="rect">
          <a:avLst/>
        </a:prstGeom>
        <a:noFill/>
        <a:ln w="0">
          <a:noFill/>
        </a:ln>
      </xdr:spPr>
    </xdr:pic>
    <xdr:clientData/>
  </xdr:twoCellAnchor>
  <xdr:twoCellAnchor editAs="oneCell">
    <xdr:from>
      <xdr:col>2</xdr:col>
      <xdr:colOff>38160</xdr:colOff>
      <xdr:row>30</xdr:row>
      <xdr:rowOff>144360</xdr:rowOff>
    </xdr:from>
    <xdr:to>
      <xdr:col>2</xdr:col>
      <xdr:colOff>1208880</xdr:colOff>
      <xdr:row>30</xdr:row>
      <xdr:rowOff>1315080</xdr:rowOff>
    </xdr:to>
    <xdr:pic>
      <xdr:nvPicPr>
        <xdr:cNvPr id="884" name="图片 32" descr="8"/>
        <xdr:cNvPicPr/>
      </xdr:nvPicPr>
      <xdr:blipFill>
        <a:blip r:embed="rId332"/>
        <a:stretch/>
      </xdr:blipFill>
      <xdr:spPr>
        <a:xfrm>
          <a:off x="5605920" y="37002960"/>
          <a:ext cx="1170720" cy="1170720"/>
        </a:xfrm>
        <a:prstGeom prst="rect">
          <a:avLst/>
        </a:prstGeom>
        <a:noFill/>
        <a:ln w="0">
          <a:noFill/>
        </a:ln>
      </xdr:spPr>
    </xdr:pic>
    <xdr:clientData/>
  </xdr:twoCellAnchor>
  <xdr:twoCellAnchor editAs="twoCell">
    <xdr:from>
      <xdr:col>0</xdr:col>
      <xdr:colOff>838080</xdr:colOff>
      <xdr:row>29</xdr:row>
      <xdr:rowOff>0</xdr:rowOff>
    </xdr:from>
    <xdr:to>
      <xdr:col>0</xdr:col>
      <xdr:colOff>1665360</xdr:colOff>
      <xdr:row>29</xdr:row>
      <xdr:rowOff>297000</xdr:rowOff>
    </xdr:to>
    <xdr:pic>
      <xdr:nvPicPr>
        <xdr:cNvPr id="885" name="图片 449" descr="快充"/>
        <xdr:cNvPicPr/>
      </xdr:nvPicPr>
      <xdr:blipFill>
        <a:blip r:embed="rId333"/>
        <a:stretch/>
      </xdr:blipFill>
      <xdr:spPr>
        <a:xfrm>
          <a:off x="838080" y="35398080"/>
          <a:ext cx="827280" cy="297000"/>
        </a:xfrm>
        <a:prstGeom prst="rect">
          <a:avLst/>
        </a:prstGeom>
        <a:noFill/>
        <a:ln w="9525">
          <a:noFill/>
        </a:ln>
      </xdr:spPr>
    </xdr:pic>
    <xdr:clientData/>
  </xdr:twoCellAnchor>
  <xdr:twoCellAnchor editAs="twoCell">
    <xdr:from>
      <xdr:col>0</xdr:col>
      <xdr:colOff>0</xdr:colOff>
      <xdr:row>29</xdr:row>
      <xdr:rowOff>0</xdr:rowOff>
    </xdr:from>
    <xdr:to>
      <xdr:col>0</xdr:col>
      <xdr:colOff>828000</xdr:colOff>
      <xdr:row>29</xdr:row>
      <xdr:rowOff>297000</xdr:rowOff>
    </xdr:to>
    <xdr:pic>
      <xdr:nvPicPr>
        <xdr:cNvPr id="886" name="图片 18" descr="新品"/>
        <xdr:cNvPicPr/>
      </xdr:nvPicPr>
      <xdr:blipFill>
        <a:blip r:embed="rId334"/>
        <a:stretch/>
      </xdr:blipFill>
      <xdr:spPr>
        <a:xfrm>
          <a:off x="0" y="35398080"/>
          <a:ext cx="828000" cy="297000"/>
        </a:xfrm>
        <a:prstGeom prst="rect">
          <a:avLst/>
        </a:prstGeom>
        <a:noFill/>
        <a:ln w="9525">
          <a:noFill/>
        </a:ln>
      </xdr:spPr>
    </xdr:pic>
    <xdr:clientData/>
  </xdr:twoCellAnchor>
  <xdr:twoCellAnchor editAs="twoCell">
    <xdr:from>
      <xdr:col>0</xdr:col>
      <xdr:colOff>0</xdr:colOff>
      <xdr:row>30</xdr:row>
      <xdr:rowOff>0</xdr:rowOff>
    </xdr:from>
    <xdr:to>
      <xdr:col>0</xdr:col>
      <xdr:colOff>828000</xdr:colOff>
      <xdr:row>30</xdr:row>
      <xdr:rowOff>297000</xdr:rowOff>
    </xdr:to>
    <xdr:pic>
      <xdr:nvPicPr>
        <xdr:cNvPr id="887" name="图片 18" descr="新品"/>
        <xdr:cNvPicPr/>
      </xdr:nvPicPr>
      <xdr:blipFill>
        <a:blip r:embed="rId335"/>
        <a:stretch/>
      </xdr:blipFill>
      <xdr:spPr>
        <a:xfrm>
          <a:off x="0" y="36858600"/>
          <a:ext cx="828000" cy="297000"/>
        </a:xfrm>
        <a:prstGeom prst="rect">
          <a:avLst/>
        </a:prstGeom>
        <a:noFill/>
        <a:ln w="9525">
          <a:noFill/>
        </a:ln>
      </xdr:spPr>
    </xdr:pic>
    <xdr:clientData/>
  </xdr:twoCellAnchor>
  <xdr:twoCellAnchor editAs="twoCell">
    <xdr:from>
      <xdr:col>0</xdr:col>
      <xdr:colOff>851040</xdr:colOff>
      <xdr:row>30</xdr:row>
      <xdr:rowOff>0</xdr:rowOff>
    </xdr:from>
    <xdr:to>
      <xdr:col>0</xdr:col>
      <xdr:colOff>1678320</xdr:colOff>
      <xdr:row>30</xdr:row>
      <xdr:rowOff>297000</xdr:rowOff>
    </xdr:to>
    <xdr:pic>
      <xdr:nvPicPr>
        <xdr:cNvPr id="888" name="图片 449" descr="快充"/>
        <xdr:cNvPicPr/>
      </xdr:nvPicPr>
      <xdr:blipFill>
        <a:blip r:embed="rId336"/>
        <a:stretch/>
      </xdr:blipFill>
      <xdr:spPr>
        <a:xfrm>
          <a:off x="851040" y="36858600"/>
          <a:ext cx="827280" cy="297000"/>
        </a:xfrm>
        <a:prstGeom prst="rect">
          <a:avLst/>
        </a:prstGeom>
        <a:noFill/>
        <a:ln w="9525">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38160</xdr:colOff>
      <xdr:row>13</xdr:row>
      <xdr:rowOff>114120</xdr:rowOff>
    </xdr:from>
    <xdr:to>
      <xdr:col>1</xdr:col>
      <xdr:colOff>1208880</xdr:colOff>
      <xdr:row>13</xdr:row>
      <xdr:rowOff>1281960</xdr:rowOff>
    </xdr:to>
    <xdr:pic>
      <xdr:nvPicPr>
        <xdr:cNvPr id="889" name="图片 3" descr="C:/Users/Ray/AppData/Local/Temp/picturecompress_20210720164440/output_7.jpgoutput_7"/>
        <xdr:cNvPicPr/>
      </xdr:nvPicPr>
      <xdr:blipFill>
        <a:blip r:embed="rId1"/>
        <a:stretch/>
      </xdr:blipFill>
      <xdr:spPr>
        <a:xfrm>
          <a:off x="4039920" y="12144240"/>
          <a:ext cx="1170720" cy="1167840"/>
        </a:xfrm>
        <a:prstGeom prst="rect">
          <a:avLst/>
        </a:prstGeom>
        <a:noFill/>
        <a:ln w="9525">
          <a:noFill/>
        </a:ln>
      </xdr:spPr>
    </xdr:pic>
    <xdr:clientData/>
  </xdr:twoCellAnchor>
  <xdr:twoCellAnchor editAs="oneCell">
    <xdr:from>
      <xdr:col>1</xdr:col>
      <xdr:colOff>38160</xdr:colOff>
      <xdr:row>14</xdr:row>
      <xdr:rowOff>117000</xdr:rowOff>
    </xdr:from>
    <xdr:to>
      <xdr:col>1</xdr:col>
      <xdr:colOff>1208880</xdr:colOff>
      <xdr:row>14</xdr:row>
      <xdr:rowOff>1279440</xdr:rowOff>
    </xdr:to>
    <xdr:pic>
      <xdr:nvPicPr>
        <xdr:cNvPr id="890" name="图片 4" descr="C:/Users/Ray/AppData/Local/Temp/picturecompress_20210720164440/output_8.jpgoutput_8"/>
        <xdr:cNvPicPr/>
      </xdr:nvPicPr>
      <xdr:blipFill>
        <a:blip r:embed="rId2"/>
        <a:stretch/>
      </xdr:blipFill>
      <xdr:spPr>
        <a:xfrm>
          <a:off x="4039920" y="13543920"/>
          <a:ext cx="1170720" cy="1162440"/>
        </a:xfrm>
        <a:prstGeom prst="rect">
          <a:avLst/>
        </a:prstGeom>
        <a:noFill/>
        <a:ln w="9525">
          <a:noFill/>
        </a:ln>
      </xdr:spPr>
    </xdr:pic>
    <xdr:clientData/>
  </xdr:twoCellAnchor>
  <xdr:twoCellAnchor editAs="oneCell">
    <xdr:from>
      <xdr:col>2</xdr:col>
      <xdr:colOff>38160</xdr:colOff>
      <xdr:row>13</xdr:row>
      <xdr:rowOff>110880</xdr:rowOff>
    </xdr:from>
    <xdr:to>
      <xdr:col>2</xdr:col>
      <xdr:colOff>1208880</xdr:colOff>
      <xdr:row>13</xdr:row>
      <xdr:rowOff>1285200</xdr:rowOff>
    </xdr:to>
    <xdr:pic>
      <xdr:nvPicPr>
        <xdr:cNvPr id="891" name="图片 9" descr="808ca348e128b7c1277e5f47666db58"/>
        <xdr:cNvPicPr/>
      </xdr:nvPicPr>
      <xdr:blipFill>
        <a:blip r:embed="rId3"/>
        <a:stretch/>
      </xdr:blipFill>
      <xdr:spPr>
        <a:xfrm>
          <a:off x="5605920" y="12141000"/>
          <a:ext cx="1170720" cy="1174320"/>
        </a:xfrm>
        <a:prstGeom prst="rect">
          <a:avLst/>
        </a:prstGeom>
        <a:noFill/>
        <a:ln w="9525">
          <a:noFill/>
        </a:ln>
      </xdr:spPr>
    </xdr:pic>
    <xdr:clientData/>
  </xdr:twoCellAnchor>
  <xdr:twoCellAnchor editAs="oneCell">
    <xdr:from>
      <xdr:col>2</xdr:col>
      <xdr:colOff>38160</xdr:colOff>
      <xdr:row>14</xdr:row>
      <xdr:rowOff>109440</xdr:rowOff>
    </xdr:from>
    <xdr:to>
      <xdr:col>2</xdr:col>
      <xdr:colOff>1208880</xdr:colOff>
      <xdr:row>14</xdr:row>
      <xdr:rowOff>1287000</xdr:rowOff>
    </xdr:to>
    <xdr:pic>
      <xdr:nvPicPr>
        <xdr:cNvPr id="892" name="图片 12" descr="e869b0f8f014595fe06d9a84010ef24"/>
        <xdr:cNvPicPr/>
      </xdr:nvPicPr>
      <xdr:blipFill>
        <a:blip r:embed="rId4"/>
        <a:stretch/>
      </xdr:blipFill>
      <xdr:spPr>
        <a:xfrm>
          <a:off x="5605920" y="13536360"/>
          <a:ext cx="1170720" cy="1177560"/>
        </a:xfrm>
        <a:prstGeom prst="rect">
          <a:avLst/>
        </a:prstGeom>
        <a:noFill/>
        <a:ln w="9525">
          <a:noFill/>
        </a:ln>
      </xdr:spPr>
    </xdr:pic>
    <xdr:clientData/>
  </xdr:twoCellAnchor>
  <xdr:twoCellAnchor editAs="oneCell">
    <xdr:from>
      <xdr:col>1</xdr:col>
      <xdr:colOff>38160</xdr:colOff>
      <xdr:row>20</xdr:row>
      <xdr:rowOff>140760</xdr:rowOff>
    </xdr:from>
    <xdr:to>
      <xdr:col>1</xdr:col>
      <xdr:colOff>1208880</xdr:colOff>
      <xdr:row>20</xdr:row>
      <xdr:rowOff>1319040</xdr:rowOff>
    </xdr:to>
    <xdr:pic>
      <xdr:nvPicPr>
        <xdr:cNvPr id="893" name="图片 32" descr="BY11-1_副本"/>
        <xdr:cNvPicPr/>
      </xdr:nvPicPr>
      <xdr:blipFill>
        <a:blip r:embed="rId5"/>
        <a:stretch/>
      </xdr:blipFill>
      <xdr:spPr>
        <a:xfrm>
          <a:off x="4039920" y="19756080"/>
          <a:ext cx="1170720" cy="1178280"/>
        </a:xfrm>
        <a:prstGeom prst="rect">
          <a:avLst/>
        </a:prstGeom>
        <a:noFill/>
        <a:ln w="9525">
          <a:noFill/>
        </a:ln>
      </xdr:spPr>
    </xdr:pic>
    <xdr:clientData/>
  </xdr:twoCellAnchor>
  <xdr:twoCellAnchor editAs="oneCell">
    <xdr:from>
      <xdr:col>1</xdr:col>
      <xdr:colOff>38160</xdr:colOff>
      <xdr:row>7</xdr:row>
      <xdr:rowOff>145800</xdr:rowOff>
    </xdr:from>
    <xdr:to>
      <xdr:col>1</xdr:col>
      <xdr:colOff>1208880</xdr:colOff>
      <xdr:row>7</xdr:row>
      <xdr:rowOff>1313640</xdr:rowOff>
    </xdr:to>
    <xdr:pic>
      <xdr:nvPicPr>
        <xdr:cNvPr id="894" name="图片 5" descr="C:/Users/Ray/AppData/Local/Temp/picturecompress_20210720164149/output_23.jpgoutput_23"/>
        <xdr:cNvPicPr/>
      </xdr:nvPicPr>
      <xdr:blipFill>
        <a:blip r:embed="rId6"/>
        <a:stretch/>
      </xdr:blipFill>
      <xdr:spPr>
        <a:xfrm>
          <a:off x="4039920" y="5924160"/>
          <a:ext cx="1170720" cy="1167840"/>
        </a:xfrm>
        <a:prstGeom prst="rect">
          <a:avLst/>
        </a:prstGeom>
        <a:noFill/>
        <a:ln w="9525">
          <a:noFill/>
        </a:ln>
      </xdr:spPr>
    </xdr:pic>
    <xdr:clientData/>
  </xdr:twoCellAnchor>
  <xdr:twoCellAnchor editAs="oneCell">
    <xdr:from>
      <xdr:col>2</xdr:col>
      <xdr:colOff>38160</xdr:colOff>
      <xdr:row>7</xdr:row>
      <xdr:rowOff>143640</xdr:rowOff>
    </xdr:from>
    <xdr:to>
      <xdr:col>2</xdr:col>
      <xdr:colOff>1208880</xdr:colOff>
      <xdr:row>7</xdr:row>
      <xdr:rowOff>1316160</xdr:rowOff>
    </xdr:to>
    <xdr:pic>
      <xdr:nvPicPr>
        <xdr:cNvPr id="895" name="图片 15" descr="12"/>
        <xdr:cNvPicPr/>
      </xdr:nvPicPr>
      <xdr:blipFill>
        <a:blip r:embed="rId7"/>
        <a:stretch/>
      </xdr:blipFill>
      <xdr:spPr>
        <a:xfrm>
          <a:off x="5605920" y="5922000"/>
          <a:ext cx="1170720" cy="1172520"/>
        </a:xfrm>
        <a:prstGeom prst="rect">
          <a:avLst/>
        </a:prstGeom>
        <a:noFill/>
        <a:ln w="9525">
          <a:noFill/>
        </a:ln>
      </xdr:spPr>
    </xdr:pic>
    <xdr:clientData/>
  </xdr:twoCellAnchor>
  <xdr:twoCellAnchor editAs="oneCell">
    <xdr:from>
      <xdr:col>2</xdr:col>
      <xdr:colOff>38160</xdr:colOff>
      <xdr:row>12</xdr:row>
      <xdr:rowOff>140400</xdr:rowOff>
    </xdr:from>
    <xdr:to>
      <xdr:col>2</xdr:col>
      <xdr:colOff>1208880</xdr:colOff>
      <xdr:row>12</xdr:row>
      <xdr:rowOff>1319400</xdr:rowOff>
    </xdr:to>
    <xdr:pic>
      <xdr:nvPicPr>
        <xdr:cNvPr id="896" name="图片 8" descr="9(5)"/>
        <xdr:cNvPicPr/>
      </xdr:nvPicPr>
      <xdr:blipFill>
        <a:blip r:embed="rId8"/>
        <a:stretch/>
      </xdr:blipFill>
      <xdr:spPr>
        <a:xfrm>
          <a:off x="5605920" y="10710000"/>
          <a:ext cx="1170720" cy="1179000"/>
        </a:xfrm>
        <a:prstGeom prst="rect">
          <a:avLst/>
        </a:prstGeom>
        <a:noFill/>
        <a:ln w="9525">
          <a:noFill/>
        </a:ln>
      </xdr:spPr>
    </xdr:pic>
    <xdr:clientData/>
  </xdr:twoCellAnchor>
  <xdr:twoCellAnchor editAs="oneCell">
    <xdr:from>
      <xdr:col>1</xdr:col>
      <xdr:colOff>38160</xdr:colOff>
      <xdr:row>12</xdr:row>
      <xdr:rowOff>143280</xdr:rowOff>
    </xdr:from>
    <xdr:to>
      <xdr:col>1</xdr:col>
      <xdr:colOff>1208880</xdr:colOff>
      <xdr:row>12</xdr:row>
      <xdr:rowOff>1316520</xdr:rowOff>
    </xdr:to>
    <xdr:pic>
      <xdr:nvPicPr>
        <xdr:cNvPr id="897" name="图片 36" descr="1(4)"/>
        <xdr:cNvPicPr/>
      </xdr:nvPicPr>
      <xdr:blipFill>
        <a:blip r:embed="rId9"/>
        <a:stretch/>
      </xdr:blipFill>
      <xdr:spPr>
        <a:xfrm>
          <a:off x="4039920" y="10712880"/>
          <a:ext cx="1170720" cy="1173240"/>
        </a:xfrm>
        <a:prstGeom prst="rect">
          <a:avLst/>
        </a:prstGeom>
        <a:noFill/>
        <a:ln w="9525">
          <a:noFill/>
        </a:ln>
      </xdr:spPr>
    </xdr:pic>
    <xdr:clientData/>
  </xdr:twoCellAnchor>
  <xdr:twoCellAnchor editAs="oneCell">
    <xdr:from>
      <xdr:col>1</xdr:col>
      <xdr:colOff>38160</xdr:colOff>
      <xdr:row>19</xdr:row>
      <xdr:rowOff>140400</xdr:rowOff>
    </xdr:from>
    <xdr:to>
      <xdr:col>1</xdr:col>
      <xdr:colOff>1208880</xdr:colOff>
      <xdr:row>19</xdr:row>
      <xdr:rowOff>1319400</xdr:rowOff>
    </xdr:to>
    <xdr:pic>
      <xdr:nvPicPr>
        <xdr:cNvPr id="898" name="图片 43" descr="6"/>
        <xdr:cNvPicPr/>
      </xdr:nvPicPr>
      <xdr:blipFill>
        <a:blip r:embed="rId10"/>
        <a:stretch/>
      </xdr:blipFill>
      <xdr:spPr>
        <a:xfrm>
          <a:off x="4039920" y="18295200"/>
          <a:ext cx="1170720" cy="1179000"/>
        </a:xfrm>
        <a:prstGeom prst="rect">
          <a:avLst/>
        </a:prstGeom>
        <a:noFill/>
        <a:ln w="9525">
          <a:noFill/>
        </a:ln>
      </xdr:spPr>
    </xdr:pic>
    <xdr:clientData/>
  </xdr:twoCellAnchor>
  <xdr:twoCellAnchor editAs="oneCell">
    <xdr:from>
      <xdr:col>2</xdr:col>
      <xdr:colOff>38160</xdr:colOff>
      <xdr:row>19</xdr:row>
      <xdr:rowOff>143280</xdr:rowOff>
    </xdr:from>
    <xdr:to>
      <xdr:col>2</xdr:col>
      <xdr:colOff>1208880</xdr:colOff>
      <xdr:row>19</xdr:row>
      <xdr:rowOff>1316520</xdr:rowOff>
    </xdr:to>
    <xdr:pic>
      <xdr:nvPicPr>
        <xdr:cNvPr id="899" name="图片 47" descr="9"/>
        <xdr:cNvPicPr/>
      </xdr:nvPicPr>
      <xdr:blipFill>
        <a:blip r:embed="rId11"/>
        <a:stretch/>
      </xdr:blipFill>
      <xdr:spPr>
        <a:xfrm>
          <a:off x="5605920" y="18298080"/>
          <a:ext cx="1170720" cy="1173240"/>
        </a:xfrm>
        <a:prstGeom prst="rect">
          <a:avLst/>
        </a:prstGeom>
        <a:noFill/>
        <a:ln w="9525">
          <a:noFill/>
        </a:ln>
      </xdr:spPr>
    </xdr:pic>
    <xdr:clientData/>
  </xdr:twoCellAnchor>
  <xdr:twoCellAnchor editAs="oneCell">
    <xdr:from>
      <xdr:col>2</xdr:col>
      <xdr:colOff>38160</xdr:colOff>
      <xdr:row>20</xdr:row>
      <xdr:rowOff>143280</xdr:rowOff>
    </xdr:from>
    <xdr:to>
      <xdr:col>2</xdr:col>
      <xdr:colOff>1208880</xdr:colOff>
      <xdr:row>20</xdr:row>
      <xdr:rowOff>1316520</xdr:rowOff>
    </xdr:to>
    <xdr:pic>
      <xdr:nvPicPr>
        <xdr:cNvPr id="900" name="图片 10" descr="BY11-9"/>
        <xdr:cNvPicPr/>
      </xdr:nvPicPr>
      <xdr:blipFill>
        <a:blip r:embed="rId12"/>
        <a:stretch/>
      </xdr:blipFill>
      <xdr:spPr>
        <a:xfrm>
          <a:off x="5605920" y="19758600"/>
          <a:ext cx="1170720" cy="1173240"/>
        </a:xfrm>
        <a:prstGeom prst="rect">
          <a:avLst/>
        </a:prstGeom>
        <a:noFill/>
        <a:ln w="9525">
          <a:noFill/>
        </a:ln>
      </xdr:spPr>
    </xdr:pic>
    <xdr:clientData/>
  </xdr:twoCellAnchor>
  <xdr:twoCellAnchor editAs="oneCell">
    <xdr:from>
      <xdr:col>1</xdr:col>
      <xdr:colOff>38160</xdr:colOff>
      <xdr:row>18</xdr:row>
      <xdr:rowOff>146160</xdr:rowOff>
    </xdr:from>
    <xdr:to>
      <xdr:col>1</xdr:col>
      <xdr:colOff>1208880</xdr:colOff>
      <xdr:row>18</xdr:row>
      <xdr:rowOff>1313640</xdr:rowOff>
    </xdr:to>
    <xdr:pic>
      <xdr:nvPicPr>
        <xdr:cNvPr id="901" name="图片 11" descr="1"/>
        <xdr:cNvPicPr/>
      </xdr:nvPicPr>
      <xdr:blipFill>
        <a:blip r:embed="rId13"/>
        <a:stretch/>
      </xdr:blipFill>
      <xdr:spPr>
        <a:xfrm>
          <a:off x="4039920" y="16840440"/>
          <a:ext cx="1170720" cy="1167480"/>
        </a:xfrm>
        <a:prstGeom prst="rect">
          <a:avLst/>
        </a:prstGeom>
        <a:noFill/>
        <a:ln w="9525">
          <a:noFill/>
        </a:ln>
      </xdr:spPr>
    </xdr:pic>
    <xdr:clientData/>
  </xdr:twoCellAnchor>
  <xdr:twoCellAnchor editAs="oneCell">
    <xdr:from>
      <xdr:col>2</xdr:col>
      <xdr:colOff>38160</xdr:colOff>
      <xdr:row>18</xdr:row>
      <xdr:rowOff>141480</xdr:rowOff>
    </xdr:from>
    <xdr:to>
      <xdr:col>2</xdr:col>
      <xdr:colOff>1208880</xdr:colOff>
      <xdr:row>18</xdr:row>
      <xdr:rowOff>1317960</xdr:rowOff>
    </xdr:to>
    <xdr:pic>
      <xdr:nvPicPr>
        <xdr:cNvPr id="902" name="图片 13" descr="9(4)"/>
        <xdr:cNvPicPr/>
      </xdr:nvPicPr>
      <xdr:blipFill>
        <a:blip r:embed="rId14"/>
        <a:stretch/>
      </xdr:blipFill>
      <xdr:spPr>
        <a:xfrm>
          <a:off x="5605920" y="16835760"/>
          <a:ext cx="1170720" cy="1176480"/>
        </a:xfrm>
        <a:prstGeom prst="rect">
          <a:avLst/>
        </a:prstGeom>
        <a:noFill/>
        <a:ln w="9525">
          <a:noFill/>
        </a:ln>
      </xdr:spPr>
    </xdr:pic>
    <xdr:clientData/>
  </xdr:twoCellAnchor>
  <xdr:twoCellAnchor editAs="oneCell">
    <xdr:from>
      <xdr:col>1</xdr:col>
      <xdr:colOff>38160</xdr:colOff>
      <xdr:row>11</xdr:row>
      <xdr:rowOff>140400</xdr:rowOff>
    </xdr:from>
    <xdr:to>
      <xdr:col>1</xdr:col>
      <xdr:colOff>1208880</xdr:colOff>
      <xdr:row>11</xdr:row>
      <xdr:rowOff>1319400</xdr:rowOff>
    </xdr:to>
    <xdr:pic>
      <xdr:nvPicPr>
        <xdr:cNvPr id="903" name="图片 1" descr="1"/>
        <xdr:cNvPicPr/>
      </xdr:nvPicPr>
      <xdr:blipFill>
        <a:blip r:embed="rId15"/>
        <a:stretch/>
      </xdr:blipFill>
      <xdr:spPr>
        <a:xfrm>
          <a:off x="4039920" y="9249480"/>
          <a:ext cx="1170720" cy="1179000"/>
        </a:xfrm>
        <a:prstGeom prst="rect">
          <a:avLst/>
        </a:prstGeom>
        <a:noFill/>
        <a:ln w="9525">
          <a:noFill/>
        </a:ln>
      </xdr:spPr>
    </xdr:pic>
    <xdr:clientData/>
  </xdr:twoCellAnchor>
  <xdr:twoCellAnchor editAs="oneCell">
    <xdr:from>
      <xdr:col>2</xdr:col>
      <xdr:colOff>38160</xdr:colOff>
      <xdr:row>11</xdr:row>
      <xdr:rowOff>145800</xdr:rowOff>
    </xdr:from>
    <xdr:to>
      <xdr:col>2</xdr:col>
      <xdr:colOff>1208880</xdr:colOff>
      <xdr:row>11</xdr:row>
      <xdr:rowOff>1313640</xdr:rowOff>
    </xdr:to>
    <xdr:pic>
      <xdr:nvPicPr>
        <xdr:cNvPr id="904" name="图片 3" descr="9"/>
        <xdr:cNvPicPr/>
      </xdr:nvPicPr>
      <xdr:blipFill>
        <a:blip r:embed="rId16"/>
        <a:stretch/>
      </xdr:blipFill>
      <xdr:spPr>
        <a:xfrm>
          <a:off x="5605920" y="9254880"/>
          <a:ext cx="1170720" cy="1167840"/>
        </a:xfrm>
        <a:prstGeom prst="rect">
          <a:avLst/>
        </a:prstGeom>
        <a:noFill/>
        <a:ln w="9525">
          <a:noFill/>
        </a:ln>
      </xdr:spPr>
    </xdr:pic>
    <xdr:clientData/>
  </xdr:twoCellAnchor>
  <xdr:twoCellAnchor editAs="oneCell">
    <xdr:from>
      <xdr:col>1</xdr:col>
      <xdr:colOff>38160</xdr:colOff>
      <xdr:row>6</xdr:row>
      <xdr:rowOff>140760</xdr:rowOff>
    </xdr:from>
    <xdr:to>
      <xdr:col>1</xdr:col>
      <xdr:colOff>1208880</xdr:colOff>
      <xdr:row>6</xdr:row>
      <xdr:rowOff>1319040</xdr:rowOff>
    </xdr:to>
    <xdr:pic>
      <xdr:nvPicPr>
        <xdr:cNvPr id="905" name="图片 20" descr="3"/>
        <xdr:cNvPicPr/>
      </xdr:nvPicPr>
      <xdr:blipFill>
        <a:blip r:embed="rId17"/>
        <a:stretch/>
      </xdr:blipFill>
      <xdr:spPr>
        <a:xfrm>
          <a:off x="4039920" y="4458600"/>
          <a:ext cx="1170720" cy="1178280"/>
        </a:xfrm>
        <a:prstGeom prst="rect">
          <a:avLst/>
        </a:prstGeom>
        <a:noFill/>
        <a:ln w="9525">
          <a:noFill/>
        </a:ln>
      </xdr:spPr>
    </xdr:pic>
    <xdr:clientData/>
  </xdr:twoCellAnchor>
  <xdr:twoCellAnchor editAs="oneCell">
    <xdr:from>
      <xdr:col>2</xdr:col>
      <xdr:colOff>38160</xdr:colOff>
      <xdr:row>6</xdr:row>
      <xdr:rowOff>143640</xdr:rowOff>
    </xdr:from>
    <xdr:to>
      <xdr:col>2</xdr:col>
      <xdr:colOff>1208880</xdr:colOff>
      <xdr:row>6</xdr:row>
      <xdr:rowOff>1316160</xdr:rowOff>
    </xdr:to>
    <xdr:pic>
      <xdr:nvPicPr>
        <xdr:cNvPr id="906" name="图片 21" descr="11"/>
        <xdr:cNvPicPr/>
      </xdr:nvPicPr>
      <xdr:blipFill>
        <a:blip r:embed="rId18"/>
        <a:stretch/>
      </xdr:blipFill>
      <xdr:spPr>
        <a:xfrm>
          <a:off x="5605920" y="4461480"/>
          <a:ext cx="1170720" cy="1172520"/>
        </a:xfrm>
        <a:prstGeom prst="rect">
          <a:avLst/>
        </a:prstGeom>
        <a:noFill/>
        <a:ln w="9525">
          <a:noFill/>
        </a:ln>
      </xdr:spPr>
    </xdr:pic>
    <xdr:clientData/>
  </xdr:twoCellAnchor>
  <xdr:twoCellAnchor editAs="oneCell">
    <xdr:from>
      <xdr:col>1</xdr:col>
      <xdr:colOff>38160</xdr:colOff>
      <xdr:row>17</xdr:row>
      <xdr:rowOff>140760</xdr:rowOff>
    </xdr:from>
    <xdr:to>
      <xdr:col>1</xdr:col>
      <xdr:colOff>1208880</xdr:colOff>
      <xdr:row>17</xdr:row>
      <xdr:rowOff>1319040</xdr:rowOff>
    </xdr:to>
    <xdr:pic>
      <xdr:nvPicPr>
        <xdr:cNvPr id="907" name="图片 5" descr="1"/>
        <xdr:cNvPicPr/>
      </xdr:nvPicPr>
      <xdr:blipFill>
        <a:blip r:embed="rId19"/>
        <a:stretch/>
      </xdr:blipFill>
      <xdr:spPr>
        <a:xfrm>
          <a:off x="4039920" y="15374520"/>
          <a:ext cx="1170720" cy="1178280"/>
        </a:xfrm>
        <a:prstGeom prst="rect">
          <a:avLst/>
        </a:prstGeom>
        <a:noFill/>
        <a:ln w="9525">
          <a:noFill/>
        </a:ln>
      </xdr:spPr>
    </xdr:pic>
    <xdr:clientData/>
  </xdr:twoCellAnchor>
  <xdr:twoCellAnchor editAs="oneCell">
    <xdr:from>
      <xdr:col>2</xdr:col>
      <xdr:colOff>38160</xdr:colOff>
      <xdr:row>17</xdr:row>
      <xdr:rowOff>144360</xdr:rowOff>
    </xdr:from>
    <xdr:to>
      <xdr:col>2</xdr:col>
      <xdr:colOff>1208880</xdr:colOff>
      <xdr:row>17</xdr:row>
      <xdr:rowOff>1315080</xdr:rowOff>
    </xdr:to>
    <xdr:pic>
      <xdr:nvPicPr>
        <xdr:cNvPr id="908" name="图片 6" descr="8"/>
        <xdr:cNvPicPr/>
      </xdr:nvPicPr>
      <xdr:blipFill>
        <a:blip r:embed="rId20"/>
        <a:stretch/>
      </xdr:blipFill>
      <xdr:spPr>
        <a:xfrm>
          <a:off x="5605920" y="15378120"/>
          <a:ext cx="1170720" cy="1170720"/>
        </a:xfrm>
        <a:prstGeom prst="rect">
          <a:avLst/>
        </a:prstGeom>
        <a:noFill/>
        <a:ln w="9525">
          <a:noFill/>
        </a:ln>
      </xdr:spPr>
    </xdr:pic>
    <xdr:clientData/>
  </xdr:twoCellAnchor>
  <xdr:twoCellAnchor editAs="oneCell">
    <xdr:from>
      <xdr:col>1</xdr:col>
      <xdr:colOff>38160</xdr:colOff>
      <xdr:row>5</xdr:row>
      <xdr:rowOff>146160</xdr:rowOff>
    </xdr:from>
    <xdr:to>
      <xdr:col>1</xdr:col>
      <xdr:colOff>1208880</xdr:colOff>
      <xdr:row>5</xdr:row>
      <xdr:rowOff>1313640</xdr:rowOff>
    </xdr:to>
    <xdr:pic>
      <xdr:nvPicPr>
        <xdr:cNvPr id="909" name="图片 1" descr="1"/>
        <xdr:cNvPicPr/>
      </xdr:nvPicPr>
      <xdr:blipFill>
        <a:blip r:embed="rId21"/>
        <a:stretch/>
      </xdr:blipFill>
      <xdr:spPr>
        <a:xfrm>
          <a:off x="4039920" y="3003840"/>
          <a:ext cx="1170720" cy="1167480"/>
        </a:xfrm>
        <a:prstGeom prst="rect">
          <a:avLst/>
        </a:prstGeom>
        <a:noFill/>
        <a:ln w="0">
          <a:noFill/>
        </a:ln>
      </xdr:spPr>
    </xdr:pic>
    <xdr:clientData/>
  </xdr:twoCellAnchor>
  <xdr:twoCellAnchor editAs="oneCell">
    <xdr:from>
      <xdr:col>2</xdr:col>
      <xdr:colOff>38160</xdr:colOff>
      <xdr:row>5</xdr:row>
      <xdr:rowOff>143640</xdr:rowOff>
    </xdr:from>
    <xdr:to>
      <xdr:col>2</xdr:col>
      <xdr:colOff>1208880</xdr:colOff>
      <xdr:row>5</xdr:row>
      <xdr:rowOff>1316160</xdr:rowOff>
    </xdr:to>
    <xdr:pic>
      <xdr:nvPicPr>
        <xdr:cNvPr id="910" name="图片 2" descr="8"/>
        <xdr:cNvPicPr/>
      </xdr:nvPicPr>
      <xdr:blipFill>
        <a:blip r:embed="rId22"/>
        <a:stretch/>
      </xdr:blipFill>
      <xdr:spPr>
        <a:xfrm>
          <a:off x="5605920" y="3001320"/>
          <a:ext cx="1170720" cy="1172520"/>
        </a:xfrm>
        <a:prstGeom prst="rect">
          <a:avLst/>
        </a:prstGeom>
        <a:noFill/>
        <a:ln w="0">
          <a:noFill/>
        </a:ln>
      </xdr:spPr>
    </xdr:pic>
    <xdr:clientData/>
  </xdr:twoCellAnchor>
  <xdr:twoCellAnchor editAs="oneCell">
    <xdr:from>
      <xdr:col>1</xdr:col>
      <xdr:colOff>38160</xdr:colOff>
      <xdr:row>4</xdr:row>
      <xdr:rowOff>141480</xdr:rowOff>
    </xdr:from>
    <xdr:to>
      <xdr:col>1</xdr:col>
      <xdr:colOff>1208880</xdr:colOff>
      <xdr:row>4</xdr:row>
      <xdr:rowOff>1317960</xdr:rowOff>
    </xdr:to>
    <xdr:pic>
      <xdr:nvPicPr>
        <xdr:cNvPr id="911" name="图片 3" descr="1"/>
        <xdr:cNvPicPr/>
      </xdr:nvPicPr>
      <xdr:blipFill>
        <a:blip r:embed="rId23"/>
        <a:stretch/>
      </xdr:blipFill>
      <xdr:spPr>
        <a:xfrm>
          <a:off x="4039920" y="1538640"/>
          <a:ext cx="1170720" cy="1176480"/>
        </a:xfrm>
        <a:prstGeom prst="rect">
          <a:avLst/>
        </a:prstGeom>
        <a:noFill/>
        <a:ln w="0">
          <a:noFill/>
        </a:ln>
      </xdr:spPr>
    </xdr:pic>
    <xdr:clientData/>
  </xdr:twoCellAnchor>
  <xdr:twoCellAnchor editAs="oneCell">
    <xdr:from>
      <xdr:col>2</xdr:col>
      <xdr:colOff>38160</xdr:colOff>
      <xdr:row>4</xdr:row>
      <xdr:rowOff>155520</xdr:rowOff>
    </xdr:from>
    <xdr:to>
      <xdr:col>2</xdr:col>
      <xdr:colOff>1208880</xdr:colOff>
      <xdr:row>4</xdr:row>
      <xdr:rowOff>1304640</xdr:rowOff>
    </xdr:to>
    <xdr:pic>
      <xdr:nvPicPr>
        <xdr:cNvPr id="912" name="图片 5" descr="8"/>
        <xdr:cNvPicPr/>
      </xdr:nvPicPr>
      <xdr:blipFill>
        <a:blip r:embed="rId24"/>
        <a:srcRect l="0" t="0" r="0" b="2112"/>
        <a:stretch/>
      </xdr:blipFill>
      <xdr:spPr>
        <a:xfrm>
          <a:off x="5605920" y="1552680"/>
          <a:ext cx="1170720" cy="1149120"/>
        </a:xfrm>
        <a:prstGeom prst="rect">
          <a:avLst/>
        </a:prstGeom>
        <a:noFill/>
        <a:ln w="0">
          <a:noFill/>
        </a:ln>
      </xdr:spPr>
    </xdr:pic>
    <xdr:clientData/>
  </xdr:twoCellAnchor>
  <xdr:twoCellAnchor editAs="oneCell">
    <xdr:from>
      <xdr:col>1</xdr:col>
      <xdr:colOff>38160</xdr:colOff>
      <xdr:row>10</xdr:row>
      <xdr:rowOff>141480</xdr:rowOff>
    </xdr:from>
    <xdr:to>
      <xdr:col>1</xdr:col>
      <xdr:colOff>1208880</xdr:colOff>
      <xdr:row>10</xdr:row>
      <xdr:rowOff>1317960</xdr:rowOff>
    </xdr:to>
    <xdr:pic>
      <xdr:nvPicPr>
        <xdr:cNvPr id="913" name="图片 4" descr="1"/>
        <xdr:cNvPicPr/>
      </xdr:nvPicPr>
      <xdr:blipFill>
        <a:blip r:embed="rId25"/>
        <a:stretch/>
      </xdr:blipFill>
      <xdr:spPr>
        <a:xfrm>
          <a:off x="4039920" y="7790040"/>
          <a:ext cx="1170720" cy="1176480"/>
        </a:xfrm>
        <a:prstGeom prst="rect">
          <a:avLst/>
        </a:prstGeom>
        <a:noFill/>
        <a:ln w="0">
          <a:noFill/>
        </a:ln>
      </xdr:spPr>
    </xdr:pic>
    <xdr:clientData/>
  </xdr:twoCellAnchor>
  <xdr:twoCellAnchor editAs="oneCell">
    <xdr:from>
      <xdr:col>2</xdr:col>
      <xdr:colOff>38160</xdr:colOff>
      <xdr:row>10</xdr:row>
      <xdr:rowOff>142200</xdr:rowOff>
    </xdr:from>
    <xdr:to>
      <xdr:col>2</xdr:col>
      <xdr:colOff>1208880</xdr:colOff>
      <xdr:row>10</xdr:row>
      <xdr:rowOff>1317600</xdr:rowOff>
    </xdr:to>
    <xdr:pic>
      <xdr:nvPicPr>
        <xdr:cNvPr id="914" name="图片 6" descr="8"/>
        <xdr:cNvPicPr/>
      </xdr:nvPicPr>
      <xdr:blipFill>
        <a:blip r:embed="rId26"/>
        <a:stretch/>
      </xdr:blipFill>
      <xdr:spPr>
        <a:xfrm>
          <a:off x="5605920" y="7790760"/>
          <a:ext cx="1170720" cy="1175400"/>
        </a:xfrm>
        <a:prstGeom prst="rect">
          <a:avLst/>
        </a:prstGeom>
        <a:noFill/>
        <a:ln w="0">
          <a:noFill/>
        </a:ln>
      </xdr:spPr>
    </xdr:pic>
    <xdr:clientData/>
  </xdr:twoCellAnchor>
  <xdr:twoCellAnchor editAs="twoCell">
    <xdr:from>
      <xdr:col>0</xdr:col>
      <xdr:colOff>0</xdr:colOff>
      <xdr:row>10</xdr:row>
      <xdr:rowOff>0</xdr:rowOff>
    </xdr:from>
    <xdr:to>
      <xdr:col>0</xdr:col>
      <xdr:colOff>828000</xdr:colOff>
      <xdr:row>10</xdr:row>
      <xdr:rowOff>297000</xdr:rowOff>
    </xdr:to>
    <xdr:pic>
      <xdr:nvPicPr>
        <xdr:cNvPr id="915" name="图片 18" descr="新品"/>
        <xdr:cNvPicPr/>
      </xdr:nvPicPr>
      <xdr:blipFill>
        <a:blip r:embed="rId27"/>
        <a:stretch/>
      </xdr:blipFill>
      <xdr:spPr>
        <a:xfrm>
          <a:off x="0" y="7648560"/>
          <a:ext cx="828000" cy="297000"/>
        </a:xfrm>
        <a:prstGeom prst="rect">
          <a:avLst/>
        </a:prstGeom>
        <a:noFill/>
        <a:ln w="9525">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38160</xdr:colOff>
      <xdr:row>48</xdr:row>
      <xdr:rowOff>144000</xdr:rowOff>
    </xdr:from>
    <xdr:to>
      <xdr:col>1</xdr:col>
      <xdr:colOff>1208880</xdr:colOff>
      <xdr:row>48</xdr:row>
      <xdr:rowOff>1315440</xdr:rowOff>
    </xdr:to>
    <xdr:pic>
      <xdr:nvPicPr>
        <xdr:cNvPr id="916" name="图片 4" descr="C:/Users/Ray/AppData/Local/Temp/picturecompress_20210720164159/output_60.jpgoutput_60"/>
        <xdr:cNvPicPr/>
      </xdr:nvPicPr>
      <xdr:blipFill>
        <a:blip r:embed="rId1"/>
        <a:stretch/>
      </xdr:blipFill>
      <xdr:spPr>
        <a:xfrm>
          <a:off x="4039920" y="63291600"/>
          <a:ext cx="1170720" cy="1171440"/>
        </a:xfrm>
        <a:prstGeom prst="rect">
          <a:avLst/>
        </a:prstGeom>
        <a:noFill/>
        <a:ln w="9525">
          <a:noFill/>
        </a:ln>
      </xdr:spPr>
    </xdr:pic>
    <xdr:clientData/>
  </xdr:twoCellAnchor>
  <xdr:twoCellAnchor editAs="oneCell">
    <xdr:from>
      <xdr:col>2</xdr:col>
      <xdr:colOff>38160</xdr:colOff>
      <xdr:row>48</xdr:row>
      <xdr:rowOff>143640</xdr:rowOff>
    </xdr:from>
    <xdr:to>
      <xdr:col>2</xdr:col>
      <xdr:colOff>1208880</xdr:colOff>
      <xdr:row>48</xdr:row>
      <xdr:rowOff>1316160</xdr:rowOff>
    </xdr:to>
    <xdr:pic>
      <xdr:nvPicPr>
        <xdr:cNvPr id="917" name="图片 5" descr="C:/Users/Ray/AppData/Local/Temp/picturecompress_20210720164159/output_61.jpgoutput_61"/>
        <xdr:cNvPicPr/>
      </xdr:nvPicPr>
      <xdr:blipFill>
        <a:blip r:embed="rId2"/>
        <a:stretch/>
      </xdr:blipFill>
      <xdr:spPr>
        <a:xfrm>
          <a:off x="5605920" y="63291240"/>
          <a:ext cx="1170720" cy="1172520"/>
        </a:xfrm>
        <a:prstGeom prst="rect">
          <a:avLst/>
        </a:prstGeom>
        <a:noFill/>
        <a:ln w="9525">
          <a:noFill/>
        </a:ln>
      </xdr:spPr>
    </xdr:pic>
    <xdr:clientData/>
  </xdr:twoCellAnchor>
  <xdr:twoCellAnchor editAs="oneCell">
    <xdr:from>
      <xdr:col>1</xdr:col>
      <xdr:colOff>38160</xdr:colOff>
      <xdr:row>45</xdr:row>
      <xdr:rowOff>138600</xdr:rowOff>
    </xdr:from>
    <xdr:to>
      <xdr:col>1</xdr:col>
      <xdr:colOff>1208880</xdr:colOff>
      <xdr:row>45</xdr:row>
      <xdr:rowOff>1321200</xdr:rowOff>
    </xdr:to>
    <xdr:pic>
      <xdr:nvPicPr>
        <xdr:cNvPr id="918" name="图片 3" descr="C:/Users/Ray/AppData/Local/Temp/picturecompress_20210720164159/output_62.jpgoutput_62"/>
        <xdr:cNvPicPr/>
      </xdr:nvPicPr>
      <xdr:blipFill>
        <a:blip r:embed="rId3"/>
        <a:stretch/>
      </xdr:blipFill>
      <xdr:spPr>
        <a:xfrm>
          <a:off x="4039920" y="58904640"/>
          <a:ext cx="1170720" cy="1182600"/>
        </a:xfrm>
        <a:prstGeom prst="rect">
          <a:avLst/>
        </a:prstGeom>
        <a:noFill/>
        <a:ln w="9525">
          <a:noFill/>
        </a:ln>
      </xdr:spPr>
    </xdr:pic>
    <xdr:clientData/>
  </xdr:twoCellAnchor>
  <xdr:twoCellAnchor editAs="oneCell">
    <xdr:from>
      <xdr:col>2</xdr:col>
      <xdr:colOff>38160</xdr:colOff>
      <xdr:row>45</xdr:row>
      <xdr:rowOff>138600</xdr:rowOff>
    </xdr:from>
    <xdr:to>
      <xdr:col>2</xdr:col>
      <xdr:colOff>1208880</xdr:colOff>
      <xdr:row>45</xdr:row>
      <xdr:rowOff>1321200</xdr:rowOff>
    </xdr:to>
    <xdr:pic>
      <xdr:nvPicPr>
        <xdr:cNvPr id="919" name="图片 4" descr="C:/Users/Ray/AppData/Local/Temp/picturecompress_20210720164159/output_63.jpgoutput_63"/>
        <xdr:cNvPicPr/>
      </xdr:nvPicPr>
      <xdr:blipFill>
        <a:blip r:embed="rId4"/>
        <a:stretch/>
      </xdr:blipFill>
      <xdr:spPr>
        <a:xfrm>
          <a:off x="5605920" y="58904640"/>
          <a:ext cx="1170720" cy="1182600"/>
        </a:xfrm>
        <a:prstGeom prst="rect">
          <a:avLst/>
        </a:prstGeom>
        <a:noFill/>
        <a:ln w="9525">
          <a:noFill/>
        </a:ln>
      </xdr:spPr>
    </xdr:pic>
    <xdr:clientData/>
  </xdr:twoCellAnchor>
  <xdr:twoCellAnchor editAs="oneCell">
    <xdr:from>
      <xdr:col>1</xdr:col>
      <xdr:colOff>38160</xdr:colOff>
      <xdr:row>47</xdr:row>
      <xdr:rowOff>144000</xdr:rowOff>
    </xdr:from>
    <xdr:to>
      <xdr:col>1</xdr:col>
      <xdr:colOff>1208880</xdr:colOff>
      <xdr:row>47</xdr:row>
      <xdr:rowOff>1316160</xdr:rowOff>
    </xdr:to>
    <xdr:pic>
      <xdr:nvPicPr>
        <xdr:cNvPr id="920" name="图片 6" descr="C:/Users/Ray/AppData/Local/Temp/picturecompress_20210720164159/output_66.jpgoutput_66"/>
        <xdr:cNvPicPr/>
      </xdr:nvPicPr>
      <xdr:blipFill>
        <a:blip r:embed="rId5"/>
        <a:stretch/>
      </xdr:blipFill>
      <xdr:spPr>
        <a:xfrm>
          <a:off x="4039920" y="61831080"/>
          <a:ext cx="1170720" cy="1172160"/>
        </a:xfrm>
        <a:prstGeom prst="rect">
          <a:avLst/>
        </a:prstGeom>
        <a:noFill/>
        <a:ln w="9525">
          <a:noFill/>
        </a:ln>
      </xdr:spPr>
    </xdr:pic>
    <xdr:clientData/>
  </xdr:twoCellAnchor>
  <xdr:twoCellAnchor editAs="oneCell">
    <xdr:from>
      <xdr:col>1</xdr:col>
      <xdr:colOff>38160</xdr:colOff>
      <xdr:row>46</xdr:row>
      <xdr:rowOff>141120</xdr:rowOff>
    </xdr:from>
    <xdr:to>
      <xdr:col>1</xdr:col>
      <xdr:colOff>1208880</xdr:colOff>
      <xdr:row>46</xdr:row>
      <xdr:rowOff>1318320</xdr:rowOff>
    </xdr:to>
    <xdr:pic>
      <xdr:nvPicPr>
        <xdr:cNvPr id="921" name="图片 7" descr="C:/Users/Ray/AppData/Local/Temp/picturecompress_20210720164159/output_67.jpgoutput_67"/>
        <xdr:cNvPicPr/>
      </xdr:nvPicPr>
      <xdr:blipFill>
        <a:blip r:embed="rId6"/>
        <a:stretch/>
      </xdr:blipFill>
      <xdr:spPr>
        <a:xfrm>
          <a:off x="4039920" y="60367680"/>
          <a:ext cx="1170720" cy="1177200"/>
        </a:xfrm>
        <a:prstGeom prst="rect">
          <a:avLst/>
        </a:prstGeom>
        <a:noFill/>
        <a:ln w="9525">
          <a:noFill/>
        </a:ln>
      </xdr:spPr>
    </xdr:pic>
    <xdr:clientData/>
  </xdr:twoCellAnchor>
  <xdr:twoCellAnchor editAs="oneCell">
    <xdr:from>
      <xdr:col>2</xdr:col>
      <xdr:colOff>38160</xdr:colOff>
      <xdr:row>50</xdr:row>
      <xdr:rowOff>114840</xdr:rowOff>
    </xdr:from>
    <xdr:to>
      <xdr:col>2</xdr:col>
      <xdr:colOff>1208880</xdr:colOff>
      <xdr:row>50</xdr:row>
      <xdr:rowOff>1281240</xdr:rowOff>
    </xdr:to>
    <xdr:pic>
      <xdr:nvPicPr>
        <xdr:cNvPr id="922" name="图片 6" descr="C:/Users/Ray/AppData/Local/Temp/picturecompress_20210720164159/output_86.jpgoutput_86"/>
        <xdr:cNvPicPr/>
      </xdr:nvPicPr>
      <xdr:blipFill>
        <a:blip r:embed="rId7"/>
        <a:stretch/>
      </xdr:blipFill>
      <xdr:spPr>
        <a:xfrm>
          <a:off x="5605920" y="66119760"/>
          <a:ext cx="1170720" cy="1166400"/>
        </a:xfrm>
        <a:prstGeom prst="rect">
          <a:avLst/>
        </a:prstGeom>
        <a:noFill/>
        <a:ln w="9525">
          <a:noFill/>
        </a:ln>
      </xdr:spPr>
    </xdr:pic>
    <xdr:clientData/>
  </xdr:twoCellAnchor>
  <xdr:twoCellAnchor editAs="oneCell">
    <xdr:from>
      <xdr:col>2</xdr:col>
      <xdr:colOff>38160</xdr:colOff>
      <xdr:row>49</xdr:row>
      <xdr:rowOff>114480</xdr:rowOff>
    </xdr:from>
    <xdr:to>
      <xdr:col>2</xdr:col>
      <xdr:colOff>1208880</xdr:colOff>
      <xdr:row>49</xdr:row>
      <xdr:rowOff>1281600</xdr:rowOff>
    </xdr:to>
    <xdr:pic>
      <xdr:nvPicPr>
        <xdr:cNvPr id="923" name="图片 3" descr="C:/Users/Ray/AppData/Local/Temp/picturecompress_20210720164159/output_89.pngoutput_89"/>
        <xdr:cNvPicPr/>
      </xdr:nvPicPr>
      <xdr:blipFill>
        <a:blip r:embed="rId8"/>
        <a:stretch/>
      </xdr:blipFill>
      <xdr:spPr>
        <a:xfrm>
          <a:off x="5605920" y="64722600"/>
          <a:ext cx="1170720" cy="1167120"/>
        </a:xfrm>
        <a:prstGeom prst="rect">
          <a:avLst/>
        </a:prstGeom>
        <a:noFill/>
        <a:ln w="9525">
          <a:noFill/>
        </a:ln>
      </xdr:spPr>
    </xdr:pic>
    <xdr:clientData/>
  </xdr:twoCellAnchor>
  <xdr:twoCellAnchor editAs="oneCell">
    <xdr:from>
      <xdr:col>1</xdr:col>
      <xdr:colOff>38160</xdr:colOff>
      <xdr:row>49</xdr:row>
      <xdr:rowOff>114120</xdr:rowOff>
    </xdr:from>
    <xdr:to>
      <xdr:col>1</xdr:col>
      <xdr:colOff>1208880</xdr:colOff>
      <xdr:row>49</xdr:row>
      <xdr:rowOff>1281960</xdr:rowOff>
    </xdr:to>
    <xdr:pic>
      <xdr:nvPicPr>
        <xdr:cNvPr id="924" name="图片 7" descr="C:/Users/Ray/AppData/Local/Temp/picturecompress_20210720164159/output_93.jpgoutput_93"/>
        <xdr:cNvPicPr/>
      </xdr:nvPicPr>
      <xdr:blipFill>
        <a:blip r:embed="rId9"/>
        <a:stretch/>
      </xdr:blipFill>
      <xdr:spPr>
        <a:xfrm>
          <a:off x="4039920" y="64722240"/>
          <a:ext cx="1170720" cy="1167840"/>
        </a:xfrm>
        <a:prstGeom prst="rect">
          <a:avLst/>
        </a:prstGeom>
        <a:noFill/>
        <a:ln w="9525">
          <a:noFill/>
        </a:ln>
      </xdr:spPr>
    </xdr:pic>
    <xdr:clientData/>
  </xdr:twoCellAnchor>
  <xdr:twoCellAnchor editAs="oneCell">
    <xdr:from>
      <xdr:col>1</xdr:col>
      <xdr:colOff>38160</xdr:colOff>
      <xdr:row>50</xdr:row>
      <xdr:rowOff>114120</xdr:rowOff>
    </xdr:from>
    <xdr:to>
      <xdr:col>1</xdr:col>
      <xdr:colOff>1208880</xdr:colOff>
      <xdr:row>50</xdr:row>
      <xdr:rowOff>1281960</xdr:rowOff>
    </xdr:to>
    <xdr:pic>
      <xdr:nvPicPr>
        <xdr:cNvPr id="925" name="图片 8" descr="C:/Users/Ray/AppData/Local/Temp/picturecompress_20210720164159/output_94.jpgoutput_94"/>
        <xdr:cNvPicPr/>
      </xdr:nvPicPr>
      <xdr:blipFill>
        <a:blip r:embed="rId10"/>
        <a:stretch/>
      </xdr:blipFill>
      <xdr:spPr>
        <a:xfrm>
          <a:off x="4039920" y="66119040"/>
          <a:ext cx="1170720" cy="1167840"/>
        </a:xfrm>
        <a:prstGeom prst="rect">
          <a:avLst/>
        </a:prstGeom>
        <a:noFill/>
        <a:ln w="9525">
          <a:noFill/>
        </a:ln>
      </xdr:spPr>
    </xdr:pic>
    <xdr:clientData/>
  </xdr:twoCellAnchor>
  <xdr:twoCellAnchor editAs="oneCell">
    <xdr:from>
      <xdr:col>1</xdr:col>
      <xdr:colOff>38160</xdr:colOff>
      <xdr:row>44</xdr:row>
      <xdr:rowOff>144000</xdr:rowOff>
    </xdr:from>
    <xdr:to>
      <xdr:col>1</xdr:col>
      <xdr:colOff>1208880</xdr:colOff>
      <xdr:row>44</xdr:row>
      <xdr:rowOff>1316160</xdr:rowOff>
    </xdr:to>
    <xdr:pic>
      <xdr:nvPicPr>
        <xdr:cNvPr id="926" name="图片 35" descr="C:/Users/Ray/AppData/Local/Temp/picturecompress_20210720164159/output_154.jpgoutput_154"/>
        <xdr:cNvPicPr/>
      </xdr:nvPicPr>
      <xdr:blipFill>
        <a:blip r:embed="rId11"/>
        <a:stretch/>
      </xdr:blipFill>
      <xdr:spPr>
        <a:xfrm>
          <a:off x="4039920" y="57449520"/>
          <a:ext cx="1170720" cy="1172160"/>
        </a:xfrm>
        <a:prstGeom prst="rect">
          <a:avLst/>
        </a:prstGeom>
        <a:noFill/>
        <a:ln w="9525">
          <a:noFill/>
        </a:ln>
      </xdr:spPr>
    </xdr:pic>
    <xdr:clientData/>
  </xdr:twoCellAnchor>
  <xdr:twoCellAnchor editAs="oneCell">
    <xdr:from>
      <xdr:col>1</xdr:col>
      <xdr:colOff>38160</xdr:colOff>
      <xdr:row>43</xdr:row>
      <xdr:rowOff>141120</xdr:rowOff>
    </xdr:from>
    <xdr:to>
      <xdr:col>1</xdr:col>
      <xdr:colOff>1208880</xdr:colOff>
      <xdr:row>43</xdr:row>
      <xdr:rowOff>1318320</xdr:rowOff>
    </xdr:to>
    <xdr:pic>
      <xdr:nvPicPr>
        <xdr:cNvPr id="927" name="图片 30" descr="C:/Users/Ray/AppData/Local/Temp/picturecompress_20210720164159/output_156.jpgoutput_156"/>
        <xdr:cNvPicPr/>
      </xdr:nvPicPr>
      <xdr:blipFill>
        <a:blip r:embed="rId12"/>
        <a:stretch/>
      </xdr:blipFill>
      <xdr:spPr>
        <a:xfrm>
          <a:off x="4039920" y="55986120"/>
          <a:ext cx="1170720" cy="1177200"/>
        </a:xfrm>
        <a:prstGeom prst="rect">
          <a:avLst/>
        </a:prstGeom>
        <a:noFill/>
        <a:ln w="9525">
          <a:noFill/>
        </a:ln>
      </xdr:spPr>
    </xdr:pic>
    <xdr:clientData/>
  </xdr:twoCellAnchor>
  <xdr:twoCellAnchor editAs="oneCell">
    <xdr:from>
      <xdr:col>1</xdr:col>
      <xdr:colOff>38160</xdr:colOff>
      <xdr:row>42</xdr:row>
      <xdr:rowOff>143280</xdr:rowOff>
    </xdr:from>
    <xdr:to>
      <xdr:col>1</xdr:col>
      <xdr:colOff>1208880</xdr:colOff>
      <xdr:row>42</xdr:row>
      <xdr:rowOff>1316520</xdr:rowOff>
    </xdr:to>
    <xdr:pic>
      <xdr:nvPicPr>
        <xdr:cNvPr id="928" name="图片 47" descr="C:/Users/Ray/AppData/Local/Temp/picturecompress_20211105162155/output_23.jpgoutput_23"/>
        <xdr:cNvPicPr/>
      </xdr:nvPicPr>
      <xdr:blipFill>
        <a:blip r:embed="rId13"/>
        <a:stretch/>
      </xdr:blipFill>
      <xdr:spPr>
        <a:xfrm>
          <a:off x="4039920" y="54527760"/>
          <a:ext cx="1170720" cy="1173240"/>
        </a:xfrm>
        <a:prstGeom prst="rect">
          <a:avLst/>
        </a:prstGeom>
        <a:noFill/>
        <a:ln w="9525">
          <a:noFill/>
        </a:ln>
      </xdr:spPr>
    </xdr:pic>
    <xdr:clientData/>
  </xdr:twoCellAnchor>
  <xdr:twoCellAnchor editAs="oneCell">
    <xdr:from>
      <xdr:col>1</xdr:col>
      <xdr:colOff>38160</xdr:colOff>
      <xdr:row>41</xdr:row>
      <xdr:rowOff>140760</xdr:rowOff>
    </xdr:from>
    <xdr:to>
      <xdr:col>1</xdr:col>
      <xdr:colOff>1208880</xdr:colOff>
      <xdr:row>41</xdr:row>
      <xdr:rowOff>1319040</xdr:rowOff>
    </xdr:to>
    <xdr:pic>
      <xdr:nvPicPr>
        <xdr:cNvPr id="929" name="图片 189" descr="C:/Users/Ray/AppData/Local/Temp/picturecompress_20220402114019/output_40.jpgoutput_40"/>
        <xdr:cNvPicPr/>
      </xdr:nvPicPr>
      <xdr:blipFill>
        <a:blip r:embed="rId14"/>
        <a:stretch/>
      </xdr:blipFill>
      <xdr:spPr>
        <a:xfrm>
          <a:off x="4039920" y="53064720"/>
          <a:ext cx="1170720" cy="1178280"/>
        </a:xfrm>
        <a:prstGeom prst="rect">
          <a:avLst/>
        </a:prstGeom>
        <a:noFill/>
        <a:ln w="9525">
          <a:noFill/>
        </a:ln>
      </xdr:spPr>
    </xdr:pic>
    <xdr:clientData/>
  </xdr:twoCellAnchor>
  <xdr:twoCellAnchor editAs="oneCell">
    <xdr:from>
      <xdr:col>2</xdr:col>
      <xdr:colOff>38160</xdr:colOff>
      <xdr:row>41</xdr:row>
      <xdr:rowOff>143280</xdr:rowOff>
    </xdr:from>
    <xdr:to>
      <xdr:col>2</xdr:col>
      <xdr:colOff>1208880</xdr:colOff>
      <xdr:row>41</xdr:row>
      <xdr:rowOff>1316520</xdr:rowOff>
    </xdr:to>
    <xdr:pic>
      <xdr:nvPicPr>
        <xdr:cNvPr id="930" name="图片 190" descr="C:/Users/Ray/AppData/Local/Temp/picturecompress_20220402114019/output_41.jpgoutput_41"/>
        <xdr:cNvPicPr/>
      </xdr:nvPicPr>
      <xdr:blipFill>
        <a:blip r:embed="rId15"/>
        <a:stretch/>
      </xdr:blipFill>
      <xdr:spPr>
        <a:xfrm>
          <a:off x="5605920" y="53067240"/>
          <a:ext cx="1170720" cy="1173240"/>
        </a:xfrm>
        <a:prstGeom prst="rect">
          <a:avLst/>
        </a:prstGeom>
        <a:noFill/>
        <a:ln w="9525">
          <a:noFill/>
        </a:ln>
      </xdr:spPr>
    </xdr:pic>
    <xdr:clientData/>
  </xdr:twoCellAnchor>
  <xdr:twoCellAnchor editAs="oneCell">
    <xdr:from>
      <xdr:col>1</xdr:col>
      <xdr:colOff>38160</xdr:colOff>
      <xdr:row>40</xdr:row>
      <xdr:rowOff>140760</xdr:rowOff>
    </xdr:from>
    <xdr:to>
      <xdr:col>1</xdr:col>
      <xdr:colOff>1208880</xdr:colOff>
      <xdr:row>40</xdr:row>
      <xdr:rowOff>1319040</xdr:rowOff>
    </xdr:to>
    <xdr:pic>
      <xdr:nvPicPr>
        <xdr:cNvPr id="931" name="图片 216" descr="C:/Users/Ray/AppData/Local/Temp/picturecompress_20220705182929/output_10.jpgoutput_10"/>
        <xdr:cNvPicPr/>
      </xdr:nvPicPr>
      <xdr:blipFill>
        <a:blip r:embed="rId16"/>
        <a:stretch/>
      </xdr:blipFill>
      <xdr:spPr>
        <a:xfrm>
          <a:off x="4039920" y="51604200"/>
          <a:ext cx="1170720" cy="1178280"/>
        </a:xfrm>
        <a:prstGeom prst="rect">
          <a:avLst/>
        </a:prstGeom>
        <a:noFill/>
        <a:ln w="9525">
          <a:noFill/>
        </a:ln>
      </xdr:spPr>
    </xdr:pic>
    <xdr:clientData/>
  </xdr:twoCellAnchor>
  <xdr:twoCellAnchor editAs="oneCell">
    <xdr:from>
      <xdr:col>1</xdr:col>
      <xdr:colOff>38160</xdr:colOff>
      <xdr:row>39</xdr:row>
      <xdr:rowOff>140760</xdr:rowOff>
    </xdr:from>
    <xdr:to>
      <xdr:col>1</xdr:col>
      <xdr:colOff>1208880</xdr:colOff>
      <xdr:row>39</xdr:row>
      <xdr:rowOff>1319040</xdr:rowOff>
    </xdr:to>
    <xdr:pic>
      <xdr:nvPicPr>
        <xdr:cNvPr id="932" name="图片 221" descr="C:/Users/Ray/AppData/Local/Temp/picturecompress_20220804155403/output_4.jpgoutput_4"/>
        <xdr:cNvPicPr/>
      </xdr:nvPicPr>
      <xdr:blipFill>
        <a:blip r:embed="rId17"/>
        <a:stretch/>
      </xdr:blipFill>
      <xdr:spPr>
        <a:xfrm>
          <a:off x="4039920" y="50143680"/>
          <a:ext cx="1170720" cy="1178280"/>
        </a:xfrm>
        <a:prstGeom prst="rect">
          <a:avLst/>
        </a:prstGeom>
        <a:noFill/>
        <a:ln w="9525">
          <a:noFill/>
        </a:ln>
      </xdr:spPr>
    </xdr:pic>
    <xdr:clientData/>
  </xdr:twoCellAnchor>
  <xdr:twoCellAnchor editAs="oneCell">
    <xdr:from>
      <xdr:col>2</xdr:col>
      <xdr:colOff>38160</xdr:colOff>
      <xdr:row>39</xdr:row>
      <xdr:rowOff>146880</xdr:rowOff>
    </xdr:from>
    <xdr:to>
      <xdr:col>2</xdr:col>
      <xdr:colOff>1208880</xdr:colOff>
      <xdr:row>39</xdr:row>
      <xdr:rowOff>1312560</xdr:rowOff>
    </xdr:to>
    <xdr:pic>
      <xdr:nvPicPr>
        <xdr:cNvPr id="933" name="图片 222" descr="C:/Users/Ray/AppData/Local/Temp/picturecompress_20220804155403/output_3.jpgoutput_3"/>
        <xdr:cNvPicPr/>
      </xdr:nvPicPr>
      <xdr:blipFill>
        <a:blip r:embed="rId18"/>
        <a:stretch/>
      </xdr:blipFill>
      <xdr:spPr>
        <a:xfrm>
          <a:off x="5605920" y="50149800"/>
          <a:ext cx="1170720" cy="1165680"/>
        </a:xfrm>
        <a:prstGeom prst="rect">
          <a:avLst/>
        </a:prstGeom>
        <a:noFill/>
        <a:ln w="9525">
          <a:noFill/>
        </a:ln>
      </xdr:spPr>
    </xdr:pic>
    <xdr:clientData/>
  </xdr:twoCellAnchor>
  <xdr:twoCellAnchor editAs="oneCell">
    <xdr:from>
      <xdr:col>1</xdr:col>
      <xdr:colOff>38160</xdr:colOff>
      <xdr:row>38</xdr:row>
      <xdr:rowOff>142920</xdr:rowOff>
    </xdr:from>
    <xdr:to>
      <xdr:col>1</xdr:col>
      <xdr:colOff>1208880</xdr:colOff>
      <xdr:row>38</xdr:row>
      <xdr:rowOff>1316520</xdr:rowOff>
    </xdr:to>
    <xdr:pic>
      <xdr:nvPicPr>
        <xdr:cNvPr id="934" name="图片 7" descr="bh85"/>
        <xdr:cNvPicPr/>
      </xdr:nvPicPr>
      <xdr:blipFill>
        <a:blip r:embed="rId19"/>
        <a:stretch/>
      </xdr:blipFill>
      <xdr:spPr>
        <a:xfrm>
          <a:off x="4039920" y="48685320"/>
          <a:ext cx="1170720" cy="1173600"/>
        </a:xfrm>
        <a:prstGeom prst="rect">
          <a:avLst/>
        </a:prstGeom>
        <a:noFill/>
        <a:ln w="9525">
          <a:noFill/>
        </a:ln>
      </xdr:spPr>
    </xdr:pic>
    <xdr:clientData/>
  </xdr:twoCellAnchor>
  <xdr:twoCellAnchor editAs="oneCell">
    <xdr:from>
      <xdr:col>2</xdr:col>
      <xdr:colOff>38160</xdr:colOff>
      <xdr:row>47</xdr:row>
      <xdr:rowOff>146880</xdr:rowOff>
    </xdr:from>
    <xdr:to>
      <xdr:col>2</xdr:col>
      <xdr:colOff>1208880</xdr:colOff>
      <xdr:row>47</xdr:row>
      <xdr:rowOff>1313280</xdr:rowOff>
    </xdr:to>
    <xdr:pic>
      <xdr:nvPicPr>
        <xdr:cNvPr id="935" name="图片 17" descr="246dab252327bab4d03b443f7dc4fc07_"/>
        <xdr:cNvPicPr/>
      </xdr:nvPicPr>
      <xdr:blipFill>
        <a:blip r:embed="rId20"/>
        <a:stretch/>
      </xdr:blipFill>
      <xdr:spPr>
        <a:xfrm>
          <a:off x="5605920" y="61833960"/>
          <a:ext cx="1170720" cy="1166400"/>
        </a:xfrm>
        <a:prstGeom prst="rect">
          <a:avLst/>
        </a:prstGeom>
        <a:noFill/>
        <a:ln w="9525">
          <a:noFill/>
        </a:ln>
      </xdr:spPr>
    </xdr:pic>
    <xdr:clientData/>
  </xdr:twoCellAnchor>
  <xdr:twoCellAnchor editAs="oneCell">
    <xdr:from>
      <xdr:col>2</xdr:col>
      <xdr:colOff>38160</xdr:colOff>
      <xdr:row>46</xdr:row>
      <xdr:rowOff>144000</xdr:rowOff>
    </xdr:from>
    <xdr:to>
      <xdr:col>2</xdr:col>
      <xdr:colOff>1208880</xdr:colOff>
      <xdr:row>46</xdr:row>
      <xdr:rowOff>1315440</xdr:rowOff>
    </xdr:to>
    <xdr:pic>
      <xdr:nvPicPr>
        <xdr:cNvPr id="936" name="图片 18" descr="fea66c8906d9a4f7fc9dedf518ee77b1_"/>
        <xdr:cNvPicPr/>
      </xdr:nvPicPr>
      <xdr:blipFill>
        <a:blip r:embed="rId21"/>
        <a:stretch/>
      </xdr:blipFill>
      <xdr:spPr>
        <a:xfrm>
          <a:off x="5605920" y="60370560"/>
          <a:ext cx="1170720" cy="1171440"/>
        </a:xfrm>
        <a:prstGeom prst="rect">
          <a:avLst/>
        </a:prstGeom>
        <a:noFill/>
        <a:ln w="9525">
          <a:noFill/>
        </a:ln>
      </xdr:spPr>
    </xdr:pic>
    <xdr:clientData/>
  </xdr:twoCellAnchor>
  <xdr:twoCellAnchor editAs="oneCell">
    <xdr:from>
      <xdr:col>2</xdr:col>
      <xdr:colOff>38160</xdr:colOff>
      <xdr:row>43</xdr:row>
      <xdr:rowOff>146880</xdr:rowOff>
    </xdr:from>
    <xdr:to>
      <xdr:col>2</xdr:col>
      <xdr:colOff>1208880</xdr:colOff>
      <xdr:row>43</xdr:row>
      <xdr:rowOff>1313280</xdr:rowOff>
    </xdr:to>
    <xdr:pic>
      <xdr:nvPicPr>
        <xdr:cNvPr id="937" name="图片 19" descr="40ed3fcb3d9dd55ff60d8d8ae7c5ccd9_"/>
        <xdr:cNvPicPr/>
      </xdr:nvPicPr>
      <xdr:blipFill>
        <a:blip r:embed="rId22"/>
        <a:stretch/>
      </xdr:blipFill>
      <xdr:spPr>
        <a:xfrm>
          <a:off x="5605920" y="55991880"/>
          <a:ext cx="1170720" cy="1166400"/>
        </a:xfrm>
        <a:prstGeom prst="rect">
          <a:avLst/>
        </a:prstGeom>
        <a:noFill/>
        <a:ln w="9525">
          <a:noFill/>
        </a:ln>
      </xdr:spPr>
    </xdr:pic>
    <xdr:clientData/>
  </xdr:twoCellAnchor>
  <xdr:twoCellAnchor editAs="oneCell">
    <xdr:from>
      <xdr:col>2</xdr:col>
      <xdr:colOff>38160</xdr:colOff>
      <xdr:row>44</xdr:row>
      <xdr:rowOff>146880</xdr:rowOff>
    </xdr:from>
    <xdr:to>
      <xdr:col>2</xdr:col>
      <xdr:colOff>1208880</xdr:colOff>
      <xdr:row>44</xdr:row>
      <xdr:rowOff>1313280</xdr:rowOff>
    </xdr:to>
    <xdr:pic>
      <xdr:nvPicPr>
        <xdr:cNvPr id="938" name="图片 20" descr="f51edf39f754727ff77333a19b2fc52b_"/>
        <xdr:cNvPicPr/>
      </xdr:nvPicPr>
      <xdr:blipFill>
        <a:blip r:embed="rId23"/>
        <a:stretch/>
      </xdr:blipFill>
      <xdr:spPr>
        <a:xfrm>
          <a:off x="5605920" y="57452400"/>
          <a:ext cx="1170720" cy="1166400"/>
        </a:xfrm>
        <a:prstGeom prst="rect">
          <a:avLst/>
        </a:prstGeom>
        <a:noFill/>
        <a:ln w="9525">
          <a:noFill/>
        </a:ln>
      </xdr:spPr>
    </xdr:pic>
    <xdr:clientData/>
  </xdr:twoCellAnchor>
  <xdr:twoCellAnchor editAs="oneCell">
    <xdr:from>
      <xdr:col>2</xdr:col>
      <xdr:colOff>38160</xdr:colOff>
      <xdr:row>42</xdr:row>
      <xdr:rowOff>146880</xdr:rowOff>
    </xdr:from>
    <xdr:to>
      <xdr:col>2</xdr:col>
      <xdr:colOff>1208880</xdr:colOff>
      <xdr:row>42</xdr:row>
      <xdr:rowOff>1313280</xdr:rowOff>
    </xdr:to>
    <xdr:pic>
      <xdr:nvPicPr>
        <xdr:cNvPr id="939" name="图片 21" descr="9987010d1dfab485451fe3831848fa9b_"/>
        <xdr:cNvPicPr/>
      </xdr:nvPicPr>
      <xdr:blipFill>
        <a:blip r:embed="rId24"/>
        <a:stretch/>
      </xdr:blipFill>
      <xdr:spPr>
        <a:xfrm>
          <a:off x="5605920" y="54531360"/>
          <a:ext cx="1170720" cy="1166400"/>
        </a:xfrm>
        <a:prstGeom prst="rect">
          <a:avLst/>
        </a:prstGeom>
        <a:noFill/>
        <a:ln w="9525">
          <a:noFill/>
        </a:ln>
      </xdr:spPr>
    </xdr:pic>
    <xdr:clientData/>
  </xdr:twoCellAnchor>
  <xdr:twoCellAnchor editAs="oneCell">
    <xdr:from>
      <xdr:col>1</xdr:col>
      <xdr:colOff>38160</xdr:colOff>
      <xdr:row>36</xdr:row>
      <xdr:rowOff>140760</xdr:rowOff>
    </xdr:from>
    <xdr:to>
      <xdr:col>1</xdr:col>
      <xdr:colOff>1208880</xdr:colOff>
      <xdr:row>36</xdr:row>
      <xdr:rowOff>1319040</xdr:rowOff>
    </xdr:to>
    <xdr:pic>
      <xdr:nvPicPr>
        <xdr:cNvPr id="940" name="图片 29" descr="1_副本"/>
        <xdr:cNvPicPr/>
      </xdr:nvPicPr>
      <xdr:blipFill>
        <a:blip r:embed="rId25"/>
        <a:stretch/>
      </xdr:blipFill>
      <xdr:spPr>
        <a:xfrm>
          <a:off x="4039920" y="45762480"/>
          <a:ext cx="1170720" cy="1178280"/>
        </a:xfrm>
        <a:prstGeom prst="rect">
          <a:avLst/>
        </a:prstGeom>
        <a:noFill/>
        <a:ln w="9525">
          <a:noFill/>
        </a:ln>
      </xdr:spPr>
    </xdr:pic>
    <xdr:clientData/>
  </xdr:twoCellAnchor>
  <xdr:twoCellAnchor editAs="oneCell">
    <xdr:from>
      <xdr:col>1</xdr:col>
      <xdr:colOff>38160</xdr:colOff>
      <xdr:row>37</xdr:row>
      <xdr:rowOff>143280</xdr:rowOff>
    </xdr:from>
    <xdr:to>
      <xdr:col>1</xdr:col>
      <xdr:colOff>1208880</xdr:colOff>
      <xdr:row>37</xdr:row>
      <xdr:rowOff>1316520</xdr:rowOff>
    </xdr:to>
    <xdr:pic>
      <xdr:nvPicPr>
        <xdr:cNvPr id="941" name="图片 46" descr="1_副本"/>
        <xdr:cNvPicPr/>
      </xdr:nvPicPr>
      <xdr:blipFill>
        <a:blip r:embed="rId26"/>
        <a:stretch/>
      </xdr:blipFill>
      <xdr:spPr>
        <a:xfrm>
          <a:off x="4039920" y="47225520"/>
          <a:ext cx="1170720" cy="1173240"/>
        </a:xfrm>
        <a:prstGeom prst="rect">
          <a:avLst/>
        </a:prstGeom>
        <a:noFill/>
        <a:ln w="9525">
          <a:noFill/>
        </a:ln>
      </xdr:spPr>
    </xdr:pic>
    <xdr:clientData/>
  </xdr:twoCellAnchor>
  <xdr:twoCellAnchor editAs="oneCell">
    <xdr:from>
      <xdr:col>2</xdr:col>
      <xdr:colOff>38160</xdr:colOff>
      <xdr:row>40</xdr:row>
      <xdr:rowOff>143280</xdr:rowOff>
    </xdr:from>
    <xdr:to>
      <xdr:col>2</xdr:col>
      <xdr:colOff>1208880</xdr:colOff>
      <xdr:row>40</xdr:row>
      <xdr:rowOff>1316520</xdr:rowOff>
    </xdr:to>
    <xdr:pic>
      <xdr:nvPicPr>
        <xdr:cNvPr id="942" name="图片 38" descr="白底"/>
        <xdr:cNvPicPr/>
      </xdr:nvPicPr>
      <xdr:blipFill>
        <a:blip r:embed="rId27"/>
        <a:stretch/>
      </xdr:blipFill>
      <xdr:spPr>
        <a:xfrm>
          <a:off x="5605920" y="51606720"/>
          <a:ext cx="1170720" cy="1173240"/>
        </a:xfrm>
        <a:prstGeom prst="rect">
          <a:avLst/>
        </a:prstGeom>
        <a:noFill/>
        <a:ln w="9525">
          <a:noFill/>
        </a:ln>
      </xdr:spPr>
    </xdr:pic>
    <xdr:clientData/>
  </xdr:twoCellAnchor>
  <xdr:twoCellAnchor editAs="oneCell">
    <xdr:from>
      <xdr:col>1</xdr:col>
      <xdr:colOff>38160</xdr:colOff>
      <xdr:row>35</xdr:row>
      <xdr:rowOff>143640</xdr:rowOff>
    </xdr:from>
    <xdr:to>
      <xdr:col>1</xdr:col>
      <xdr:colOff>1208880</xdr:colOff>
      <xdr:row>35</xdr:row>
      <xdr:rowOff>1316160</xdr:rowOff>
    </xdr:to>
    <xdr:pic>
      <xdr:nvPicPr>
        <xdr:cNvPr id="943" name="图片 62" descr="1(1)"/>
        <xdr:cNvPicPr/>
      </xdr:nvPicPr>
      <xdr:blipFill>
        <a:blip r:embed="rId28"/>
        <a:stretch/>
      </xdr:blipFill>
      <xdr:spPr>
        <a:xfrm>
          <a:off x="4039920" y="44304840"/>
          <a:ext cx="1170720" cy="1172520"/>
        </a:xfrm>
        <a:prstGeom prst="rect">
          <a:avLst/>
        </a:prstGeom>
        <a:noFill/>
        <a:ln w="9525">
          <a:noFill/>
        </a:ln>
      </xdr:spPr>
    </xdr:pic>
    <xdr:clientData/>
  </xdr:twoCellAnchor>
  <xdr:twoCellAnchor editAs="oneCell">
    <xdr:from>
      <xdr:col>1</xdr:col>
      <xdr:colOff>38160</xdr:colOff>
      <xdr:row>34</xdr:row>
      <xdr:rowOff>143280</xdr:rowOff>
    </xdr:from>
    <xdr:to>
      <xdr:col>1</xdr:col>
      <xdr:colOff>1208880</xdr:colOff>
      <xdr:row>34</xdr:row>
      <xdr:rowOff>1316520</xdr:rowOff>
    </xdr:to>
    <xdr:pic>
      <xdr:nvPicPr>
        <xdr:cNvPr id="944" name="图片 68" descr="1"/>
        <xdr:cNvPicPr/>
      </xdr:nvPicPr>
      <xdr:blipFill>
        <a:blip r:embed="rId29"/>
        <a:stretch/>
      </xdr:blipFill>
      <xdr:spPr>
        <a:xfrm>
          <a:off x="4039920" y="42843960"/>
          <a:ext cx="1170720" cy="1173240"/>
        </a:xfrm>
        <a:prstGeom prst="rect">
          <a:avLst/>
        </a:prstGeom>
        <a:noFill/>
        <a:ln w="9525">
          <a:noFill/>
        </a:ln>
      </xdr:spPr>
    </xdr:pic>
    <xdr:clientData/>
  </xdr:twoCellAnchor>
  <xdr:twoCellAnchor editAs="oneCell">
    <xdr:from>
      <xdr:col>2</xdr:col>
      <xdr:colOff>38160</xdr:colOff>
      <xdr:row>35</xdr:row>
      <xdr:rowOff>143280</xdr:rowOff>
    </xdr:from>
    <xdr:to>
      <xdr:col>2</xdr:col>
      <xdr:colOff>1208880</xdr:colOff>
      <xdr:row>35</xdr:row>
      <xdr:rowOff>1316520</xdr:rowOff>
    </xdr:to>
    <xdr:pic>
      <xdr:nvPicPr>
        <xdr:cNvPr id="945" name="图片 69" descr="9(1)"/>
        <xdr:cNvPicPr/>
      </xdr:nvPicPr>
      <xdr:blipFill>
        <a:blip r:embed="rId30"/>
        <a:stretch/>
      </xdr:blipFill>
      <xdr:spPr>
        <a:xfrm>
          <a:off x="5605920" y="44304480"/>
          <a:ext cx="1170720" cy="1173240"/>
        </a:xfrm>
        <a:prstGeom prst="rect">
          <a:avLst/>
        </a:prstGeom>
        <a:noFill/>
        <a:ln w="9525">
          <a:noFill/>
        </a:ln>
      </xdr:spPr>
    </xdr:pic>
    <xdr:clientData/>
  </xdr:twoCellAnchor>
  <xdr:twoCellAnchor editAs="oneCell">
    <xdr:from>
      <xdr:col>2</xdr:col>
      <xdr:colOff>38160</xdr:colOff>
      <xdr:row>32</xdr:row>
      <xdr:rowOff>147600</xdr:rowOff>
    </xdr:from>
    <xdr:to>
      <xdr:col>2</xdr:col>
      <xdr:colOff>1208880</xdr:colOff>
      <xdr:row>32</xdr:row>
      <xdr:rowOff>1312200</xdr:rowOff>
    </xdr:to>
    <xdr:pic>
      <xdr:nvPicPr>
        <xdr:cNvPr id="946" name="图片 73" descr="9"/>
        <xdr:cNvPicPr/>
      </xdr:nvPicPr>
      <xdr:blipFill>
        <a:blip r:embed="rId31"/>
        <a:stretch/>
      </xdr:blipFill>
      <xdr:spPr>
        <a:xfrm>
          <a:off x="5605920" y="39927240"/>
          <a:ext cx="1170720" cy="1164600"/>
        </a:xfrm>
        <a:prstGeom prst="rect">
          <a:avLst/>
        </a:prstGeom>
        <a:noFill/>
        <a:ln w="9525">
          <a:noFill/>
        </a:ln>
      </xdr:spPr>
    </xdr:pic>
    <xdr:clientData/>
  </xdr:twoCellAnchor>
  <xdr:twoCellAnchor editAs="oneCell">
    <xdr:from>
      <xdr:col>1</xdr:col>
      <xdr:colOff>38160</xdr:colOff>
      <xdr:row>32</xdr:row>
      <xdr:rowOff>143280</xdr:rowOff>
    </xdr:from>
    <xdr:to>
      <xdr:col>1</xdr:col>
      <xdr:colOff>1208880</xdr:colOff>
      <xdr:row>32</xdr:row>
      <xdr:rowOff>1316520</xdr:rowOff>
    </xdr:to>
    <xdr:pic>
      <xdr:nvPicPr>
        <xdr:cNvPr id="947" name="图片 96" descr="1"/>
        <xdr:cNvPicPr/>
      </xdr:nvPicPr>
      <xdr:blipFill>
        <a:blip r:embed="rId32"/>
        <a:stretch/>
      </xdr:blipFill>
      <xdr:spPr>
        <a:xfrm>
          <a:off x="4039920" y="39922920"/>
          <a:ext cx="1170720" cy="1173240"/>
        </a:xfrm>
        <a:prstGeom prst="rect">
          <a:avLst/>
        </a:prstGeom>
        <a:noFill/>
        <a:ln w="9525">
          <a:noFill/>
        </a:ln>
      </xdr:spPr>
    </xdr:pic>
    <xdr:clientData/>
  </xdr:twoCellAnchor>
  <xdr:twoCellAnchor editAs="oneCell">
    <xdr:from>
      <xdr:col>2</xdr:col>
      <xdr:colOff>38160</xdr:colOff>
      <xdr:row>33</xdr:row>
      <xdr:rowOff>141480</xdr:rowOff>
    </xdr:from>
    <xdr:to>
      <xdr:col>2</xdr:col>
      <xdr:colOff>1208880</xdr:colOff>
      <xdr:row>33</xdr:row>
      <xdr:rowOff>1317960</xdr:rowOff>
    </xdr:to>
    <xdr:pic>
      <xdr:nvPicPr>
        <xdr:cNvPr id="948" name="图片 97" descr="9"/>
        <xdr:cNvPicPr/>
      </xdr:nvPicPr>
      <xdr:blipFill>
        <a:blip r:embed="rId33"/>
        <a:stretch/>
      </xdr:blipFill>
      <xdr:spPr>
        <a:xfrm>
          <a:off x="5605920" y="41381640"/>
          <a:ext cx="1170720" cy="1176480"/>
        </a:xfrm>
        <a:prstGeom prst="rect">
          <a:avLst/>
        </a:prstGeom>
        <a:noFill/>
        <a:ln w="9525">
          <a:noFill/>
        </a:ln>
      </xdr:spPr>
    </xdr:pic>
    <xdr:clientData/>
  </xdr:twoCellAnchor>
  <xdr:twoCellAnchor editAs="oneCell">
    <xdr:from>
      <xdr:col>1</xdr:col>
      <xdr:colOff>38160</xdr:colOff>
      <xdr:row>33</xdr:row>
      <xdr:rowOff>146880</xdr:rowOff>
    </xdr:from>
    <xdr:to>
      <xdr:col>1</xdr:col>
      <xdr:colOff>1208880</xdr:colOff>
      <xdr:row>33</xdr:row>
      <xdr:rowOff>1313280</xdr:rowOff>
    </xdr:to>
    <xdr:pic>
      <xdr:nvPicPr>
        <xdr:cNvPr id="949" name="图片 100" descr="1"/>
        <xdr:cNvPicPr/>
      </xdr:nvPicPr>
      <xdr:blipFill>
        <a:blip r:embed="rId34"/>
        <a:stretch/>
      </xdr:blipFill>
      <xdr:spPr>
        <a:xfrm>
          <a:off x="4039920" y="41387040"/>
          <a:ext cx="1170720" cy="1166400"/>
        </a:xfrm>
        <a:prstGeom prst="rect">
          <a:avLst/>
        </a:prstGeom>
        <a:noFill/>
        <a:ln w="9525">
          <a:noFill/>
        </a:ln>
      </xdr:spPr>
    </xdr:pic>
    <xdr:clientData/>
  </xdr:twoCellAnchor>
  <xdr:twoCellAnchor editAs="oneCell">
    <xdr:from>
      <xdr:col>1</xdr:col>
      <xdr:colOff>38160</xdr:colOff>
      <xdr:row>31</xdr:row>
      <xdr:rowOff>143280</xdr:rowOff>
    </xdr:from>
    <xdr:to>
      <xdr:col>1</xdr:col>
      <xdr:colOff>1208880</xdr:colOff>
      <xdr:row>31</xdr:row>
      <xdr:rowOff>1316520</xdr:rowOff>
    </xdr:to>
    <xdr:pic>
      <xdr:nvPicPr>
        <xdr:cNvPr id="950" name="图片 159" descr="1"/>
        <xdr:cNvPicPr/>
      </xdr:nvPicPr>
      <xdr:blipFill>
        <a:blip r:embed="rId35"/>
        <a:stretch/>
      </xdr:blipFill>
      <xdr:spPr>
        <a:xfrm>
          <a:off x="4039920" y="38462400"/>
          <a:ext cx="1170720" cy="1173240"/>
        </a:xfrm>
        <a:prstGeom prst="rect">
          <a:avLst/>
        </a:prstGeom>
        <a:noFill/>
        <a:ln w="9525">
          <a:noFill/>
        </a:ln>
      </xdr:spPr>
    </xdr:pic>
    <xdr:clientData/>
  </xdr:twoCellAnchor>
  <xdr:twoCellAnchor editAs="oneCell">
    <xdr:from>
      <xdr:col>2</xdr:col>
      <xdr:colOff>38160</xdr:colOff>
      <xdr:row>38</xdr:row>
      <xdr:rowOff>142560</xdr:rowOff>
    </xdr:from>
    <xdr:to>
      <xdr:col>2</xdr:col>
      <xdr:colOff>1208880</xdr:colOff>
      <xdr:row>38</xdr:row>
      <xdr:rowOff>1316880</xdr:rowOff>
    </xdr:to>
    <xdr:pic>
      <xdr:nvPicPr>
        <xdr:cNvPr id="951" name="图片 131" descr="bh85 (1)"/>
        <xdr:cNvPicPr/>
      </xdr:nvPicPr>
      <xdr:blipFill>
        <a:blip r:embed="rId36"/>
        <a:stretch/>
      </xdr:blipFill>
      <xdr:spPr>
        <a:xfrm>
          <a:off x="5605920" y="48684960"/>
          <a:ext cx="1170720" cy="1174320"/>
        </a:xfrm>
        <a:prstGeom prst="rect">
          <a:avLst/>
        </a:prstGeom>
        <a:noFill/>
        <a:ln w="9525">
          <a:noFill/>
        </a:ln>
      </xdr:spPr>
    </xdr:pic>
    <xdr:clientData/>
  </xdr:twoCellAnchor>
  <xdr:twoCellAnchor editAs="oneCell">
    <xdr:from>
      <xdr:col>1</xdr:col>
      <xdr:colOff>38160</xdr:colOff>
      <xdr:row>29</xdr:row>
      <xdr:rowOff>146160</xdr:rowOff>
    </xdr:from>
    <xdr:to>
      <xdr:col>1</xdr:col>
      <xdr:colOff>1208880</xdr:colOff>
      <xdr:row>29</xdr:row>
      <xdr:rowOff>1313640</xdr:rowOff>
    </xdr:to>
    <xdr:pic>
      <xdr:nvPicPr>
        <xdr:cNvPr id="952" name="图片 9" descr="01"/>
        <xdr:cNvPicPr/>
      </xdr:nvPicPr>
      <xdr:blipFill>
        <a:blip r:embed="rId37"/>
        <a:stretch/>
      </xdr:blipFill>
      <xdr:spPr>
        <a:xfrm>
          <a:off x="4039920" y="35544240"/>
          <a:ext cx="1170720" cy="1167480"/>
        </a:xfrm>
        <a:prstGeom prst="rect">
          <a:avLst/>
        </a:prstGeom>
        <a:noFill/>
        <a:ln w="9525">
          <a:noFill/>
        </a:ln>
      </xdr:spPr>
    </xdr:pic>
    <xdr:clientData/>
  </xdr:twoCellAnchor>
  <xdr:twoCellAnchor editAs="oneCell">
    <xdr:from>
      <xdr:col>2</xdr:col>
      <xdr:colOff>38160</xdr:colOff>
      <xdr:row>29</xdr:row>
      <xdr:rowOff>143280</xdr:rowOff>
    </xdr:from>
    <xdr:to>
      <xdr:col>2</xdr:col>
      <xdr:colOff>1208880</xdr:colOff>
      <xdr:row>29</xdr:row>
      <xdr:rowOff>1316520</xdr:rowOff>
    </xdr:to>
    <xdr:pic>
      <xdr:nvPicPr>
        <xdr:cNvPr id="953" name="图片 10" descr="09"/>
        <xdr:cNvPicPr/>
      </xdr:nvPicPr>
      <xdr:blipFill>
        <a:blip r:embed="rId38"/>
        <a:stretch/>
      </xdr:blipFill>
      <xdr:spPr>
        <a:xfrm>
          <a:off x="5605920" y="35541360"/>
          <a:ext cx="1170720" cy="1173240"/>
        </a:xfrm>
        <a:prstGeom prst="rect">
          <a:avLst/>
        </a:prstGeom>
        <a:noFill/>
        <a:ln w="9525">
          <a:noFill/>
        </a:ln>
      </xdr:spPr>
    </xdr:pic>
    <xdr:clientData/>
  </xdr:twoCellAnchor>
  <xdr:twoCellAnchor editAs="oneCell">
    <xdr:from>
      <xdr:col>1</xdr:col>
      <xdr:colOff>38160</xdr:colOff>
      <xdr:row>30</xdr:row>
      <xdr:rowOff>146880</xdr:rowOff>
    </xdr:from>
    <xdr:to>
      <xdr:col>1</xdr:col>
      <xdr:colOff>1208880</xdr:colOff>
      <xdr:row>30</xdr:row>
      <xdr:rowOff>1313280</xdr:rowOff>
    </xdr:to>
    <xdr:pic>
      <xdr:nvPicPr>
        <xdr:cNvPr id="954" name="图片 23" descr="01"/>
        <xdr:cNvPicPr/>
      </xdr:nvPicPr>
      <xdr:blipFill>
        <a:blip r:embed="rId39"/>
        <a:stretch/>
      </xdr:blipFill>
      <xdr:spPr>
        <a:xfrm>
          <a:off x="4039920" y="37005480"/>
          <a:ext cx="1170720" cy="1166400"/>
        </a:xfrm>
        <a:prstGeom prst="rect">
          <a:avLst/>
        </a:prstGeom>
        <a:noFill/>
        <a:ln w="9525">
          <a:noFill/>
        </a:ln>
      </xdr:spPr>
    </xdr:pic>
    <xdr:clientData/>
  </xdr:twoCellAnchor>
  <xdr:twoCellAnchor editAs="oneCell">
    <xdr:from>
      <xdr:col>2</xdr:col>
      <xdr:colOff>38160</xdr:colOff>
      <xdr:row>30</xdr:row>
      <xdr:rowOff>144000</xdr:rowOff>
    </xdr:from>
    <xdr:to>
      <xdr:col>2</xdr:col>
      <xdr:colOff>1208880</xdr:colOff>
      <xdr:row>30</xdr:row>
      <xdr:rowOff>1316160</xdr:rowOff>
    </xdr:to>
    <xdr:pic>
      <xdr:nvPicPr>
        <xdr:cNvPr id="955" name="图片 25" descr="09"/>
        <xdr:cNvPicPr/>
      </xdr:nvPicPr>
      <xdr:blipFill>
        <a:blip r:embed="rId40"/>
        <a:stretch/>
      </xdr:blipFill>
      <xdr:spPr>
        <a:xfrm>
          <a:off x="5605920" y="37002600"/>
          <a:ext cx="1170720" cy="1172160"/>
        </a:xfrm>
        <a:prstGeom prst="rect">
          <a:avLst/>
        </a:prstGeom>
        <a:noFill/>
        <a:ln w="9525">
          <a:noFill/>
        </a:ln>
      </xdr:spPr>
    </xdr:pic>
    <xdr:clientData/>
  </xdr:twoCellAnchor>
  <xdr:twoCellAnchor editAs="oneCell">
    <xdr:from>
      <xdr:col>1</xdr:col>
      <xdr:colOff>38160</xdr:colOff>
      <xdr:row>28</xdr:row>
      <xdr:rowOff>143280</xdr:rowOff>
    </xdr:from>
    <xdr:to>
      <xdr:col>1</xdr:col>
      <xdr:colOff>1208880</xdr:colOff>
      <xdr:row>28</xdr:row>
      <xdr:rowOff>1316520</xdr:rowOff>
    </xdr:to>
    <xdr:pic>
      <xdr:nvPicPr>
        <xdr:cNvPr id="956" name="图片 24" descr="3"/>
        <xdr:cNvPicPr/>
      </xdr:nvPicPr>
      <xdr:blipFill>
        <a:blip r:embed="rId41"/>
        <a:stretch/>
      </xdr:blipFill>
      <xdr:spPr>
        <a:xfrm>
          <a:off x="4039920" y="34080840"/>
          <a:ext cx="1170720" cy="1173240"/>
        </a:xfrm>
        <a:prstGeom prst="rect">
          <a:avLst/>
        </a:prstGeom>
        <a:noFill/>
        <a:ln w="9525">
          <a:noFill/>
        </a:ln>
      </xdr:spPr>
    </xdr:pic>
    <xdr:clientData/>
  </xdr:twoCellAnchor>
  <xdr:twoCellAnchor editAs="oneCell">
    <xdr:from>
      <xdr:col>2</xdr:col>
      <xdr:colOff>38160</xdr:colOff>
      <xdr:row>28</xdr:row>
      <xdr:rowOff>146520</xdr:rowOff>
    </xdr:from>
    <xdr:to>
      <xdr:col>2</xdr:col>
      <xdr:colOff>1208880</xdr:colOff>
      <xdr:row>28</xdr:row>
      <xdr:rowOff>1313280</xdr:rowOff>
    </xdr:to>
    <xdr:pic>
      <xdr:nvPicPr>
        <xdr:cNvPr id="957" name="图片 32" descr="8"/>
        <xdr:cNvPicPr/>
      </xdr:nvPicPr>
      <xdr:blipFill>
        <a:blip r:embed="rId42"/>
        <a:stretch/>
      </xdr:blipFill>
      <xdr:spPr>
        <a:xfrm>
          <a:off x="5605920" y="34084080"/>
          <a:ext cx="1170720" cy="1166760"/>
        </a:xfrm>
        <a:prstGeom prst="rect">
          <a:avLst/>
        </a:prstGeom>
        <a:noFill/>
        <a:ln w="9525">
          <a:noFill/>
        </a:ln>
      </xdr:spPr>
    </xdr:pic>
    <xdr:clientData/>
  </xdr:twoCellAnchor>
  <xdr:twoCellAnchor editAs="oneCell">
    <xdr:from>
      <xdr:col>2</xdr:col>
      <xdr:colOff>38160</xdr:colOff>
      <xdr:row>52</xdr:row>
      <xdr:rowOff>145800</xdr:rowOff>
    </xdr:from>
    <xdr:to>
      <xdr:col>2</xdr:col>
      <xdr:colOff>1208880</xdr:colOff>
      <xdr:row>52</xdr:row>
      <xdr:rowOff>1313640</xdr:rowOff>
    </xdr:to>
    <xdr:pic>
      <xdr:nvPicPr>
        <xdr:cNvPr id="958" name="图片 9" descr="C:/Users/Ray/AppData/Local/Temp/picturecompress_20210720165142/output_63.jpgoutput_63"/>
        <xdr:cNvPicPr/>
      </xdr:nvPicPr>
      <xdr:blipFill>
        <a:blip r:embed="rId43"/>
        <a:stretch/>
      </xdr:blipFill>
      <xdr:spPr>
        <a:xfrm>
          <a:off x="5605920" y="69008400"/>
          <a:ext cx="1170720" cy="1167840"/>
        </a:xfrm>
        <a:prstGeom prst="rect">
          <a:avLst/>
        </a:prstGeom>
        <a:noFill/>
        <a:ln w="9525">
          <a:noFill/>
        </a:ln>
      </xdr:spPr>
    </xdr:pic>
    <xdr:clientData/>
  </xdr:twoCellAnchor>
  <xdr:twoCellAnchor editAs="oneCell">
    <xdr:from>
      <xdr:col>1</xdr:col>
      <xdr:colOff>38160</xdr:colOff>
      <xdr:row>52</xdr:row>
      <xdr:rowOff>173160</xdr:rowOff>
    </xdr:from>
    <xdr:to>
      <xdr:col>1</xdr:col>
      <xdr:colOff>1208880</xdr:colOff>
      <xdr:row>52</xdr:row>
      <xdr:rowOff>1286640</xdr:rowOff>
    </xdr:to>
    <xdr:pic>
      <xdr:nvPicPr>
        <xdr:cNvPr id="959" name="图片 18" descr="C:/Users/Ray/AppData/Local/Temp/picturecompress_20210720165142/output_101.jpgoutput_101"/>
        <xdr:cNvPicPr/>
      </xdr:nvPicPr>
      <xdr:blipFill>
        <a:blip r:embed="rId44"/>
        <a:stretch/>
      </xdr:blipFill>
      <xdr:spPr>
        <a:xfrm>
          <a:off x="4039920" y="69035760"/>
          <a:ext cx="1170720" cy="1113480"/>
        </a:xfrm>
        <a:prstGeom prst="rect">
          <a:avLst/>
        </a:prstGeom>
        <a:noFill/>
        <a:ln w="9525">
          <a:noFill/>
        </a:ln>
      </xdr:spPr>
    </xdr:pic>
    <xdr:clientData/>
  </xdr:twoCellAnchor>
  <xdr:twoCellAnchor editAs="oneCell">
    <xdr:from>
      <xdr:col>1</xdr:col>
      <xdr:colOff>38160</xdr:colOff>
      <xdr:row>6</xdr:row>
      <xdr:rowOff>143640</xdr:rowOff>
    </xdr:from>
    <xdr:to>
      <xdr:col>1</xdr:col>
      <xdr:colOff>1208880</xdr:colOff>
      <xdr:row>6</xdr:row>
      <xdr:rowOff>1316160</xdr:rowOff>
    </xdr:to>
    <xdr:pic>
      <xdr:nvPicPr>
        <xdr:cNvPr id="960" name="图片 36" descr="1(5)"/>
        <xdr:cNvPicPr/>
      </xdr:nvPicPr>
      <xdr:blipFill>
        <a:blip r:embed="rId45"/>
        <a:stretch/>
      </xdr:blipFill>
      <xdr:spPr>
        <a:xfrm>
          <a:off x="4039920" y="4461480"/>
          <a:ext cx="1170720" cy="1172520"/>
        </a:xfrm>
        <a:prstGeom prst="rect">
          <a:avLst/>
        </a:prstGeom>
        <a:noFill/>
        <a:ln w="9525">
          <a:noFill/>
        </a:ln>
      </xdr:spPr>
    </xdr:pic>
    <xdr:clientData/>
  </xdr:twoCellAnchor>
  <xdr:twoCellAnchor editAs="oneCell">
    <xdr:from>
      <xdr:col>1</xdr:col>
      <xdr:colOff>38160</xdr:colOff>
      <xdr:row>7</xdr:row>
      <xdr:rowOff>143280</xdr:rowOff>
    </xdr:from>
    <xdr:to>
      <xdr:col>1</xdr:col>
      <xdr:colOff>1208880</xdr:colOff>
      <xdr:row>7</xdr:row>
      <xdr:rowOff>1316520</xdr:rowOff>
    </xdr:to>
    <xdr:pic>
      <xdr:nvPicPr>
        <xdr:cNvPr id="961" name="图片 44" descr="1(6)"/>
        <xdr:cNvPicPr/>
      </xdr:nvPicPr>
      <xdr:blipFill>
        <a:blip r:embed="rId46"/>
        <a:stretch/>
      </xdr:blipFill>
      <xdr:spPr>
        <a:xfrm>
          <a:off x="4039920" y="5921640"/>
          <a:ext cx="1170720" cy="1173240"/>
        </a:xfrm>
        <a:prstGeom prst="rect">
          <a:avLst/>
        </a:prstGeom>
        <a:noFill/>
        <a:ln w="9525">
          <a:noFill/>
        </a:ln>
      </xdr:spPr>
    </xdr:pic>
    <xdr:clientData/>
  </xdr:twoCellAnchor>
  <xdr:twoCellAnchor editAs="oneCell">
    <xdr:from>
      <xdr:col>0</xdr:col>
      <xdr:colOff>9360</xdr:colOff>
      <xdr:row>6</xdr:row>
      <xdr:rowOff>12240</xdr:rowOff>
    </xdr:from>
    <xdr:to>
      <xdr:col>0</xdr:col>
      <xdr:colOff>837360</xdr:colOff>
      <xdr:row>6</xdr:row>
      <xdr:rowOff>309240</xdr:rowOff>
    </xdr:to>
    <xdr:pic>
      <xdr:nvPicPr>
        <xdr:cNvPr id="962" name="图片 67" descr="无线充"/>
        <xdr:cNvPicPr/>
      </xdr:nvPicPr>
      <xdr:blipFill>
        <a:blip r:embed="rId47"/>
        <a:stretch/>
      </xdr:blipFill>
      <xdr:spPr>
        <a:xfrm>
          <a:off x="9360" y="4330080"/>
          <a:ext cx="828000" cy="297000"/>
        </a:xfrm>
        <a:prstGeom prst="rect">
          <a:avLst/>
        </a:prstGeom>
        <a:noFill/>
        <a:ln w="9525">
          <a:noFill/>
        </a:ln>
      </xdr:spPr>
    </xdr:pic>
    <xdr:clientData/>
  </xdr:twoCellAnchor>
  <xdr:twoCellAnchor editAs="oneCell">
    <xdr:from>
      <xdr:col>0</xdr:col>
      <xdr:colOff>9360</xdr:colOff>
      <xdr:row>7</xdr:row>
      <xdr:rowOff>12240</xdr:rowOff>
    </xdr:from>
    <xdr:to>
      <xdr:col>0</xdr:col>
      <xdr:colOff>837360</xdr:colOff>
      <xdr:row>7</xdr:row>
      <xdr:rowOff>309240</xdr:rowOff>
    </xdr:to>
    <xdr:pic>
      <xdr:nvPicPr>
        <xdr:cNvPr id="963" name="图片 70" descr="无线充"/>
        <xdr:cNvPicPr/>
      </xdr:nvPicPr>
      <xdr:blipFill>
        <a:blip r:embed="rId48"/>
        <a:stretch/>
      </xdr:blipFill>
      <xdr:spPr>
        <a:xfrm>
          <a:off x="9360" y="5790600"/>
          <a:ext cx="828000" cy="297000"/>
        </a:xfrm>
        <a:prstGeom prst="rect">
          <a:avLst/>
        </a:prstGeom>
        <a:noFill/>
        <a:ln w="9525">
          <a:noFill/>
        </a:ln>
      </xdr:spPr>
    </xdr:pic>
    <xdr:clientData/>
  </xdr:twoCellAnchor>
  <xdr:twoCellAnchor editAs="oneCell">
    <xdr:from>
      <xdr:col>1</xdr:col>
      <xdr:colOff>38160</xdr:colOff>
      <xdr:row>26</xdr:row>
      <xdr:rowOff>140760</xdr:rowOff>
    </xdr:from>
    <xdr:to>
      <xdr:col>1</xdr:col>
      <xdr:colOff>1208880</xdr:colOff>
      <xdr:row>26</xdr:row>
      <xdr:rowOff>1319040</xdr:rowOff>
    </xdr:to>
    <xdr:pic>
      <xdr:nvPicPr>
        <xdr:cNvPr id="964" name="图片 77" descr="1(7)"/>
        <xdr:cNvPicPr/>
      </xdr:nvPicPr>
      <xdr:blipFill>
        <a:blip r:embed="rId49"/>
        <a:stretch/>
      </xdr:blipFill>
      <xdr:spPr>
        <a:xfrm>
          <a:off x="4039920" y="31157280"/>
          <a:ext cx="1170720" cy="1178280"/>
        </a:xfrm>
        <a:prstGeom prst="rect">
          <a:avLst/>
        </a:prstGeom>
        <a:noFill/>
        <a:ln w="9525">
          <a:noFill/>
        </a:ln>
      </xdr:spPr>
    </xdr:pic>
    <xdr:clientData/>
  </xdr:twoCellAnchor>
  <xdr:twoCellAnchor editAs="oneCell">
    <xdr:from>
      <xdr:col>2</xdr:col>
      <xdr:colOff>38160</xdr:colOff>
      <xdr:row>26</xdr:row>
      <xdr:rowOff>144000</xdr:rowOff>
    </xdr:from>
    <xdr:to>
      <xdr:col>2</xdr:col>
      <xdr:colOff>1208880</xdr:colOff>
      <xdr:row>26</xdr:row>
      <xdr:rowOff>1315440</xdr:rowOff>
    </xdr:to>
    <xdr:pic>
      <xdr:nvPicPr>
        <xdr:cNvPr id="965" name="图片 87" descr="9(2)"/>
        <xdr:cNvPicPr/>
      </xdr:nvPicPr>
      <xdr:blipFill>
        <a:blip r:embed="rId50"/>
        <a:stretch/>
      </xdr:blipFill>
      <xdr:spPr>
        <a:xfrm>
          <a:off x="5605920" y="31160520"/>
          <a:ext cx="1170720" cy="1171440"/>
        </a:xfrm>
        <a:prstGeom prst="rect">
          <a:avLst/>
        </a:prstGeom>
        <a:noFill/>
        <a:ln w="9525">
          <a:noFill/>
        </a:ln>
      </xdr:spPr>
    </xdr:pic>
    <xdr:clientData/>
  </xdr:twoCellAnchor>
  <xdr:twoCellAnchor editAs="oneCell">
    <xdr:from>
      <xdr:col>1</xdr:col>
      <xdr:colOff>38160</xdr:colOff>
      <xdr:row>27</xdr:row>
      <xdr:rowOff>143280</xdr:rowOff>
    </xdr:from>
    <xdr:to>
      <xdr:col>1</xdr:col>
      <xdr:colOff>1208880</xdr:colOff>
      <xdr:row>27</xdr:row>
      <xdr:rowOff>1316520</xdr:rowOff>
    </xdr:to>
    <xdr:pic>
      <xdr:nvPicPr>
        <xdr:cNvPr id="966" name="图片 5" descr="1(3)"/>
        <xdr:cNvPicPr/>
      </xdr:nvPicPr>
      <xdr:blipFill>
        <a:blip r:embed="rId51"/>
        <a:stretch/>
      </xdr:blipFill>
      <xdr:spPr>
        <a:xfrm>
          <a:off x="4039920" y="32620320"/>
          <a:ext cx="1170720" cy="1173240"/>
        </a:xfrm>
        <a:prstGeom prst="rect">
          <a:avLst/>
        </a:prstGeom>
        <a:noFill/>
        <a:ln w="9525">
          <a:noFill/>
        </a:ln>
      </xdr:spPr>
    </xdr:pic>
    <xdr:clientData/>
  </xdr:twoCellAnchor>
  <xdr:twoCellAnchor editAs="oneCell">
    <xdr:from>
      <xdr:col>2</xdr:col>
      <xdr:colOff>38160</xdr:colOff>
      <xdr:row>27</xdr:row>
      <xdr:rowOff>145800</xdr:rowOff>
    </xdr:from>
    <xdr:to>
      <xdr:col>2</xdr:col>
      <xdr:colOff>1208880</xdr:colOff>
      <xdr:row>27</xdr:row>
      <xdr:rowOff>1313640</xdr:rowOff>
    </xdr:to>
    <xdr:pic>
      <xdr:nvPicPr>
        <xdr:cNvPr id="967" name="图片 13" descr="9(2)"/>
        <xdr:cNvPicPr/>
      </xdr:nvPicPr>
      <xdr:blipFill>
        <a:blip r:embed="rId52"/>
        <a:stretch/>
      </xdr:blipFill>
      <xdr:spPr>
        <a:xfrm>
          <a:off x="5605920" y="32622840"/>
          <a:ext cx="1170720" cy="1167840"/>
        </a:xfrm>
        <a:prstGeom prst="rect">
          <a:avLst/>
        </a:prstGeom>
        <a:noFill/>
        <a:ln w="9525">
          <a:noFill/>
        </a:ln>
      </xdr:spPr>
    </xdr:pic>
    <xdr:clientData/>
  </xdr:twoCellAnchor>
  <xdr:twoCellAnchor editAs="oneCell">
    <xdr:from>
      <xdr:col>1</xdr:col>
      <xdr:colOff>38160</xdr:colOff>
      <xdr:row>24</xdr:row>
      <xdr:rowOff>86760</xdr:rowOff>
    </xdr:from>
    <xdr:to>
      <xdr:col>1</xdr:col>
      <xdr:colOff>1208880</xdr:colOff>
      <xdr:row>24</xdr:row>
      <xdr:rowOff>1373040</xdr:rowOff>
    </xdr:to>
    <xdr:pic>
      <xdr:nvPicPr>
        <xdr:cNvPr id="968" name="图片 33" descr="01"/>
        <xdr:cNvPicPr/>
      </xdr:nvPicPr>
      <xdr:blipFill>
        <a:blip r:embed="rId53"/>
        <a:stretch/>
      </xdr:blipFill>
      <xdr:spPr>
        <a:xfrm>
          <a:off x="4039920" y="28182240"/>
          <a:ext cx="1170720" cy="1286280"/>
        </a:xfrm>
        <a:prstGeom prst="rect">
          <a:avLst/>
        </a:prstGeom>
        <a:noFill/>
        <a:ln w="9525">
          <a:noFill/>
        </a:ln>
      </xdr:spPr>
    </xdr:pic>
    <xdr:clientData/>
  </xdr:twoCellAnchor>
  <xdr:twoCellAnchor editAs="oneCell">
    <xdr:from>
      <xdr:col>1</xdr:col>
      <xdr:colOff>38160</xdr:colOff>
      <xdr:row>25</xdr:row>
      <xdr:rowOff>143280</xdr:rowOff>
    </xdr:from>
    <xdr:to>
      <xdr:col>1</xdr:col>
      <xdr:colOff>1208880</xdr:colOff>
      <xdr:row>25</xdr:row>
      <xdr:rowOff>1316520</xdr:rowOff>
    </xdr:to>
    <xdr:pic>
      <xdr:nvPicPr>
        <xdr:cNvPr id="969" name="图片 34" descr="01(1)"/>
        <xdr:cNvPicPr/>
      </xdr:nvPicPr>
      <xdr:blipFill>
        <a:blip r:embed="rId54"/>
        <a:stretch/>
      </xdr:blipFill>
      <xdr:spPr>
        <a:xfrm>
          <a:off x="4039920" y="29699280"/>
          <a:ext cx="1170720" cy="1173240"/>
        </a:xfrm>
        <a:prstGeom prst="rect">
          <a:avLst/>
        </a:prstGeom>
        <a:noFill/>
        <a:ln w="9525">
          <a:noFill/>
        </a:ln>
      </xdr:spPr>
    </xdr:pic>
    <xdr:clientData/>
  </xdr:twoCellAnchor>
  <xdr:twoCellAnchor editAs="oneCell">
    <xdr:from>
      <xdr:col>2</xdr:col>
      <xdr:colOff>38160</xdr:colOff>
      <xdr:row>25</xdr:row>
      <xdr:rowOff>143280</xdr:rowOff>
    </xdr:from>
    <xdr:to>
      <xdr:col>2</xdr:col>
      <xdr:colOff>1208880</xdr:colOff>
      <xdr:row>25</xdr:row>
      <xdr:rowOff>1316520</xdr:rowOff>
    </xdr:to>
    <xdr:pic>
      <xdr:nvPicPr>
        <xdr:cNvPr id="970" name="图片 35" descr="08(1)"/>
        <xdr:cNvPicPr/>
      </xdr:nvPicPr>
      <xdr:blipFill>
        <a:blip r:embed="rId55"/>
        <a:stretch/>
      </xdr:blipFill>
      <xdr:spPr>
        <a:xfrm>
          <a:off x="5605920" y="29699280"/>
          <a:ext cx="1170720" cy="1173240"/>
        </a:xfrm>
        <a:prstGeom prst="rect">
          <a:avLst/>
        </a:prstGeom>
        <a:noFill/>
        <a:ln w="9525">
          <a:noFill/>
        </a:ln>
      </xdr:spPr>
    </xdr:pic>
    <xdr:clientData/>
  </xdr:twoCellAnchor>
  <xdr:twoCellAnchor editAs="oneCell">
    <xdr:from>
      <xdr:col>2</xdr:col>
      <xdr:colOff>38160</xdr:colOff>
      <xdr:row>24</xdr:row>
      <xdr:rowOff>90360</xdr:rowOff>
    </xdr:from>
    <xdr:to>
      <xdr:col>2</xdr:col>
      <xdr:colOff>1208880</xdr:colOff>
      <xdr:row>24</xdr:row>
      <xdr:rowOff>1369800</xdr:rowOff>
    </xdr:to>
    <xdr:pic>
      <xdr:nvPicPr>
        <xdr:cNvPr id="971" name="图片 40" descr="08"/>
        <xdr:cNvPicPr/>
      </xdr:nvPicPr>
      <xdr:blipFill>
        <a:blip r:embed="rId56"/>
        <a:stretch/>
      </xdr:blipFill>
      <xdr:spPr>
        <a:xfrm>
          <a:off x="5605920" y="28185840"/>
          <a:ext cx="1170720" cy="1279440"/>
        </a:xfrm>
        <a:prstGeom prst="rect">
          <a:avLst/>
        </a:prstGeom>
        <a:noFill/>
        <a:ln w="9525">
          <a:noFill/>
        </a:ln>
      </xdr:spPr>
    </xdr:pic>
    <xdr:clientData/>
  </xdr:twoCellAnchor>
  <xdr:twoCellAnchor editAs="oneCell">
    <xdr:from>
      <xdr:col>1</xdr:col>
      <xdr:colOff>38160</xdr:colOff>
      <xdr:row>21</xdr:row>
      <xdr:rowOff>140760</xdr:rowOff>
    </xdr:from>
    <xdr:to>
      <xdr:col>1</xdr:col>
      <xdr:colOff>1208880</xdr:colOff>
      <xdr:row>21</xdr:row>
      <xdr:rowOff>1319040</xdr:rowOff>
    </xdr:to>
    <xdr:pic>
      <xdr:nvPicPr>
        <xdr:cNvPr id="972" name="图片 4" descr="1(2)"/>
        <xdr:cNvPicPr/>
      </xdr:nvPicPr>
      <xdr:blipFill>
        <a:blip r:embed="rId57"/>
        <a:stretch/>
      </xdr:blipFill>
      <xdr:spPr>
        <a:xfrm>
          <a:off x="4039920" y="23854680"/>
          <a:ext cx="1170720" cy="1178280"/>
        </a:xfrm>
        <a:prstGeom prst="rect">
          <a:avLst/>
        </a:prstGeom>
        <a:noFill/>
        <a:ln w="9525">
          <a:noFill/>
        </a:ln>
      </xdr:spPr>
    </xdr:pic>
    <xdr:clientData/>
  </xdr:twoCellAnchor>
  <xdr:twoCellAnchor editAs="oneCell">
    <xdr:from>
      <xdr:col>1</xdr:col>
      <xdr:colOff>38160</xdr:colOff>
      <xdr:row>22</xdr:row>
      <xdr:rowOff>146160</xdr:rowOff>
    </xdr:from>
    <xdr:to>
      <xdr:col>1</xdr:col>
      <xdr:colOff>1208880</xdr:colOff>
      <xdr:row>22</xdr:row>
      <xdr:rowOff>1313640</xdr:rowOff>
    </xdr:to>
    <xdr:pic>
      <xdr:nvPicPr>
        <xdr:cNvPr id="973" name="图片 28" descr="1(3)"/>
        <xdr:cNvPicPr/>
      </xdr:nvPicPr>
      <xdr:blipFill>
        <a:blip r:embed="rId58"/>
        <a:stretch/>
      </xdr:blipFill>
      <xdr:spPr>
        <a:xfrm>
          <a:off x="4039920" y="25320600"/>
          <a:ext cx="1170720" cy="1167480"/>
        </a:xfrm>
        <a:prstGeom prst="rect">
          <a:avLst/>
        </a:prstGeom>
        <a:noFill/>
        <a:ln w="9525">
          <a:noFill/>
        </a:ln>
      </xdr:spPr>
    </xdr:pic>
    <xdr:clientData/>
  </xdr:twoCellAnchor>
  <xdr:twoCellAnchor editAs="oneCell">
    <xdr:from>
      <xdr:col>2</xdr:col>
      <xdr:colOff>38160</xdr:colOff>
      <xdr:row>22</xdr:row>
      <xdr:rowOff>145800</xdr:rowOff>
    </xdr:from>
    <xdr:to>
      <xdr:col>2</xdr:col>
      <xdr:colOff>1208880</xdr:colOff>
      <xdr:row>22</xdr:row>
      <xdr:rowOff>1313640</xdr:rowOff>
    </xdr:to>
    <xdr:pic>
      <xdr:nvPicPr>
        <xdr:cNvPr id="974" name="图片 50" descr="8(3)"/>
        <xdr:cNvPicPr/>
      </xdr:nvPicPr>
      <xdr:blipFill>
        <a:blip r:embed="rId59"/>
        <a:stretch/>
      </xdr:blipFill>
      <xdr:spPr>
        <a:xfrm>
          <a:off x="5605920" y="25320240"/>
          <a:ext cx="1170720" cy="1167840"/>
        </a:xfrm>
        <a:prstGeom prst="rect">
          <a:avLst/>
        </a:prstGeom>
        <a:noFill/>
        <a:ln w="9525">
          <a:noFill/>
        </a:ln>
      </xdr:spPr>
    </xdr:pic>
    <xdr:clientData/>
  </xdr:twoCellAnchor>
  <xdr:twoCellAnchor editAs="oneCell">
    <xdr:from>
      <xdr:col>2</xdr:col>
      <xdr:colOff>38160</xdr:colOff>
      <xdr:row>21</xdr:row>
      <xdr:rowOff>143280</xdr:rowOff>
    </xdr:from>
    <xdr:to>
      <xdr:col>2</xdr:col>
      <xdr:colOff>1208880</xdr:colOff>
      <xdr:row>21</xdr:row>
      <xdr:rowOff>1316520</xdr:rowOff>
    </xdr:to>
    <xdr:pic>
      <xdr:nvPicPr>
        <xdr:cNvPr id="975" name="图片 61" descr="8(2)"/>
        <xdr:cNvPicPr/>
      </xdr:nvPicPr>
      <xdr:blipFill>
        <a:blip r:embed="rId60"/>
        <a:stretch/>
      </xdr:blipFill>
      <xdr:spPr>
        <a:xfrm>
          <a:off x="5605920" y="23857200"/>
          <a:ext cx="1170720" cy="1173240"/>
        </a:xfrm>
        <a:prstGeom prst="rect">
          <a:avLst/>
        </a:prstGeom>
        <a:noFill/>
        <a:ln w="9525">
          <a:noFill/>
        </a:ln>
      </xdr:spPr>
    </xdr:pic>
    <xdr:clientData/>
  </xdr:twoCellAnchor>
  <xdr:twoCellAnchor editAs="oneCell">
    <xdr:from>
      <xdr:col>2</xdr:col>
      <xdr:colOff>38160</xdr:colOff>
      <xdr:row>34</xdr:row>
      <xdr:rowOff>143280</xdr:rowOff>
    </xdr:from>
    <xdr:to>
      <xdr:col>2</xdr:col>
      <xdr:colOff>1208880</xdr:colOff>
      <xdr:row>34</xdr:row>
      <xdr:rowOff>1316520</xdr:rowOff>
    </xdr:to>
    <xdr:pic>
      <xdr:nvPicPr>
        <xdr:cNvPr id="976" name="图片 27" descr="9"/>
        <xdr:cNvPicPr/>
      </xdr:nvPicPr>
      <xdr:blipFill>
        <a:blip r:embed="rId61"/>
        <a:stretch/>
      </xdr:blipFill>
      <xdr:spPr>
        <a:xfrm>
          <a:off x="5605920" y="42843960"/>
          <a:ext cx="1170720" cy="1173240"/>
        </a:xfrm>
        <a:prstGeom prst="rect">
          <a:avLst/>
        </a:prstGeom>
        <a:noFill/>
        <a:ln w="9525">
          <a:noFill/>
        </a:ln>
      </xdr:spPr>
    </xdr:pic>
    <xdr:clientData/>
  </xdr:twoCellAnchor>
  <xdr:twoCellAnchor editAs="oneCell">
    <xdr:from>
      <xdr:col>2</xdr:col>
      <xdr:colOff>38160</xdr:colOff>
      <xdr:row>36</xdr:row>
      <xdr:rowOff>143280</xdr:rowOff>
    </xdr:from>
    <xdr:to>
      <xdr:col>2</xdr:col>
      <xdr:colOff>1208880</xdr:colOff>
      <xdr:row>36</xdr:row>
      <xdr:rowOff>1316520</xdr:rowOff>
    </xdr:to>
    <xdr:pic>
      <xdr:nvPicPr>
        <xdr:cNvPr id="977" name="图片 41" descr="9"/>
        <xdr:cNvPicPr/>
      </xdr:nvPicPr>
      <xdr:blipFill>
        <a:blip r:embed="rId62"/>
        <a:stretch/>
      </xdr:blipFill>
      <xdr:spPr>
        <a:xfrm>
          <a:off x="5605920" y="45765000"/>
          <a:ext cx="1170720" cy="1173240"/>
        </a:xfrm>
        <a:prstGeom prst="rect">
          <a:avLst/>
        </a:prstGeom>
        <a:noFill/>
        <a:ln w="9525">
          <a:noFill/>
        </a:ln>
      </xdr:spPr>
    </xdr:pic>
    <xdr:clientData/>
  </xdr:twoCellAnchor>
  <xdr:twoCellAnchor editAs="oneCell">
    <xdr:from>
      <xdr:col>2</xdr:col>
      <xdr:colOff>38160</xdr:colOff>
      <xdr:row>37</xdr:row>
      <xdr:rowOff>143280</xdr:rowOff>
    </xdr:from>
    <xdr:to>
      <xdr:col>2</xdr:col>
      <xdr:colOff>1208880</xdr:colOff>
      <xdr:row>37</xdr:row>
      <xdr:rowOff>1316520</xdr:rowOff>
    </xdr:to>
    <xdr:pic>
      <xdr:nvPicPr>
        <xdr:cNvPr id="978" name="图片 64" descr="9"/>
        <xdr:cNvPicPr/>
      </xdr:nvPicPr>
      <xdr:blipFill>
        <a:blip r:embed="rId63"/>
        <a:stretch/>
      </xdr:blipFill>
      <xdr:spPr>
        <a:xfrm>
          <a:off x="5605920" y="47225520"/>
          <a:ext cx="1170720" cy="1173240"/>
        </a:xfrm>
        <a:prstGeom prst="rect">
          <a:avLst/>
        </a:prstGeom>
        <a:noFill/>
        <a:ln w="9525">
          <a:noFill/>
        </a:ln>
      </xdr:spPr>
    </xdr:pic>
    <xdr:clientData/>
  </xdr:twoCellAnchor>
  <xdr:twoCellAnchor editAs="oneCell">
    <xdr:from>
      <xdr:col>2</xdr:col>
      <xdr:colOff>38160</xdr:colOff>
      <xdr:row>31</xdr:row>
      <xdr:rowOff>143280</xdr:rowOff>
    </xdr:from>
    <xdr:to>
      <xdr:col>2</xdr:col>
      <xdr:colOff>1208880</xdr:colOff>
      <xdr:row>31</xdr:row>
      <xdr:rowOff>1316520</xdr:rowOff>
    </xdr:to>
    <xdr:pic>
      <xdr:nvPicPr>
        <xdr:cNvPr id="979" name="图片 99" descr="10"/>
        <xdr:cNvPicPr/>
      </xdr:nvPicPr>
      <xdr:blipFill>
        <a:blip r:embed="rId64"/>
        <a:stretch/>
      </xdr:blipFill>
      <xdr:spPr>
        <a:xfrm>
          <a:off x="5605920" y="38462400"/>
          <a:ext cx="1170720" cy="1173240"/>
        </a:xfrm>
        <a:prstGeom prst="rect">
          <a:avLst/>
        </a:prstGeom>
        <a:noFill/>
        <a:ln w="9525">
          <a:noFill/>
        </a:ln>
      </xdr:spPr>
    </xdr:pic>
    <xdr:clientData/>
  </xdr:twoCellAnchor>
  <xdr:twoCellAnchor editAs="oneCell">
    <xdr:from>
      <xdr:col>2</xdr:col>
      <xdr:colOff>38160</xdr:colOff>
      <xdr:row>6</xdr:row>
      <xdr:rowOff>141120</xdr:rowOff>
    </xdr:from>
    <xdr:to>
      <xdr:col>2</xdr:col>
      <xdr:colOff>1208880</xdr:colOff>
      <xdr:row>6</xdr:row>
      <xdr:rowOff>1318680</xdr:rowOff>
    </xdr:to>
    <xdr:pic>
      <xdr:nvPicPr>
        <xdr:cNvPr id="980" name="图片 106" descr="8"/>
        <xdr:cNvPicPr/>
      </xdr:nvPicPr>
      <xdr:blipFill>
        <a:blip r:embed="rId65"/>
        <a:stretch/>
      </xdr:blipFill>
      <xdr:spPr>
        <a:xfrm>
          <a:off x="5605920" y="4458960"/>
          <a:ext cx="1170720" cy="1177560"/>
        </a:xfrm>
        <a:prstGeom prst="rect">
          <a:avLst/>
        </a:prstGeom>
        <a:noFill/>
        <a:ln w="9525">
          <a:noFill/>
        </a:ln>
      </xdr:spPr>
    </xdr:pic>
    <xdr:clientData/>
  </xdr:twoCellAnchor>
  <xdr:twoCellAnchor editAs="oneCell">
    <xdr:from>
      <xdr:col>2</xdr:col>
      <xdr:colOff>38160</xdr:colOff>
      <xdr:row>7</xdr:row>
      <xdr:rowOff>144000</xdr:rowOff>
    </xdr:from>
    <xdr:to>
      <xdr:col>2</xdr:col>
      <xdr:colOff>1208880</xdr:colOff>
      <xdr:row>7</xdr:row>
      <xdr:rowOff>1316160</xdr:rowOff>
    </xdr:to>
    <xdr:pic>
      <xdr:nvPicPr>
        <xdr:cNvPr id="981" name="图片 109" descr="8"/>
        <xdr:cNvPicPr/>
      </xdr:nvPicPr>
      <xdr:blipFill>
        <a:blip r:embed="rId66"/>
        <a:stretch/>
      </xdr:blipFill>
      <xdr:spPr>
        <a:xfrm>
          <a:off x="5605920" y="5922360"/>
          <a:ext cx="1170720" cy="1172160"/>
        </a:xfrm>
        <a:prstGeom prst="rect">
          <a:avLst/>
        </a:prstGeom>
        <a:noFill/>
        <a:ln w="9525">
          <a:noFill/>
        </a:ln>
      </xdr:spPr>
    </xdr:pic>
    <xdr:clientData/>
  </xdr:twoCellAnchor>
  <xdr:twoCellAnchor editAs="oneCell">
    <xdr:from>
      <xdr:col>2</xdr:col>
      <xdr:colOff>38160</xdr:colOff>
      <xdr:row>5</xdr:row>
      <xdr:rowOff>137880</xdr:rowOff>
    </xdr:from>
    <xdr:to>
      <xdr:col>2</xdr:col>
      <xdr:colOff>1208880</xdr:colOff>
      <xdr:row>5</xdr:row>
      <xdr:rowOff>1321920</xdr:rowOff>
    </xdr:to>
    <xdr:pic>
      <xdr:nvPicPr>
        <xdr:cNvPr id="982" name="图片 11" descr="9"/>
        <xdr:cNvPicPr/>
      </xdr:nvPicPr>
      <xdr:blipFill>
        <a:blip r:embed="rId67"/>
        <a:stretch/>
      </xdr:blipFill>
      <xdr:spPr>
        <a:xfrm>
          <a:off x="5605920" y="2995560"/>
          <a:ext cx="1170720" cy="1184040"/>
        </a:xfrm>
        <a:prstGeom prst="rect">
          <a:avLst/>
        </a:prstGeom>
        <a:noFill/>
        <a:ln w="9525">
          <a:noFill/>
        </a:ln>
      </xdr:spPr>
    </xdr:pic>
    <xdr:clientData/>
  </xdr:twoCellAnchor>
  <xdr:twoCellAnchor editAs="oneCell">
    <xdr:from>
      <xdr:col>1</xdr:col>
      <xdr:colOff>38160</xdr:colOff>
      <xdr:row>5</xdr:row>
      <xdr:rowOff>137880</xdr:rowOff>
    </xdr:from>
    <xdr:to>
      <xdr:col>1</xdr:col>
      <xdr:colOff>1208880</xdr:colOff>
      <xdr:row>5</xdr:row>
      <xdr:rowOff>1321920</xdr:rowOff>
    </xdr:to>
    <xdr:pic>
      <xdr:nvPicPr>
        <xdr:cNvPr id="983" name="图片 12" descr="1"/>
        <xdr:cNvPicPr/>
      </xdr:nvPicPr>
      <xdr:blipFill>
        <a:blip r:embed="rId68"/>
        <a:stretch/>
      </xdr:blipFill>
      <xdr:spPr>
        <a:xfrm>
          <a:off x="4039920" y="2995560"/>
          <a:ext cx="1170720" cy="1184040"/>
        </a:xfrm>
        <a:prstGeom prst="rect">
          <a:avLst/>
        </a:prstGeom>
        <a:noFill/>
        <a:ln w="9525">
          <a:noFill/>
        </a:ln>
      </xdr:spPr>
    </xdr:pic>
    <xdr:clientData/>
  </xdr:twoCellAnchor>
  <xdr:twoCellAnchor editAs="oneCell">
    <xdr:from>
      <xdr:col>1</xdr:col>
      <xdr:colOff>38160</xdr:colOff>
      <xdr:row>23</xdr:row>
      <xdr:rowOff>92160</xdr:rowOff>
    </xdr:from>
    <xdr:to>
      <xdr:col>1</xdr:col>
      <xdr:colOff>1208880</xdr:colOff>
      <xdr:row>23</xdr:row>
      <xdr:rowOff>1367640</xdr:rowOff>
    </xdr:to>
    <xdr:pic>
      <xdr:nvPicPr>
        <xdr:cNvPr id="984" name="图片 104" descr="1(2)"/>
        <xdr:cNvPicPr/>
      </xdr:nvPicPr>
      <xdr:blipFill>
        <a:blip r:embed="rId69"/>
        <a:stretch/>
      </xdr:blipFill>
      <xdr:spPr>
        <a:xfrm>
          <a:off x="4039920" y="26727120"/>
          <a:ext cx="1170720" cy="1275480"/>
        </a:xfrm>
        <a:prstGeom prst="rect">
          <a:avLst/>
        </a:prstGeom>
        <a:noFill/>
        <a:ln w="9525">
          <a:noFill/>
        </a:ln>
      </xdr:spPr>
    </xdr:pic>
    <xdr:clientData/>
  </xdr:twoCellAnchor>
  <xdr:twoCellAnchor editAs="oneCell">
    <xdr:from>
      <xdr:col>2</xdr:col>
      <xdr:colOff>38160</xdr:colOff>
      <xdr:row>23</xdr:row>
      <xdr:rowOff>92160</xdr:rowOff>
    </xdr:from>
    <xdr:to>
      <xdr:col>2</xdr:col>
      <xdr:colOff>1208880</xdr:colOff>
      <xdr:row>23</xdr:row>
      <xdr:rowOff>1367640</xdr:rowOff>
    </xdr:to>
    <xdr:pic>
      <xdr:nvPicPr>
        <xdr:cNvPr id="985" name="图片 111" descr="8"/>
        <xdr:cNvPicPr/>
      </xdr:nvPicPr>
      <xdr:blipFill>
        <a:blip r:embed="rId70"/>
        <a:stretch/>
      </xdr:blipFill>
      <xdr:spPr>
        <a:xfrm>
          <a:off x="5605920" y="26727120"/>
          <a:ext cx="1170720" cy="1275480"/>
        </a:xfrm>
        <a:prstGeom prst="rect">
          <a:avLst/>
        </a:prstGeom>
        <a:noFill/>
        <a:ln w="9525">
          <a:noFill/>
        </a:ln>
      </xdr:spPr>
    </xdr:pic>
    <xdr:clientData/>
  </xdr:twoCellAnchor>
  <xdr:twoCellAnchor editAs="oneCell">
    <xdr:from>
      <xdr:col>0</xdr:col>
      <xdr:colOff>0</xdr:colOff>
      <xdr:row>5</xdr:row>
      <xdr:rowOff>0</xdr:rowOff>
    </xdr:from>
    <xdr:to>
      <xdr:col>0</xdr:col>
      <xdr:colOff>828000</xdr:colOff>
      <xdr:row>5</xdr:row>
      <xdr:rowOff>297000</xdr:rowOff>
    </xdr:to>
    <xdr:pic>
      <xdr:nvPicPr>
        <xdr:cNvPr id="986" name="图片 49" descr="无线充"/>
        <xdr:cNvPicPr/>
      </xdr:nvPicPr>
      <xdr:blipFill>
        <a:blip r:embed="rId71"/>
        <a:stretch/>
      </xdr:blipFill>
      <xdr:spPr>
        <a:xfrm>
          <a:off x="0" y="2857680"/>
          <a:ext cx="828000" cy="297000"/>
        </a:xfrm>
        <a:prstGeom prst="rect">
          <a:avLst/>
        </a:prstGeom>
        <a:noFill/>
        <a:ln w="9525">
          <a:noFill/>
        </a:ln>
      </xdr:spPr>
    </xdr:pic>
    <xdr:clientData/>
  </xdr:twoCellAnchor>
  <xdr:twoCellAnchor editAs="oneCell">
    <xdr:from>
      <xdr:col>1</xdr:col>
      <xdr:colOff>38160</xdr:colOff>
      <xdr:row>20</xdr:row>
      <xdr:rowOff>143280</xdr:rowOff>
    </xdr:from>
    <xdr:to>
      <xdr:col>1</xdr:col>
      <xdr:colOff>1208880</xdr:colOff>
      <xdr:row>20</xdr:row>
      <xdr:rowOff>1316520</xdr:rowOff>
    </xdr:to>
    <xdr:pic>
      <xdr:nvPicPr>
        <xdr:cNvPr id="987" name="图片 1" descr="1"/>
        <xdr:cNvPicPr/>
      </xdr:nvPicPr>
      <xdr:blipFill>
        <a:blip r:embed="rId72"/>
        <a:stretch/>
      </xdr:blipFill>
      <xdr:spPr>
        <a:xfrm>
          <a:off x="4039920" y="22396680"/>
          <a:ext cx="1170720" cy="1173240"/>
        </a:xfrm>
        <a:prstGeom prst="rect">
          <a:avLst/>
        </a:prstGeom>
        <a:noFill/>
        <a:ln w="9525">
          <a:noFill/>
        </a:ln>
      </xdr:spPr>
    </xdr:pic>
    <xdr:clientData/>
  </xdr:twoCellAnchor>
  <xdr:twoCellAnchor editAs="oneCell">
    <xdr:from>
      <xdr:col>2</xdr:col>
      <xdr:colOff>38160</xdr:colOff>
      <xdr:row>20</xdr:row>
      <xdr:rowOff>141480</xdr:rowOff>
    </xdr:from>
    <xdr:to>
      <xdr:col>2</xdr:col>
      <xdr:colOff>1208880</xdr:colOff>
      <xdr:row>20</xdr:row>
      <xdr:rowOff>1318680</xdr:rowOff>
    </xdr:to>
    <xdr:pic>
      <xdr:nvPicPr>
        <xdr:cNvPr id="988" name="图片 3" descr="9"/>
        <xdr:cNvPicPr/>
      </xdr:nvPicPr>
      <xdr:blipFill>
        <a:blip r:embed="rId73"/>
        <a:stretch/>
      </xdr:blipFill>
      <xdr:spPr>
        <a:xfrm>
          <a:off x="5605920" y="22394880"/>
          <a:ext cx="1170720" cy="1177200"/>
        </a:xfrm>
        <a:prstGeom prst="rect">
          <a:avLst/>
        </a:prstGeom>
        <a:noFill/>
        <a:ln w="9525">
          <a:noFill/>
        </a:ln>
      </xdr:spPr>
    </xdr:pic>
    <xdr:clientData/>
  </xdr:twoCellAnchor>
  <xdr:twoCellAnchor editAs="oneCell">
    <xdr:from>
      <xdr:col>2</xdr:col>
      <xdr:colOff>38160</xdr:colOff>
      <xdr:row>51</xdr:row>
      <xdr:rowOff>159840</xdr:rowOff>
    </xdr:from>
    <xdr:to>
      <xdr:col>2</xdr:col>
      <xdr:colOff>1208880</xdr:colOff>
      <xdr:row>51</xdr:row>
      <xdr:rowOff>1300320</xdr:rowOff>
    </xdr:to>
    <xdr:pic>
      <xdr:nvPicPr>
        <xdr:cNvPr id="989" name="图片 7" descr="C:/Users/Ray/AppData/Local/Temp/picturecompress_20210720165142/output_62.jpgoutput_62"/>
        <xdr:cNvPicPr/>
      </xdr:nvPicPr>
      <xdr:blipFill>
        <a:blip r:embed="rId74"/>
        <a:stretch/>
      </xdr:blipFill>
      <xdr:spPr>
        <a:xfrm>
          <a:off x="5605920" y="67561920"/>
          <a:ext cx="1170720" cy="1140480"/>
        </a:xfrm>
        <a:prstGeom prst="rect">
          <a:avLst/>
        </a:prstGeom>
        <a:noFill/>
        <a:ln w="9525">
          <a:noFill/>
        </a:ln>
      </xdr:spPr>
    </xdr:pic>
    <xdr:clientData/>
  </xdr:twoCellAnchor>
  <xdr:twoCellAnchor editAs="oneCell">
    <xdr:from>
      <xdr:col>1</xdr:col>
      <xdr:colOff>38160</xdr:colOff>
      <xdr:row>51</xdr:row>
      <xdr:rowOff>143640</xdr:rowOff>
    </xdr:from>
    <xdr:to>
      <xdr:col>1</xdr:col>
      <xdr:colOff>1208880</xdr:colOff>
      <xdr:row>51</xdr:row>
      <xdr:rowOff>1316160</xdr:rowOff>
    </xdr:to>
    <xdr:pic>
      <xdr:nvPicPr>
        <xdr:cNvPr id="990" name="图片 66" descr="6"/>
        <xdr:cNvPicPr/>
      </xdr:nvPicPr>
      <xdr:blipFill>
        <a:blip r:embed="rId75"/>
        <a:stretch/>
      </xdr:blipFill>
      <xdr:spPr>
        <a:xfrm>
          <a:off x="4039920" y="67545720"/>
          <a:ext cx="1170720" cy="1172520"/>
        </a:xfrm>
        <a:prstGeom prst="rect">
          <a:avLst/>
        </a:prstGeom>
        <a:noFill/>
        <a:ln w="9525">
          <a:noFill/>
        </a:ln>
      </xdr:spPr>
    </xdr:pic>
    <xdr:clientData/>
  </xdr:twoCellAnchor>
  <xdr:twoCellAnchor editAs="oneCell">
    <xdr:from>
      <xdr:col>1</xdr:col>
      <xdr:colOff>38160</xdr:colOff>
      <xdr:row>19</xdr:row>
      <xdr:rowOff>143280</xdr:rowOff>
    </xdr:from>
    <xdr:to>
      <xdr:col>1</xdr:col>
      <xdr:colOff>1208880</xdr:colOff>
      <xdr:row>19</xdr:row>
      <xdr:rowOff>1316520</xdr:rowOff>
    </xdr:to>
    <xdr:pic>
      <xdr:nvPicPr>
        <xdr:cNvPr id="991" name="图片 16" descr="1"/>
        <xdr:cNvPicPr/>
      </xdr:nvPicPr>
      <xdr:blipFill>
        <a:blip r:embed="rId76"/>
        <a:stretch/>
      </xdr:blipFill>
      <xdr:spPr>
        <a:xfrm>
          <a:off x="4039920" y="20936520"/>
          <a:ext cx="1170720" cy="1173240"/>
        </a:xfrm>
        <a:prstGeom prst="rect">
          <a:avLst/>
        </a:prstGeom>
        <a:noFill/>
        <a:ln w="9525">
          <a:noFill/>
        </a:ln>
      </xdr:spPr>
    </xdr:pic>
    <xdr:clientData/>
  </xdr:twoCellAnchor>
  <xdr:twoCellAnchor editAs="oneCell">
    <xdr:from>
      <xdr:col>2</xdr:col>
      <xdr:colOff>38160</xdr:colOff>
      <xdr:row>19</xdr:row>
      <xdr:rowOff>143280</xdr:rowOff>
    </xdr:from>
    <xdr:to>
      <xdr:col>2</xdr:col>
      <xdr:colOff>1208880</xdr:colOff>
      <xdr:row>19</xdr:row>
      <xdr:rowOff>1316520</xdr:rowOff>
    </xdr:to>
    <xdr:pic>
      <xdr:nvPicPr>
        <xdr:cNvPr id="992" name="图片 22" descr="8"/>
        <xdr:cNvPicPr/>
      </xdr:nvPicPr>
      <xdr:blipFill>
        <a:blip r:embed="rId77"/>
        <a:stretch/>
      </xdr:blipFill>
      <xdr:spPr>
        <a:xfrm>
          <a:off x="5605920" y="20936520"/>
          <a:ext cx="1170720" cy="1173240"/>
        </a:xfrm>
        <a:prstGeom prst="rect">
          <a:avLst/>
        </a:prstGeom>
        <a:noFill/>
        <a:ln w="9525">
          <a:noFill/>
        </a:ln>
      </xdr:spPr>
    </xdr:pic>
    <xdr:clientData/>
  </xdr:twoCellAnchor>
  <xdr:twoCellAnchor editAs="oneCell">
    <xdr:from>
      <xdr:col>1</xdr:col>
      <xdr:colOff>38160</xdr:colOff>
      <xdr:row>17</xdr:row>
      <xdr:rowOff>146160</xdr:rowOff>
    </xdr:from>
    <xdr:to>
      <xdr:col>1</xdr:col>
      <xdr:colOff>1208880</xdr:colOff>
      <xdr:row>17</xdr:row>
      <xdr:rowOff>1313640</xdr:rowOff>
    </xdr:to>
    <xdr:pic>
      <xdr:nvPicPr>
        <xdr:cNvPr id="993" name="图片 2" descr="1"/>
        <xdr:cNvPicPr/>
      </xdr:nvPicPr>
      <xdr:blipFill>
        <a:blip r:embed="rId78"/>
        <a:stretch/>
      </xdr:blipFill>
      <xdr:spPr>
        <a:xfrm>
          <a:off x="4039920" y="18018360"/>
          <a:ext cx="1170720" cy="1167480"/>
        </a:xfrm>
        <a:prstGeom prst="rect">
          <a:avLst/>
        </a:prstGeom>
        <a:noFill/>
        <a:ln w="9525">
          <a:noFill/>
        </a:ln>
      </xdr:spPr>
    </xdr:pic>
    <xdr:clientData/>
  </xdr:twoCellAnchor>
  <xdr:twoCellAnchor editAs="oneCell">
    <xdr:from>
      <xdr:col>2</xdr:col>
      <xdr:colOff>38160</xdr:colOff>
      <xdr:row>17</xdr:row>
      <xdr:rowOff>143640</xdr:rowOff>
    </xdr:from>
    <xdr:to>
      <xdr:col>2</xdr:col>
      <xdr:colOff>1208880</xdr:colOff>
      <xdr:row>17</xdr:row>
      <xdr:rowOff>1316160</xdr:rowOff>
    </xdr:to>
    <xdr:pic>
      <xdr:nvPicPr>
        <xdr:cNvPr id="994" name="图片 30" descr="8"/>
        <xdr:cNvPicPr/>
      </xdr:nvPicPr>
      <xdr:blipFill>
        <a:blip r:embed="rId79"/>
        <a:stretch/>
      </xdr:blipFill>
      <xdr:spPr>
        <a:xfrm>
          <a:off x="5605920" y="18015840"/>
          <a:ext cx="1170720" cy="1172520"/>
        </a:xfrm>
        <a:prstGeom prst="rect">
          <a:avLst/>
        </a:prstGeom>
        <a:noFill/>
        <a:ln w="9525">
          <a:noFill/>
        </a:ln>
      </xdr:spPr>
    </xdr:pic>
    <xdr:clientData/>
  </xdr:twoCellAnchor>
  <xdr:twoCellAnchor editAs="oneCell">
    <xdr:from>
      <xdr:col>1</xdr:col>
      <xdr:colOff>38160</xdr:colOff>
      <xdr:row>18</xdr:row>
      <xdr:rowOff>143280</xdr:rowOff>
    </xdr:from>
    <xdr:to>
      <xdr:col>1</xdr:col>
      <xdr:colOff>1208880</xdr:colOff>
      <xdr:row>18</xdr:row>
      <xdr:rowOff>1316520</xdr:rowOff>
    </xdr:to>
    <xdr:pic>
      <xdr:nvPicPr>
        <xdr:cNvPr id="995" name="图片 39" descr="1"/>
        <xdr:cNvPicPr/>
      </xdr:nvPicPr>
      <xdr:blipFill>
        <a:blip r:embed="rId80"/>
        <a:stretch/>
      </xdr:blipFill>
      <xdr:spPr>
        <a:xfrm>
          <a:off x="4039920" y="19476000"/>
          <a:ext cx="1170720" cy="1173240"/>
        </a:xfrm>
        <a:prstGeom prst="rect">
          <a:avLst/>
        </a:prstGeom>
        <a:noFill/>
        <a:ln w="9525">
          <a:noFill/>
        </a:ln>
      </xdr:spPr>
    </xdr:pic>
    <xdr:clientData/>
  </xdr:twoCellAnchor>
  <xdr:twoCellAnchor editAs="oneCell">
    <xdr:from>
      <xdr:col>2</xdr:col>
      <xdr:colOff>38160</xdr:colOff>
      <xdr:row>18</xdr:row>
      <xdr:rowOff>143280</xdr:rowOff>
    </xdr:from>
    <xdr:to>
      <xdr:col>2</xdr:col>
      <xdr:colOff>1208880</xdr:colOff>
      <xdr:row>18</xdr:row>
      <xdr:rowOff>1316520</xdr:rowOff>
    </xdr:to>
    <xdr:pic>
      <xdr:nvPicPr>
        <xdr:cNvPr id="996" name="图片 43" descr="9"/>
        <xdr:cNvPicPr/>
      </xdr:nvPicPr>
      <xdr:blipFill>
        <a:blip r:embed="rId81"/>
        <a:stretch/>
      </xdr:blipFill>
      <xdr:spPr>
        <a:xfrm>
          <a:off x="5605920" y="19476000"/>
          <a:ext cx="1170720" cy="1173240"/>
        </a:xfrm>
        <a:prstGeom prst="rect">
          <a:avLst/>
        </a:prstGeom>
        <a:noFill/>
        <a:ln w="9525">
          <a:noFill/>
        </a:ln>
      </xdr:spPr>
    </xdr:pic>
    <xdr:clientData/>
  </xdr:twoCellAnchor>
  <xdr:twoCellAnchor editAs="oneCell">
    <xdr:from>
      <xdr:col>1</xdr:col>
      <xdr:colOff>38160</xdr:colOff>
      <xdr:row>16</xdr:row>
      <xdr:rowOff>143280</xdr:rowOff>
    </xdr:from>
    <xdr:to>
      <xdr:col>1</xdr:col>
      <xdr:colOff>1208880</xdr:colOff>
      <xdr:row>16</xdr:row>
      <xdr:rowOff>1316520</xdr:rowOff>
    </xdr:to>
    <xdr:pic>
      <xdr:nvPicPr>
        <xdr:cNvPr id="997" name="图片 58" descr="1"/>
        <xdr:cNvPicPr/>
      </xdr:nvPicPr>
      <xdr:blipFill>
        <a:blip r:embed="rId82"/>
        <a:stretch/>
      </xdr:blipFill>
      <xdr:spPr>
        <a:xfrm>
          <a:off x="4039920" y="16554960"/>
          <a:ext cx="1170720" cy="1173240"/>
        </a:xfrm>
        <a:prstGeom prst="rect">
          <a:avLst/>
        </a:prstGeom>
        <a:noFill/>
        <a:ln w="9525">
          <a:noFill/>
        </a:ln>
      </xdr:spPr>
    </xdr:pic>
    <xdr:clientData/>
  </xdr:twoCellAnchor>
  <xdr:twoCellAnchor editAs="oneCell">
    <xdr:from>
      <xdr:col>2</xdr:col>
      <xdr:colOff>38160</xdr:colOff>
      <xdr:row>16</xdr:row>
      <xdr:rowOff>144000</xdr:rowOff>
    </xdr:from>
    <xdr:to>
      <xdr:col>2</xdr:col>
      <xdr:colOff>1208880</xdr:colOff>
      <xdr:row>16</xdr:row>
      <xdr:rowOff>1316160</xdr:rowOff>
    </xdr:to>
    <xdr:pic>
      <xdr:nvPicPr>
        <xdr:cNvPr id="998" name="图片 71" descr="8"/>
        <xdr:cNvPicPr/>
      </xdr:nvPicPr>
      <xdr:blipFill>
        <a:blip r:embed="rId83"/>
        <a:stretch/>
      </xdr:blipFill>
      <xdr:spPr>
        <a:xfrm>
          <a:off x="5605920" y="16555680"/>
          <a:ext cx="1170720" cy="1172160"/>
        </a:xfrm>
        <a:prstGeom prst="rect">
          <a:avLst/>
        </a:prstGeom>
        <a:noFill/>
        <a:ln w="9525">
          <a:noFill/>
        </a:ln>
      </xdr:spPr>
    </xdr:pic>
    <xdr:clientData/>
  </xdr:twoCellAnchor>
  <xdr:twoCellAnchor editAs="oneCell">
    <xdr:from>
      <xdr:col>1</xdr:col>
      <xdr:colOff>38160</xdr:colOff>
      <xdr:row>4</xdr:row>
      <xdr:rowOff>146160</xdr:rowOff>
    </xdr:from>
    <xdr:to>
      <xdr:col>1</xdr:col>
      <xdr:colOff>1208880</xdr:colOff>
      <xdr:row>4</xdr:row>
      <xdr:rowOff>1313640</xdr:rowOff>
    </xdr:to>
    <xdr:pic>
      <xdr:nvPicPr>
        <xdr:cNvPr id="999" name="图片 57" descr="1"/>
        <xdr:cNvPicPr/>
      </xdr:nvPicPr>
      <xdr:blipFill>
        <a:blip r:embed="rId84"/>
        <a:stretch/>
      </xdr:blipFill>
      <xdr:spPr>
        <a:xfrm>
          <a:off x="4039920" y="1543320"/>
          <a:ext cx="1170720" cy="1167480"/>
        </a:xfrm>
        <a:prstGeom prst="rect">
          <a:avLst/>
        </a:prstGeom>
        <a:noFill/>
        <a:ln w="9525">
          <a:noFill/>
        </a:ln>
      </xdr:spPr>
    </xdr:pic>
    <xdr:clientData/>
  </xdr:twoCellAnchor>
  <xdr:twoCellAnchor editAs="oneCell">
    <xdr:from>
      <xdr:col>2</xdr:col>
      <xdr:colOff>38160</xdr:colOff>
      <xdr:row>4</xdr:row>
      <xdr:rowOff>144000</xdr:rowOff>
    </xdr:from>
    <xdr:to>
      <xdr:col>2</xdr:col>
      <xdr:colOff>1208880</xdr:colOff>
      <xdr:row>4</xdr:row>
      <xdr:rowOff>1315440</xdr:rowOff>
    </xdr:to>
    <xdr:pic>
      <xdr:nvPicPr>
        <xdr:cNvPr id="1000" name="图片 74" descr="9"/>
        <xdr:cNvPicPr/>
      </xdr:nvPicPr>
      <xdr:blipFill>
        <a:blip r:embed="rId85"/>
        <a:stretch/>
      </xdr:blipFill>
      <xdr:spPr>
        <a:xfrm>
          <a:off x="5605920" y="1541160"/>
          <a:ext cx="1170720" cy="1171440"/>
        </a:xfrm>
        <a:prstGeom prst="rect">
          <a:avLst/>
        </a:prstGeom>
        <a:noFill/>
        <a:ln w="9525">
          <a:noFill/>
        </a:ln>
      </xdr:spPr>
    </xdr:pic>
    <xdr:clientData/>
  </xdr:twoCellAnchor>
  <xdr:twoCellAnchor editAs="oneCell">
    <xdr:from>
      <xdr:col>0</xdr:col>
      <xdr:colOff>9360</xdr:colOff>
      <xdr:row>4</xdr:row>
      <xdr:rowOff>0</xdr:rowOff>
    </xdr:from>
    <xdr:to>
      <xdr:col>0</xdr:col>
      <xdr:colOff>837360</xdr:colOff>
      <xdr:row>4</xdr:row>
      <xdr:rowOff>297000</xdr:rowOff>
    </xdr:to>
    <xdr:pic>
      <xdr:nvPicPr>
        <xdr:cNvPr id="1001" name="图片 84" descr="无线充"/>
        <xdr:cNvPicPr/>
      </xdr:nvPicPr>
      <xdr:blipFill>
        <a:blip r:embed="rId86"/>
        <a:stretch/>
      </xdr:blipFill>
      <xdr:spPr>
        <a:xfrm>
          <a:off x="9360" y="1397160"/>
          <a:ext cx="828000" cy="297000"/>
        </a:xfrm>
        <a:prstGeom prst="rect">
          <a:avLst/>
        </a:prstGeom>
        <a:noFill/>
        <a:ln w="9525">
          <a:noFill/>
        </a:ln>
      </xdr:spPr>
    </xdr:pic>
    <xdr:clientData/>
  </xdr:twoCellAnchor>
  <xdr:twoCellAnchor editAs="oneCell">
    <xdr:from>
      <xdr:col>1</xdr:col>
      <xdr:colOff>38160</xdr:colOff>
      <xdr:row>15</xdr:row>
      <xdr:rowOff>146160</xdr:rowOff>
    </xdr:from>
    <xdr:to>
      <xdr:col>1</xdr:col>
      <xdr:colOff>1208880</xdr:colOff>
      <xdr:row>15</xdr:row>
      <xdr:rowOff>1313640</xdr:rowOff>
    </xdr:to>
    <xdr:pic>
      <xdr:nvPicPr>
        <xdr:cNvPr id="1002" name="图片 31" descr="1"/>
        <xdr:cNvPicPr/>
      </xdr:nvPicPr>
      <xdr:blipFill>
        <a:blip r:embed="rId87"/>
        <a:stretch/>
      </xdr:blipFill>
      <xdr:spPr>
        <a:xfrm>
          <a:off x="4039920" y="15097320"/>
          <a:ext cx="1170720" cy="1167480"/>
        </a:xfrm>
        <a:prstGeom prst="rect">
          <a:avLst/>
        </a:prstGeom>
        <a:noFill/>
        <a:ln w="9525">
          <a:noFill/>
        </a:ln>
      </xdr:spPr>
    </xdr:pic>
    <xdr:clientData/>
  </xdr:twoCellAnchor>
  <xdr:twoCellAnchor editAs="oneCell">
    <xdr:from>
      <xdr:col>2</xdr:col>
      <xdr:colOff>38160</xdr:colOff>
      <xdr:row>15</xdr:row>
      <xdr:rowOff>143280</xdr:rowOff>
    </xdr:from>
    <xdr:to>
      <xdr:col>2</xdr:col>
      <xdr:colOff>1208880</xdr:colOff>
      <xdr:row>15</xdr:row>
      <xdr:rowOff>1316520</xdr:rowOff>
    </xdr:to>
    <xdr:pic>
      <xdr:nvPicPr>
        <xdr:cNvPr id="1003" name="图片 47" descr="8"/>
        <xdr:cNvPicPr/>
      </xdr:nvPicPr>
      <xdr:blipFill>
        <a:blip r:embed="rId88"/>
        <a:stretch/>
      </xdr:blipFill>
      <xdr:spPr>
        <a:xfrm>
          <a:off x="5605920" y="15094440"/>
          <a:ext cx="1170720" cy="1173240"/>
        </a:xfrm>
        <a:prstGeom prst="rect">
          <a:avLst/>
        </a:prstGeom>
        <a:noFill/>
        <a:ln w="9525">
          <a:noFill/>
        </a:ln>
      </xdr:spPr>
    </xdr:pic>
    <xdr:clientData/>
  </xdr:twoCellAnchor>
  <xdr:twoCellAnchor editAs="oneCell">
    <xdr:from>
      <xdr:col>1</xdr:col>
      <xdr:colOff>38160</xdr:colOff>
      <xdr:row>14</xdr:row>
      <xdr:rowOff>143280</xdr:rowOff>
    </xdr:from>
    <xdr:to>
      <xdr:col>1</xdr:col>
      <xdr:colOff>1208880</xdr:colOff>
      <xdr:row>14</xdr:row>
      <xdr:rowOff>1316520</xdr:rowOff>
    </xdr:to>
    <xdr:pic>
      <xdr:nvPicPr>
        <xdr:cNvPr id="1004" name="图片 51" descr="1"/>
        <xdr:cNvPicPr/>
      </xdr:nvPicPr>
      <xdr:blipFill>
        <a:blip r:embed="rId89"/>
        <a:stretch/>
      </xdr:blipFill>
      <xdr:spPr>
        <a:xfrm>
          <a:off x="4039920" y="13633920"/>
          <a:ext cx="1170720" cy="1173240"/>
        </a:xfrm>
        <a:prstGeom prst="rect">
          <a:avLst/>
        </a:prstGeom>
        <a:noFill/>
        <a:ln w="9525">
          <a:noFill/>
        </a:ln>
      </xdr:spPr>
    </xdr:pic>
    <xdr:clientData/>
  </xdr:twoCellAnchor>
  <xdr:twoCellAnchor editAs="oneCell">
    <xdr:from>
      <xdr:col>2</xdr:col>
      <xdr:colOff>38160</xdr:colOff>
      <xdr:row>14</xdr:row>
      <xdr:rowOff>144000</xdr:rowOff>
    </xdr:from>
    <xdr:to>
      <xdr:col>2</xdr:col>
      <xdr:colOff>1208880</xdr:colOff>
      <xdr:row>14</xdr:row>
      <xdr:rowOff>1315440</xdr:rowOff>
    </xdr:to>
    <xdr:pic>
      <xdr:nvPicPr>
        <xdr:cNvPr id="1005" name="图片 52" descr="9"/>
        <xdr:cNvPicPr/>
      </xdr:nvPicPr>
      <xdr:blipFill>
        <a:blip r:embed="rId90"/>
        <a:stretch/>
      </xdr:blipFill>
      <xdr:spPr>
        <a:xfrm>
          <a:off x="5605920" y="13634640"/>
          <a:ext cx="1170720" cy="1171440"/>
        </a:xfrm>
        <a:prstGeom prst="rect">
          <a:avLst/>
        </a:prstGeom>
        <a:noFill/>
        <a:ln w="9525">
          <a:noFill/>
        </a:ln>
      </xdr:spPr>
    </xdr:pic>
    <xdr:clientData/>
  </xdr:twoCellAnchor>
  <xdr:twoCellAnchor editAs="oneCell">
    <xdr:from>
      <xdr:col>1</xdr:col>
      <xdr:colOff>38160</xdr:colOff>
      <xdr:row>12</xdr:row>
      <xdr:rowOff>141120</xdr:rowOff>
    </xdr:from>
    <xdr:to>
      <xdr:col>1</xdr:col>
      <xdr:colOff>1208880</xdr:colOff>
      <xdr:row>12</xdr:row>
      <xdr:rowOff>1319040</xdr:rowOff>
    </xdr:to>
    <xdr:pic>
      <xdr:nvPicPr>
        <xdr:cNvPr id="1006" name="图片 1" descr="1"/>
        <xdr:cNvPicPr/>
      </xdr:nvPicPr>
      <xdr:blipFill>
        <a:blip r:embed="rId91"/>
        <a:stretch/>
      </xdr:blipFill>
      <xdr:spPr>
        <a:xfrm>
          <a:off x="4039920" y="10710720"/>
          <a:ext cx="1170720" cy="1177920"/>
        </a:xfrm>
        <a:prstGeom prst="rect">
          <a:avLst/>
        </a:prstGeom>
        <a:noFill/>
        <a:ln w="0">
          <a:noFill/>
        </a:ln>
      </xdr:spPr>
    </xdr:pic>
    <xdr:clientData/>
  </xdr:twoCellAnchor>
  <xdr:twoCellAnchor editAs="oneCell">
    <xdr:from>
      <xdr:col>2</xdr:col>
      <xdr:colOff>38160</xdr:colOff>
      <xdr:row>12</xdr:row>
      <xdr:rowOff>141120</xdr:rowOff>
    </xdr:from>
    <xdr:to>
      <xdr:col>2</xdr:col>
      <xdr:colOff>1208880</xdr:colOff>
      <xdr:row>12</xdr:row>
      <xdr:rowOff>1319040</xdr:rowOff>
    </xdr:to>
    <xdr:pic>
      <xdr:nvPicPr>
        <xdr:cNvPr id="1007" name="图片 2" descr="2"/>
        <xdr:cNvPicPr/>
      </xdr:nvPicPr>
      <xdr:blipFill>
        <a:blip r:embed="rId92"/>
        <a:stretch/>
      </xdr:blipFill>
      <xdr:spPr>
        <a:xfrm>
          <a:off x="5605920" y="10710720"/>
          <a:ext cx="1170720" cy="1177920"/>
        </a:xfrm>
        <a:prstGeom prst="rect">
          <a:avLst/>
        </a:prstGeom>
        <a:noFill/>
        <a:ln w="0">
          <a:noFill/>
        </a:ln>
      </xdr:spPr>
    </xdr:pic>
    <xdr:clientData/>
  </xdr:twoCellAnchor>
  <xdr:twoCellAnchor editAs="oneCell">
    <xdr:from>
      <xdr:col>1</xdr:col>
      <xdr:colOff>38160</xdr:colOff>
      <xdr:row>13</xdr:row>
      <xdr:rowOff>141840</xdr:rowOff>
    </xdr:from>
    <xdr:to>
      <xdr:col>1</xdr:col>
      <xdr:colOff>1208880</xdr:colOff>
      <xdr:row>13</xdr:row>
      <xdr:rowOff>1317960</xdr:rowOff>
    </xdr:to>
    <xdr:pic>
      <xdr:nvPicPr>
        <xdr:cNvPr id="1008" name="图片 3" descr="1"/>
        <xdr:cNvPicPr/>
      </xdr:nvPicPr>
      <xdr:blipFill>
        <a:blip r:embed="rId93"/>
        <a:stretch/>
      </xdr:blipFill>
      <xdr:spPr>
        <a:xfrm>
          <a:off x="4039920" y="12171960"/>
          <a:ext cx="1170720" cy="1176120"/>
        </a:xfrm>
        <a:prstGeom prst="rect">
          <a:avLst/>
        </a:prstGeom>
        <a:noFill/>
        <a:ln w="0">
          <a:noFill/>
        </a:ln>
      </xdr:spPr>
    </xdr:pic>
    <xdr:clientData/>
  </xdr:twoCellAnchor>
  <xdr:twoCellAnchor editAs="oneCell">
    <xdr:from>
      <xdr:col>2</xdr:col>
      <xdr:colOff>38160</xdr:colOff>
      <xdr:row>13</xdr:row>
      <xdr:rowOff>144360</xdr:rowOff>
    </xdr:from>
    <xdr:to>
      <xdr:col>2</xdr:col>
      <xdr:colOff>1208880</xdr:colOff>
      <xdr:row>13</xdr:row>
      <xdr:rowOff>1315080</xdr:rowOff>
    </xdr:to>
    <xdr:pic>
      <xdr:nvPicPr>
        <xdr:cNvPr id="1009" name="图片 4" descr="8"/>
        <xdr:cNvPicPr/>
      </xdr:nvPicPr>
      <xdr:blipFill>
        <a:blip r:embed="rId94"/>
        <a:stretch/>
      </xdr:blipFill>
      <xdr:spPr>
        <a:xfrm>
          <a:off x="5605920" y="12174480"/>
          <a:ext cx="1170720" cy="1170720"/>
        </a:xfrm>
        <a:prstGeom prst="rect">
          <a:avLst/>
        </a:prstGeom>
        <a:noFill/>
        <a:ln w="0">
          <a:noFill/>
        </a:ln>
      </xdr:spPr>
    </xdr:pic>
    <xdr:clientData/>
  </xdr:twoCellAnchor>
  <xdr:twoCellAnchor editAs="oneCell">
    <xdr:from>
      <xdr:col>1</xdr:col>
      <xdr:colOff>38160</xdr:colOff>
      <xdr:row>10</xdr:row>
      <xdr:rowOff>145080</xdr:rowOff>
    </xdr:from>
    <xdr:to>
      <xdr:col>1</xdr:col>
      <xdr:colOff>1208880</xdr:colOff>
      <xdr:row>10</xdr:row>
      <xdr:rowOff>1314720</xdr:rowOff>
    </xdr:to>
    <xdr:pic>
      <xdr:nvPicPr>
        <xdr:cNvPr id="1010" name="图片 5" descr="1"/>
        <xdr:cNvPicPr/>
      </xdr:nvPicPr>
      <xdr:blipFill>
        <a:blip r:embed="rId95"/>
        <a:stretch/>
      </xdr:blipFill>
      <xdr:spPr>
        <a:xfrm>
          <a:off x="4039920" y="7793640"/>
          <a:ext cx="1170720" cy="1169640"/>
        </a:xfrm>
        <a:prstGeom prst="rect">
          <a:avLst/>
        </a:prstGeom>
        <a:noFill/>
        <a:ln w="0">
          <a:noFill/>
        </a:ln>
      </xdr:spPr>
    </xdr:pic>
    <xdr:clientData/>
  </xdr:twoCellAnchor>
  <xdr:twoCellAnchor editAs="oneCell">
    <xdr:from>
      <xdr:col>2</xdr:col>
      <xdr:colOff>38160</xdr:colOff>
      <xdr:row>10</xdr:row>
      <xdr:rowOff>144000</xdr:rowOff>
    </xdr:from>
    <xdr:to>
      <xdr:col>2</xdr:col>
      <xdr:colOff>1208880</xdr:colOff>
      <xdr:row>10</xdr:row>
      <xdr:rowOff>1316160</xdr:rowOff>
    </xdr:to>
    <xdr:pic>
      <xdr:nvPicPr>
        <xdr:cNvPr id="1011" name="图片 6" descr="9"/>
        <xdr:cNvPicPr/>
      </xdr:nvPicPr>
      <xdr:blipFill>
        <a:blip r:embed="rId96"/>
        <a:stretch/>
      </xdr:blipFill>
      <xdr:spPr>
        <a:xfrm>
          <a:off x="5605920" y="7792560"/>
          <a:ext cx="1170720" cy="1172160"/>
        </a:xfrm>
        <a:prstGeom prst="rect">
          <a:avLst/>
        </a:prstGeom>
        <a:noFill/>
        <a:ln w="0">
          <a:noFill/>
        </a:ln>
      </xdr:spPr>
    </xdr:pic>
    <xdr:clientData/>
  </xdr:twoCellAnchor>
  <xdr:twoCellAnchor editAs="oneCell">
    <xdr:from>
      <xdr:col>1</xdr:col>
      <xdr:colOff>38160</xdr:colOff>
      <xdr:row>11</xdr:row>
      <xdr:rowOff>142200</xdr:rowOff>
    </xdr:from>
    <xdr:to>
      <xdr:col>1</xdr:col>
      <xdr:colOff>1208880</xdr:colOff>
      <xdr:row>11</xdr:row>
      <xdr:rowOff>1317600</xdr:rowOff>
    </xdr:to>
    <xdr:pic>
      <xdr:nvPicPr>
        <xdr:cNvPr id="1012" name="图片 7" descr="1"/>
        <xdr:cNvPicPr/>
      </xdr:nvPicPr>
      <xdr:blipFill>
        <a:blip r:embed="rId97"/>
        <a:stretch/>
      </xdr:blipFill>
      <xdr:spPr>
        <a:xfrm>
          <a:off x="4039920" y="9251280"/>
          <a:ext cx="1170720" cy="1175400"/>
        </a:xfrm>
        <a:prstGeom prst="rect">
          <a:avLst/>
        </a:prstGeom>
        <a:noFill/>
        <a:ln w="0">
          <a:noFill/>
        </a:ln>
      </xdr:spPr>
    </xdr:pic>
    <xdr:clientData/>
  </xdr:twoCellAnchor>
  <xdr:twoCellAnchor editAs="oneCell">
    <xdr:from>
      <xdr:col>2</xdr:col>
      <xdr:colOff>38160</xdr:colOff>
      <xdr:row>11</xdr:row>
      <xdr:rowOff>144360</xdr:rowOff>
    </xdr:from>
    <xdr:to>
      <xdr:col>2</xdr:col>
      <xdr:colOff>1208880</xdr:colOff>
      <xdr:row>11</xdr:row>
      <xdr:rowOff>1315080</xdr:rowOff>
    </xdr:to>
    <xdr:pic>
      <xdr:nvPicPr>
        <xdr:cNvPr id="1013" name="图片 9" descr="8"/>
        <xdr:cNvPicPr/>
      </xdr:nvPicPr>
      <xdr:blipFill>
        <a:blip r:embed="rId98"/>
        <a:stretch/>
      </xdr:blipFill>
      <xdr:spPr>
        <a:xfrm>
          <a:off x="5605920" y="9253440"/>
          <a:ext cx="1170720" cy="1170720"/>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38160</xdr:colOff>
      <xdr:row>35</xdr:row>
      <xdr:rowOff>143280</xdr:rowOff>
    </xdr:from>
    <xdr:to>
      <xdr:col>1</xdr:col>
      <xdr:colOff>1208880</xdr:colOff>
      <xdr:row>35</xdr:row>
      <xdr:rowOff>1316520</xdr:rowOff>
    </xdr:to>
    <xdr:pic>
      <xdr:nvPicPr>
        <xdr:cNvPr id="1014" name="图片 13" descr="2"/>
        <xdr:cNvPicPr/>
      </xdr:nvPicPr>
      <xdr:blipFill>
        <a:blip r:embed="rId1"/>
        <a:stretch/>
      </xdr:blipFill>
      <xdr:spPr>
        <a:xfrm>
          <a:off x="4039920" y="34534800"/>
          <a:ext cx="1170720" cy="1173240"/>
        </a:xfrm>
        <a:prstGeom prst="rect">
          <a:avLst/>
        </a:prstGeom>
        <a:noFill/>
        <a:ln w="9525">
          <a:noFill/>
        </a:ln>
      </xdr:spPr>
    </xdr:pic>
    <xdr:clientData/>
  </xdr:twoCellAnchor>
  <xdr:twoCellAnchor editAs="oneCell">
    <xdr:from>
      <xdr:col>1</xdr:col>
      <xdr:colOff>38160</xdr:colOff>
      <xdr:row>36</xdr:row>
      <xdr:rowOff>145800</xdr:rowOff>
    </xdr:from>
    <xdr:to>
      <xdr:col>1</xdr:col>
      <xdr:colOff>1208880</xdr:colOff>
      <xdr:row>36</xdr:row>
      <xdr:rowOff>1313640</xdr:rowOff>
    </xdr:to>
    <xdr:pic>
      <xdr:nvPicPr>
        <xdr:cNvPr id="1015" name="图片 29" descr="2_副本2"/>
        <xdr:cNvPicPr/>
      </xdr:nvPicPr>
      <xdr:blipFill>
        <a:blip r:embed="rId2"/>
        <a:stretch/>
      </xdr:blipFill>
      <xdr:spPr>
        <a:xfrm>
          <a:off x="4039920" y="35997840"/>
          <a:ext cx="1170720" cy="1167840"/>
        </a:xfrm>
        <a:prstGeom prst="rect">
          <a:avLst/>
        </a:prstGeom>
        <a:noFill/>
        <a:ln w="9525">
          <a:noFill/>
        </a:ln>
      </xdr:spPr>
    </xdr:pic>
    <xdr:clientData/>
  </xdr:twoCellAnchor>
  <xdr:twoCellAnchor editAs="oneCell">
    <xdr:from>
      <xdr:col>1</xdr:col>
      <xdr:colOff>38160</xdr:colOff>
      <xdr:row>37</xdr:row>
      <xdr:rowOff>143280</xdr:rowOff>
    </xdr:from>
    <xdr:to>
      <xdr:col>1</xdr:col>
      <xdr:colOff>1208880</xdr:colOff>
      <xdr:row>37</xdr:row>
      <xdr:rowOff>1316520</xdr:rowOff>
    </xdr:to>
    <xdr:pic>
      <xdr:nvPicPr>
        <xdr:cNvPr id="1016" name="图片 30" descr="2_副本3"/>
        <xdr:cNvPicPr/>
      </xdr:nvPicPr>
      <xdr:blipFill>
        <a:blip r:embed="rId3"/>
        <a:stretch/>
      </xdr:blipFill>
      <xdr:spPr>
        <a:xfrm>
          <a:off x="4039920" y="37455840"/>
          <a:ext cx="1170720" cy="1173240"/>
        </a:xfrm>
        <a:prstGeom prst="rect">
          <a:avLst/>
        </a:prstGeom>
        <a:noFill/>
        <a:ln w="9525">
          <a:noFill/>
        </a:ln>
      </xdr:spPr>
    </xdr:pic>
    <xdr:clientData/>
  </xdr:twoCellAnchor>
  <xdr:twoCellAnchor editAs="oneCell">
    <xdr:from>
      <xdr:col>1</xdr:col>
      <xdr:colOff>38160</xdr:colOff>
      <xdr:row>32</xdr:row>
      <xdr:rowOff>143640</xdr:rowOff>
    </xdr:from>
    <xdr:to>
      <xdr:col>1</xdr:col>
      <xdr:colOff>1208880</xdr:colOff>
      <xdr:row>32</xdr:row>
      <xdr:rowOff>1316160</xdr:rowOff>
    </xdr:to>
    <xdr:pic>
      <xdr:nvPicPr>
        <xdr:cNvPr id="1017" name="图片 154" descr="L(1)"/>
        <xdr:cNvPicPr/>
      </xdr:nvPicPr>
      <xdr:blipFill>
        <a:blip r:embed="rId4"/>
        <a:stretch/>
      </xdr:blipFill>
      <xdr:spPr>
        <a:xfrm>
          <a:off x="4039920" y="30153600"/>
          <a:ext cx="1170720" cy="1172520"/>
        </a:xfrm>
        <a:prstGeom prst="rect">
          <a:avLst/>
        </a:prstGeom>
        <a:noFill/>
        <a:ln w="9525">
          <a:noFill/>
        </a:ln>
      </xdr:spPr>
    </xdr:pic>
    <xdr:clientData/>
  </xdr:twoCellAnchor>
  <xdr:twoCellAnchor editAs="oneCell">
    <xdr:from>
      <xdr:col>2</xdr:col>
      <xdr:colOff>38160</xdr:colOff>
      <xdr:row>32</xdr:row>
      <xdr:rowOff>145800</xdr:rowOff>
    </xdr:from>
    <xdr:to>
      <xdr:col>2</xdr:col>
      <xdr:colOff>1208880</xdr:colOff>
      <xdr:row>32</xdr:row>
      <xdr:rowOff>1313640</xdr:rowOff>
    </xdr:to>
    <xdr:pic>
      <xdr:nvPicPr>
        <xdr:cNvPr id="1018" name="图片 157" descr="L-包装(2)"/>
        <xdr:cNvPicPr/>
      </xdr:nvPicPr>
      <xdr:blipFill>
        <a:blip r:embed="rId5"/>
        <a:stretch/>
      </xdr:blipFill>
      <xdr:spPr>
        <a:xfrm>
          <a:off x="5605920" y="30155760"/>
          <a:ext cx="1170720" cy="1167840"/>
        </a:xfrm>
        <a:prstGeom prst="rect">
          <a:avLst/>
        </a:prstGeom>
        <a:noFill/>
        <a:ln w="9525">
          <a:noFill/>
        </a:ln>
      </xdr:spPr>
    </xdr:pic>
    <xdr:clientData/>
  </xdr:twoCellAnchor>
  <xdr:twoCellAnchor editAs="oneCell">
    <xdr:from>
      <xdr:col>1</xdr:col>
      <xdr:colOff>38160</xdr:colOff>
      <xdr:row>33</xdr:row>
      <xdr:rowOff>146160</xdr:rowOff>
    </xdr:from>
    <xdr:to>
      <xdr:col>1</xdr:col>
      <xdr:colOff>1208880</xdr:colOff>
      <xdr:row>33</xdr:row>
      <xdr:rowOff>1313640</xdr:rowOff>
    </xdr:to>
    <xdr:pic>
      <xdr:nvPicPr>
        <xdr:cNvPr id="1019" name="图片 162" descr="T(3)"/>
        <xdr:cNvPicPr/>
      </xdr:nvPicPr>
      <xdr:blipFill>
        <a:blip r:embed="rId6"/>
        <a:stretch/>
      </xdr:blipFill>
      <xdr:spPr>
        <a:xfrm>
          <a:off x="4039920" y="31616640"/>
          <a:ext cx="1170720" cy="1167480"/>
        </a:xfrm>
        <a:prstGeom prst="rect">
          <a:avLst/>
        </a:prstGeom>
        <a:noFill/>
        <a:ln w="9525">
          <a:noFill/>
        </a:ln>
      </xdr:spPr>
    </xdr:pic>
    <xdr:clientData/>
  </xdr:twoCellAnchor>
  <xdr:twoCellAnchor editAs="oneCell">
    <xdr:from>
      <xdr:col>2</xdr:col>
      <xdr:colOff>38160</xdr:colOff>
      <xdr:row>33</xdr:row>
      <xdr:rowOff>143280</xdr:rowOff>
    </xdr:from>
    <xdr:to>
      <xdr:col>2</xdr:col>
      <xdr:colOff>1208880</xdr:colOff>
      <xdr:row>33</xdr:row>
      <xdr:rowOff>1316520</xdr:rowOff>
    </xdr:to>
    <xdr:pic>
      <xdr:nvPicPr>
        <xdr:cNvPr id="1020" name="图片 165" descr="T-包装(3)"/>
        <xdr:cNvPicPr/>
      </xdr:nvPicPr>
      <xdr:blipFill>
        <a:blip r:embed="rId7"/>
        <a:stretch/>
      </xdr:blipFill>
      <xdr:spPr>
        <a:xfrm>
          <a:off x="5605920" y="31613760"/>
          <a:ext cx="1170720" cy="1173240"/>
        </a:xfrm>
        <a:prstGeom prst="rect">
          <a:avLst/>
        </a:prstGeom>
        <a:noFill/>
        <a:ln w="9525">
          <a:noFill/>
        </a:ln>
      </xdr:spPr>
    </xdr:pic>
    <xdr:clientData/>
  </xdr:twoCellAnchor>
  <xdr:twoCellAnchor editAs="oneCell">
    <xdr:from>
      <xdr:col>1</xdr:col>
      <xdr:colOff>38160</xdr:colOff>
      <xdr:row>31</xdr:row>
      <xdr:rowOff>144000</xdr:rowOff>
    </xdr:from>
    <xdr:to>
      <xdr:col>1</xdr:col>
      <xdr:colOff>1208880</xdr:colOff>
      <xdr:row>31</xdr:row>
      <xdr:rowOff>1316160</xdr:rowOff>
    </xdr:to>
    <xdr:pic>
      <xdr:nvPicPr>
        <xdr:cNvPr id="1021" name="图片 167" descr="单品(2)"/>
        <xdr:cNvPicPr/>
      </xdr:nvPicPr>
      <xdr:blipFill>
        <a:blip r:embed="rId8"/>
        <a:stretch/>
      </xdr:blipFill>
      <xdr:spPr>
        <a:xfrm>
          <a:off x="4039920" y="28693440"/>
          <a:ext cx="1170720" cy="1172160"/>
        </a:xfrm>
        <a:prstGeom prst="rect">
          <a:avLst/>
        </a:prstGeom>
        <a:noFill/>
        <a:ln w="9525">
          <a:noFill/>
        </a:ln>
      </xdr:spPr>
    </xdr:pic>
    <xdr:clientData/>
  </xdr:twoCellAnchor>
  <xdr:twoCellAnchor editAs="oneCell">
    <xdr:from>
      <xdr:col>2</xdr:col>
      <xdr:colOff>38160</xdr:colOff>
      <xdr:row>31</xdr:row>
      <xdr:rowOff>141480</xdr:rowOff>
    </xdr:from>
    <xdr:to>
      <xdr:col>2</xdr:col>
      <xdr:colOff>1208880</xdr:colOff>
      <xdr:row>31</xdr:row>
      <xdr:rowOff>1317960</xdr:rowOff>
    </xdr:to>
    <xdr:pic>
      <xdr:nvPicPr>
        <xdr:cNvPr id="1022" name="图片 170" descr="单品-包装(2)"/>
        <xdr:cNvPicPr/>
      </xdr:nvPicPr>
      <xdr:blipFill>
        <a:blip r:embed="rId9"/>
        <a:stretch/>
      </xdr:blipFill>
      <xdr:spPr>
        <a:xfrm>
          <a:off x="5605920" y="28690920"/>
          <a:ext cx="1170720" cy="1176480"/>
        </a:xfrm>
        <a:prstGeom prst="rect">
          <a:avLst/>
        </a:prstGeom>
        <a:noFill/>
        <a:ln w="9525">
          <a:noFill/>
        </a:ln>
      </xdr:spPr>
    </xdr:pic>
    <xdr:clientData/>
  </xdr:twoCellAnchor>
  <xdr:twoCellAnchor editAs="oneCell">
    <xdr:from>
      <xdr:col>1</xdr:col>
      <xdr:colOff>38160</xdr:colOff>
      <xdr:row>29</xdr:row>
      <xdr:rowOff>143640</xdr:rowOff>
    </xdr:from>
    <xdr:to>
      <xdr:col>1</xdr:col>
      <xdr:colOff>1208880</xdr:colOff>
      <xdr:row>29</xdr:row>
      <xdr:rowOff>1316160</xdr:rowOff>
    </xdr:to>
    <xdr:pic>
      <xdr:nvPicPr>
        <xdr:cNvPr id="1023" name="图片 100" descr="1(3)"/>
        <xdr:cNvPicPr/>
      </xdr:nvPicPr>
      <xdr:blipFill>
        <a:blip r:embed="rId10"/>
        <a:stretch/>
      </xdr:blipFill>
      <xdr:spPr>
        <a:xfrm>
          <a:off x="4039920" y="25772400"/>
          <a:ext cx="1170720" cy="1172520"/>
        </a:xfrm>
        <a:prstGeom prst="rect">
          <a:avLst/>
        </a:prstGeom>
        <a:noFill/>
        <a:ln w="9525">
          <a:noFill/>
        </a:ln>
      </xdr:spPr>
    </xdr:pic>
    <xdr:clientData/>
  </xdr:twoCellAnchor>
  <xdr:twoCellAnchor editAs="oneCell">
    <xdr:from>
      <xdr:col>1</xdr:col>
      <xdr:colOff>38160</xdr:colOff>
      <xdr:row>30</xdr:row>
      <xdr:rowOff>144000</xdr:rowOff>
    </xdr:from>
    <xdr:to>
      <xdr:col>1</xdr:col>
      <xdr:colOff>1208880</xdr:colOff>
      <xdr:row>30</xdr:row>
      <xdr:rowOff>1316160</xdr:rowOff>
    </xdr:to>
    <xdr:pic>
      <xdr:nvPicPr>
        <xdr:cNvPr id="1024" name="图片 123" descr="1(9)"/>
        <xdr:cNvPicPr/>
      </xdr:nvPicPr>
      <xdr:blipFill>
        <a:blip r:embed="rId11"/>
        <a:stretch/>
      </xdr:blipFill>
      <xdr:spPr>
        <a:xfrm>
          <a:off x="4039920" y="27233280"/>
          <a:ext cx="1170720" cy="1172160"/>
        </a:xfrm>
        <a:prstGeom prst="rect">
          <a:avLst/>
        </a:prstGeom>
        <a:noFill/>
        <a:ln w="9525">
          <a:noFill/>
        </a:ln>
      </xdr:spPr>
    </xdr:pic>
    <xdr:clientData/>
  </xdr:twoCellAnchor>
  <xdr:twoCellAnchor editAs="oneCell">
    <xdr:from>
      <xdr:col>1</xdr:col>
      <xdr:colOff>38160</xdr:colOff>
      <xdr:row>41</xdr:row>
      <xdr:rowOff>138600</xdr:rowOff>
    </xdr:from>
    <xdr:to>
      <xdr:col>1</xdr:col>
      <xdr:colOff>1208880</xdr:colOff>
      <xdr:row>41</xdr:row>
      <xdr:rowOff>1320840</xdr:rowOff>
    </xdr:to>
    <xdr:pic>
      <xdr:nvPicPr>
        <xdr:cNvPr id="1025" name="图片 18" descr="4"/>
        <xdr:cNvPicPr/>
      </xdr:nvPicPr>
      <xdr:blipFill>
        <a:blip r:embed="rId12"/>
        <a:stretch/>
      </xdr:blipFill>
      <xdr:spPr>
        <a:xfrm>
          <a:off x="4039920" y="43293240"/>
          <a:ext cx="1170720" cy="1182240"/>
        </a:xfrm>
        <a:prstGeom prst="rect">
          <a:avLst/>
        </a:prstGeom>
        <a:noFill/>
        <a:ln w="9525">
          <a:noFill/>
        </a:ln>
      </xdr:spPr>
    </xdr:pic>
    <xdr:clientData/>
  </xdr:twoCellAnchor>
  <xdr:twoCellAnchor editAs="oneCell">
    <xdr:from>
      <xdr:col>2</xdr:col>
      <xdr:colOff>38160</xdr:colOff>
      <xdr:row>41</xdr:row>
      <xdr:rowOff>141480</xdr:rowOff>
    </xdr:from>
    <xdr:to>
      <xdr:col>2</xdr:col>
      <xdr:colOff>1208880</xdr:colOff>
      <xdr:row>41</xdr:row>
      <xdr:rowOff>1317960</xdr:rowOff>
    </xdr:to>
    <xdr:pic>
      <xdr:nvPicPr>
        <xdr:cNvPr id="1026" name="图片 20" descr="13"/>
        <xdr:cNvPicPr/>
      </xdr:nvPicPr>
      <xdr:blipFill>
        <a:blip r:embed="rId13"/>
        <a:stretch/>
      </xdr:blipFill>
      <xdr:spPr>
        <a:xfrm>
          <a:off x="5605920" y="43296120"/>
          <a:ext cx="1170720" cy="1176480"/>
        </a:xfrm>
        <a:prstGeom prst="rect">
          <a:avLst/>
        </a:prstGeom>
        <a:noFill/>
        <a:ln w="9525">
          <a:noFill/>
        </a:ln>
      </xdr:spPr>
    </xdr:pic>
    <xdr:clientData/>
  </xdr:twoCellAnchor>
  <xdr:twoCellAnchor editAs="twoCell">
    <xdr:from>
      <xdr:col>0</xdr:col>
      <xdr:colOff>0</xdr:colOff>
      <xdr:row>29</xdr:row>
      <xdr:rowOff>0</xdr:rowOff>
    </xdr:from>
    <xdr:to>
      <xdr:col>0</xdr:col>
      <xdr:colOff>828000</xdr:colOff>
      <xdr:row>29</xdr:row>
      <xdr:rowOff>297000</xdr:rowOff>
    </xdr:to>
    <xdr:pic>
      <xdr:nvPicPr>
        <xdr:cNvPr id="1027" name="图片 83" descr="快充"/>
        <xdr:cNvPicPr/>
      </xdr:nvPicPr>
      <xdr:blipFill>
        <a:blip r:embed="rId14"/>
        <a:stretch/>
      </xdr:blipFill>
      <xdr:spPr>
        <a:xfrm>
          <a:off x="0" y="25628760"/>
          <a:ext cx="828000" cy="297000"/>
        </a:xfrm>
        <a:prstGeom prst="rect">
          <a:avLst/>
        </a:prstGeom>
        <a:noFill/>
        <a:ln w="9525">
          <a:noFill/>
        </a:ln>
      </xdr:spPr>
    </xdr:pic>
    <xdr:clientData/>
  </xdr:twoCellAnchor>
  <xdr:twoCellAnchor editAs="twoCell">
    <xdr:from>
      <xdr:col>0</xdr:col>
      <xdr:colOff>0</xdr:colOff>
      <xdr:row>30</xdr:row>
      <xdr:rowOff>0</xdr:rowOff>
    </xdr:from>
    <xdr:to>
      <xdr:col>0</xdr:col>
      <xdr:colOff>828000</xdr:colOff>
      <xdr:row>30</xdr:row>
      <xdr:rowOff>297000</xdr:rowOff>
    </xdr:to>
    <xdr:pic>
      <xdr:nvPicPr>
        <xdr:cNvPr id="1028" name="图片 131" descr="快充"/>
        <xdr:cNvPicPr/>
      </xdr:nvPicPr>
      <xdr:blipFill>
        <a:blip r:embed="rId15"/>
        <a:stretch/>
      </xdr:blipFill>
      <xdr:spPr>
        <a:xfrm>
          <a:off x="0" y="27089280"/>
          <a:ext cx="828000" cy="297000"/>
        </a:xfrm>
        <a:prstGeom prst="rect">
          <a:avLst/>
        </a:prstGeom>
        <a:noFill/>
        <a:ln w="9525">
          <a:noFill/>
        </a:ln>
      </xdr:spPr>
    </xdr:pic>
    <xdr:clientData/>
  </xdr:twoCellAnchor>
  <xdr:twoCellAnchor editAs="twoCell">
    <xdr:from>
      <xdr:col>0</xdr:col>
      <xdr:colOff>0</xdr:colOff>
      <xdr:row>31</xdr:row>
      <xdr:rowOff>0</xdr:rowOff>
    </xdr:from>
    <xdr:to>
      <xdr:col>0</xdr:col>
      <xdr:colOff>828000</xdr:colOff>
      <xdr:row>31</xdr:row>
      <xdr:rowOff>297000</xdr:rowOff>
    </xdr:to>
    <xdr:pic>
      <xdr:nvPicPr>
        <xdr:cNvPr id="1029" name="图片 239" descr="快充"/>
        <xdr:cNvPicPr/>
      </xdr:nvPicPr>
      <xdr:blipFill>
        <a:blip r:embed="rId16"/>
        <a:stretch/>
      </xdr:blipFill>
      <xdr:spPr>
        <a:xfrm>
          <a:off x="0" y="28549440"/>
          <a:ext cx="828000" cy="297000"/>
        </a:xfrm>
        <a:prstGeom prst="rect">
          <a:avLst/>
        </a:prstGeom>
        <a:noFill/>
        <a:ln w="9525">
          <a:noFill/>
        </a:ln>
      </xdr:spPr>
    </xdr:pic>
    <xdr:clientData/>
  </xdr:twoCellAnchor>
  <xdr:twoCellAnchor editAs="twoCell">
    <xdr:from>
      <xdr:col>0</xdr:col>
      <xdr:colOff>0</xdr:colOff>
      <xdr:row>32</xdr:row>
      <xdr:rowOff>0</xdr:rowOff>
    </xdr:from>
    <xdr:to>
      <xdr:col>0</xdr:col>
      <xdr:colOff>828000</xdr:colOff>
      <xdr:row>32</xdr:row>
      <xdr:rowOff>297000</xdr:rowOff>
    </xdr:to>
    <xdr:pic>
      <xdr:nvPicPr>
        <xdr:cNvPr id="1030" name="图片 241" descr="快充"/>
        <xdr:cNvPicPr/>
      </xdr:nvPicPr>
      <xdr:blipFill>
        <a:blip r:embed="rId17"/>
        <a:stretch/>
      </xdr:blipFill>
      <xdr:spPr>
        <a:xfrm>
          <a:off x="0" y="30009960"/>
          <a:ext cx="828000" cy="297000"/>
        </a:xfrm>
        <a:prstGeom prst="rect">
          <a:avLst/>
        </a:prstGeom>
        <a:noFill/>
        <a:ln w="9525">
          <a:noFill/>
        </a:ln>
      </xdr:spPr>
    </xdr:pic>
    <xdr:clientData/>
  </xdr:twoCellAnchor>
  <xdr:twoCellAnchor editAs="twoCell">
    <xdr:from>
      <xdr:col>0</xdr:col>
      <xdr:colOff>0</xdr:colOff>
      <xdr:row>33</xdr:row>
      <xdr:rowOff>0</xdr:rowOff>
    </xdr:from>
    <xdr:to>
      <xdr:col>0</xdr:col>
      <xdr:colOff>828000</xdr:colOff>
      <xdr:row>33</xdr:row>
      <xdr:rowOff>297000</xdr:rowOff>
    </xdr:to>
    <xdr:pic>
      <xdr:nvPicPr>
        <xdr:cNvPr id="1031" name="图片 243" descr="快充"/>
        <xdr:cNvPicPr/>
      </xdr:nvPicPr>
      <xdr:blipFill>
        <a:blip r:embed="rId18"/>
        <a:stretch/>
      </xdr:blipFill>
      <xdr:spPr>
        <a:xfrm>
          <a:off x="0" y="31470480"/>
          <a:ext cx="828000" cy="297000"/>
        </a:xfrm>
        <a:prstGeom prst="rect">
          <a:avLst/>
        </a:prstGeom>
        <a:noFill/>
        <a:ln w="9525">
          <a:noFill/>
        </a:ln>
      </xdr:spPr>
    </xdr:pic>
    <xdr:clientData/>
  </xdr:twoCellAnchor>
  <xdr:twoCellAnchor editAs="twoCell">
    <xdr:from>
      <xdr:col>0</xdr:col>
      <xdr:colOff>0</xdr:colOff>
      <xdr:row>34</xdr:row>
      <xdr:rowOff>0</xdr:rowOff>
    </xdr:from>
    <xdr:to>
      <xdr:col>0</xdr:col>
      <xdr:colOff>828000</xdr:colOff>
      <xdr:row>34</xdr:row>
      <xdr:rowOff>297000</xdr:rowOff>
    </xdr:to>
    <xdr:pic>
      <xdr:nvPicPr>
        <xdr:cNvPr id="1032" name="图片 257" descr="快充"/>
        <xdr:cNvPicPr/>
      </xdr:nvPicPr>
      <xdr:blipFill>
        <a:blip r:embed="rId19"/>
        <a:stretch/>
      </xdr:blipFill>
      <xdr:spPr>
        <a:xfrm>
          <a:off x="0" y="32931000"/>
          <a:ext cx="828000" cy="297000"/>
        </a:xfrm>
        <a:prstGeom prst="rect">
          <a:avLst/>
        </a:prstGeom>
        <a:noFill/>
        <a:ln w="9525">
          <a:noFill/>
        </a:ln>
      </xdr:spPr>
    </xdr:pic>
    <xdr:clientData/>
  </xdr:twoCellAnchor>
  <xdr:twoCellAnchor editAs="twoCell">
    <xdr:from>
      <xdr:col>0</xdr:col>
      <xdr:colOff>0</xdr:colOff>
      <xdr:row>35</xdr:row>
      <xdr:rowOff>0</xdr:rowOff>
    </xdr:from>
    <xdr:to>
      <xdr:col>0</xdr:col>
      <xdr:colOff>828000</xdr:colOff>
      <xdr:row>35</xdr:row>
      <xdr:rowOff>297000</xdr:rowOff>
    </xdr:to>
    <xdr:pic>
      <xdr:nvPicPr>
        <xdr:cNvPr id="1033" name="图片 262" descr="快充"/>
        <xdr:cNvPicPr/>
      </xdr:nvPicPr>
      <xdr:blipFill>
        <a:blip r:embed="rId20"/>
        <a:stretch/>
      </xdr:blipFill>
      <xdr:spPr>
        <a:xfrm>
          <a:off x="0" y="34391520"/>
          <a:ext cx="828000" cy="297000"/>
        </a:xfrm>
        <a:prstGeom prst="rect">
          <a:avLst/>
        </a:prstGeom>
        <a:noFill/>
        <a:ln w="9525">
          <a:noFill/>
        </a:ln>
      </xdr:spPr>
    </xdr:pic>
    <xdr:clientData/>
  </xdr:twoCellAnchor>
  <xdr:twoCellAnchor editAs="twoCell">
    <xdr:from>
      <xdr:col>0</xdr:col>
      <xdr:colOff>0</xdr:colOff>
      <xdr:row>36</xdr:row>
      <xdr:rowOff>0</xdr:rowOff>
    </xdr:from>
    <xdr:to>
      <xdr:col>0</xdr:col>
      <xdr:colOff>828000</xdr:colOff>
      <xdr:row>36</xdr:row>
      <xdr:rowOff>297000</xdr:rowOff>
    </xdr:to>
    <xdr:pic>
      <xdr:nvPicPr>
        <xdr:cNvPr id="1034" name="图片 265" descr="快充"/>
        <xdr:cNvPicPr/>
      </xdr:nvPicPr>
      <xdr:blipFill>
        <a:blip r:embed="rId21"/>
        <a:stretch/>
      </xdr:blipFill>
      <xdr:spPr>
        <a:xfrm>
          <a:off x="0" y="35852040"/>
          <a:ext cx="828000" cy="297000"/>
        </a:xfrm>
        <a:prstGeom prst="rect">
          <a:avLst/>
        </a:prstGeom>
        <a:noFill/>
        <a:ln w="9525">
          <a:noFill/>
        </a:ln>
      </xdr:spPr>
    </xdr:pic>
    <xdr:clientData/>
  </xdr:twoCellAnchor>
  <xdr:twoCellAnchor editAs="twoCell">
    <xdr:from>
      <xdr:col>0</xdr:col>
      <xdr:colOff>0</xdr:colOff>
      <xdr:row>37</xdr:row>
      <xdr:rowOff>0</xdr:rowOff>
    </xdr:from>
    <xdr:to>
      <xdr:col>0</xdr:col>
      <xdr:colOff>828000</xdr:colOff>
      <xdr:row>37</xdr:row>
      <xdr:rowOff>297000</xdr:rowOff>
    </xdr:to>
    <xdr:pic>
      <xdr:nvPicPr>
        <xdr:cNvPr id="1035" name="图片 266" descr="快充"/>
        <xdr:cNvPicPr/>
      </xdr:nvPicPr>
      <xdr:blipFill>
        <a:blip r:embed="rId22"/>
        <a:stretch/>
      </xdr:blipFill>
      <xdr:spPr>
        <a:xfrm>
          <a:off x="0" y="37312560"/>
          <a:ext cx="828000" cy="297000"/>
        </a:xfrm>
        <a:prstGeom prst="rect">
          <a:avLst/>
        </a:prstGeom>
        <a:noFill/>
        <a:ln w="9525">
          <a:noFill/>
        </a:ln>
      </xdr:spPr>
    </xdr:pic>
    <xdr:clientData/>
  </xdr:twoCellAnchor>
  <xdr:twoCellAnchor editAs="twoCell">
    <xdr:from>
      <xdr:col>0</xdr:col>
      <xdr:colOff>0</xdr:colOff>
      <xdr:row>38</xdr:row>
      <xdr:rowOff>0</xdr:rowOff>
    </xdr:from>
    <xdr:to>
      <xdr:col>0</xdr:col>
      <xdr:colOff>828000</xdr:colOff>
      <xdr:row>38</xdr:row>
      <xdr:rowOff>297000</xdr:rowOff>
    </xdr:to>
    <xdr:pic>
      <xdr:nvPicPr>
        <xdr:cNvPr id="1036" name="图片 269" descr="快充"/>
        <xdr:cNvPicPr/>
      </xdr:nvPicPr>
      <xdr:blipFill>
        <a:blip r:embed="rId23"/>
        <a:stretch/>
      </xdr:blipFill>
      <xdr:spPr>
        <a:xfrm>
          <a:off x="0" y="38773080"/>
          <a:ext cx="828000" cy="297000"/>
        </a:xfrm>
        <a:prstGeom prst="rect">
          <a:avLst/>
        </a:prstGeom>
        <a:noFill/>
        <a:ln w="9525">
          <a:noFill/>
        </a:ln>
      </xdr:spPr>
    </xdr:pic>
    <xdr:clientData/>
  </xdr:twoCellAnchor>
  <xdr:twoCellAnchor editAs="twoCell">
    <xdr:from>
      <xdr:col>0</xdr:col>
      <xdr:colOff>0</xdr:colOff>
      <xdr:row>39</xdr:row>
      <xdr:rowOff>0</xdr:rowOff>
    </xdr:from>
    <xdr:to>
      <xdr:col>0</xdr:col>
      <xdr:colOff>828000</xdr:colOff>
      <xdr:row>39</xdr:row>
      <xdr:rowOff>297000</xdr:rowOff>
    </xdr:to>
    <xdr:pic>
      <xdr:nvPicPr>
        <xdr:cNvPr id="1037" name="图片 270" descr="快充"/>
        <xdr:cNvPicPr/>
      </xdr:nvPicPr>
      <xdr:blipFill>
        <a:blip r:embed="rId24"/>
        <a:stretch/>
      </xdr:blipFill>
      <xdr:spPr>
        <a:xfrm>
          <a:off x="0" y="40233600"/>
          <a:ext cx="828000" cy="297000"/>
        </a:xfrm>
        <a:prstGeom prst="rect">
          <a:avLst/>
        </a:prstGeom>
        <a:noFill/>
        <a:ln w="9525">
          <a:noFill/>
        </a:ln>
      </xdr:spPr>
    </xdr:pic>
    <xdr:clientData/>
  </xdr:twoCellAnchor>
  <xdr:twoCellAnchor editAs="twoCell">
    <xdr:from>
      <xdr:col>0</xdr:col>
      <xdr:colOff>0</xdr:colOff>
      <xdr:row>41</xdr:row>
      <xdr:rowOff>0</xdr:rowOff>
    </xdr:from>
    <xdr:to>
      <xdr:col>0</xdr:col>
      <xdr:colOff>828000</xdr:colOff>
      <xdr:row>41</xdr:row>
      <xdr:rowOff>297000</xdr:rowOff>
    </xdr:to>
    <xdr:pic>
      <xdr:nvPicPr>
        <xdr:cNvPr id="1038" name="图片 276" descr="快充"/>
        <xdr:cNvPicPr/>
      </xdr:nvPicPr>
      <xdr:blipFill>
        <a:blip r:embed="rId25"/>
        <a:stretch/>
      </xdr:blipFill>
      <xdr:spPr>
        <a:xfrm>
          <a:off x="0" y="43154640"/>
          <a:ext cx="828000" cy="297000"/>
        </a:xfrm>
        <a:prstGeom prst="rect">
          <a:avLst/>
        </a:prstGeom>
        <a:noFill/>
        <a:ln w="9525">
          <a:noFill/>
        </a:ln>
      </xdr:spPr>
    </xdr:pic>
    <xdr:clientData/>
  </xdr:twoCellAnchor>
  <xdr:twoCellAnchor editAs="oneCell">
    <xdr:from>
      <xdr:col>1</xdr:col>
      <xdr:colOff>38160</xdr:colOff>
      <xdr:row>39</xdr:row>
      <xdr:rowOff>146160</xdr:rowOff>
    </xdr:from>
    <xdr:to>
      <xdr:col>1</xdr:col>
      <xdr:colOff>1208880</xdr:colOff>
      <xdr:row>39</xdr:row>
      <xdr:rowOff>1313640</xdr:rowOff>
    </xdr:to>
    <xdr:pic>
      <xdr:nvPicPr>
        <xdr:cNvPr id="1039" name="图片 48" descr="2"/>
        <xdr:cNvPicPr/>
      </xdr:nvPicPr>
      <xdr:blipFill>
        <a:blip r:embed="rId26"/>
        <a:stretch/>
      </xdr:blipFill>
      <xdr:spPr>
        <a:xfrm>
          <a:off x="4039920" y="40379760"/>
          <a:ext cx="1170720" cy="1167480"/>
        </a:xfrm>
        <a:prstGeom prst="rect">
          <a:avLst/>
        </a:prstGeom>
        <a:noFill/>
        <a:ln w="9525">
          <a:noFill/>
        </a:ln>
      </xdr:spPr>
    </xdr:pic>
    <xdr:clientData/>
  </xdr:twoCellAnchor>
  <xdr:twoCellAnchor editAs="oneCell">
    <xdr:from>
      <xdr:col>1</xdr:col>
      <xdr:colOff>38160</xdr:colOff>
      <xdr:row>38</xdr:row>
      <xdr:rowOff>143280</xdr:rowOff>
    </xdr:from>
    <xdr:to>
      <xdr:col>1</xdr:col>
      <xdr:colOff>1208880</xdr:colOff>
      <xdr:row>38</xdr:row>
      <xdr:rowOff>1316520</xdr:rowOff>
    </xdr:to>
    <xdr:pic>
      <xdr:nvPicPr>
        <xdr:cNvPr id="1040" name="图片 12" descr="2"/>
        <xdr:cNvPicPr/>
      </xdr:nvPicPr>
      <xdr:blipFill>
        <a:blip r:embed="rId27"/>
        <a:stretch/>
      </xdr:blipFill>
      <xdr:spPr>
        <a:xfrm>
          <a:off x="4039920" y="38916360"/>
          <a:ext cx="1170720" cy="1173240"/>
        </a:xfrm>
        <a:prstGeom prst="rect">
          <a:avLst/>
        </a:prstGeom>
        <a:noFill/>
        <a:ln w="9525">
          <a:noFill/>
        </a:ln>
      </xdr:spPr>
    </xdr:pic>
    <xdr:clientData/>
  </xdr:twoCellAnchor>
  <xdr:twoCellAnchor editAs="oneCell">
    <xdr:from>
      <xdr:col>1</xdr:col>
      <xdr:colOff>38160</xdr:colOff>
      <xdr:row>40</xdr:row>
      <xdr:rowOff>146880</xdr:rowOff>
    </xdr:from>
    <xdr:to>
      <xdr:col>1</xdr:col>
      <xdr:colOff>1208880</xdr:colOff>
      <xdr:row>40</xdr:row>
      <xdr:rowOff>1313280</xdr:rowOff>
    </xdr:to>
    <xdr:pic>
      <xdr:nvPicPr>
        <xdr:cNvPr id="1041" name="图片 9" descr="4"/>
        <xdr:cNvPicPr/>
      </xdr:nvPicPr>
      <xdr:blipFill>
        <a:blip r:embed="rId28"/>
        <a:stretch/>
      </xdr:blipFill>
      <xdr:spPr>
        <a:xfrm>
          <a:off x="4039920" y="41841000"/>
          <a:ext cx="1170720" cy="1166400"/>
        </a:xfrm>
        <a:prstGeom prst="rect">
          <a:avLst/>
        </a:prstGeom>
        <a:noFill/>
        <a:ln w="9525">
          <a:noFill/>
        </a:ln>
      </xdr:spPr>
    </xdr:pic>
    <xdr:clientData/>
  </xdr:twoCellAnchor>
  <xdr:twoCellAnchor editAs="oneCell">
    <xdr:from>
      <xdr:col>2</xdr:col>
      <xdr:colOff>38160</xdr:colOff>
      <xdr:row>40</xdr:row>
      <xdr:rowOff>143280</xdr:rowOff>
    </xdr:from>
    <xdr:to>
      <xdr:col>2</xdr:col>
      <xdr:colOff>1208880</xdr:colOff>
      <xdr:row>40</xdr:row>
      <xdr:rowOff>1316520</xdr:rowOff>
    </xdr:to>
    <xdr:pic>
      <xdr:nvPicPr>
        <xdr:cNvPr id="1042" name="图片 17" descr="13"/>
        <xdr:cNvPicPr/>
      </xdr:nvPicPr>
      <xdr:blipFill>
        <a:blip r:embed="rId29"/>
        <a:stretch/>
      </xdr:blipFill>
      <xdr:spPr>
        <a:xfrm>
          <a:off x="5605920" y="41837400"/>
          <a:ext cx="1170720" cy="1173240"/>
        </a:xfrm>
        <a:prstGeom prst="rect">
          <a:avLst/>
        </a:prstGeom>
        <a:noFill/>
        <a:ln w="9525">
          <a:noFill/>
        </a:ln>
      </xdr:spPr>
    </xdr:pic>
    <xdr:clientData/>
  </xdr:twoCellAnchor>
  <xdr:twoCellAnchor editAs="twoCell">
    <xdr:from>
      <xdr:col>0</xdr:col>
      <xdr:colOff>9360</xdr:colOff>
      <xdr:row>28</xdr:row>
      <xdr:rowOff>0</xdr:rowOff>
    </xdr:from>
    <xdr:to>
      <xdr:col>0</xdr:col>
      <xdr:colOff>837360</xdr:colOff>
      <xdr:row>28</xdr:row>
      <xdr:rowOff>297000</xdr:rowOff>
    </xdr:to>
    <xdr:pic>
      <xdr:nvPicPr>
        <xdr:cNvPr id="1043" name="图片 159" descr="快充"/>
        <xdr:cNvPicPr/>
      </xdr:nvPicPr>
      <xdr:blipFill>
        <a:blip r:embed="rId30"/>
        <a:stretch/>
      </xdr:blipFill>
      <xdr:spPr>
        <a:xfrm>
          <a:off x="9360" y="24168240"/>
          <a:ext cx="828000" cy="297000"/>
        </a:xfrm>
        <a:prstGeom prst="rect">
          <a:avLst/>
        </a:prstGeom>
        <a:noFill/>
        <a:ln w="9525">
          <a:noFill/>
        </a:ln>
      </xdr:spPr>
    </xdr:pic>
    <xdr:clientData/>
  </xdr:twoCellAnchor>
  <xdr:twoCellAnchor editAs="twoCell">
    <xdr:from>
      <xdr:col>0</xdr:col>
      <xdr:colOff>9360</xdr:colOff>
      <xdr:row>27</xdr:row>
      <xdr:rowOff>0</xdr:rowOff>
    </xdr:from>
    <xdr:to>
      <xdr:col>0</xdr:col>
      <xdr:colOff>837360</xdr:colOff>
      <xdr:row>27</xdr:row>
      <xdr:rowOff>297000</xdr:rowOff>
    </xdr:to>
    <xdr:pic>
      <xdr:nvPicPr>
        <xdr:cNvPr id="1044" name="图片 175" descr="快充"/>
        <xdr:cNvPicPr/>
      </xdr:nvPicPr>
      <xdr:blipFill>
        <a:blip r:embed="rId31"/>
        <a:stretch/>
      </xdr:blipFill>
      <xdr:spPr>
        <a:xfrm>
          <a:off x="9360" y="22707720"/>
          <a:ext cx="828000" cy="297000"/>
        </a:xfrm>
        <a:prstGeom prst="rect">
          <a:avLst/>
        </a:prstGeom>
        <a:noFill/>
        <a:ln w="9525">
          <a:noFill/>
        </a:ln>
      </xdr:spPr>
    </xdr:pic>
    <xdr:clientData/>
  </xdr:twoCellAnchor>
  <xdr:twoCellAnchor editAs="twoCell">
    <xdr:from>
      <xdr:col>0</xdr:col>
      <xdr:colOff>9360</xdr:colOff>
      <xdr:row>26</xdr:row>
      <xdr:rowOff>0</xdr:rowOff>
    </xdr:from>
    <xdr:to>
      <xdr:col>0</xdr:col>
      <xdr:colOff>837360</xdr:colOff>
      <xdr:row>26</xdr:row>
      <xdr:rowOff>297000</xdr:rowOff>
    </xdr:to>
    <xdr:pic>
      <xdr:nvPicPr>
        <xdr:cNvPr id="1045" name="图片 181" descr="快充"/>
        <xdr:cNvPicPr/>
      </xdr:nvPicPr>
      <xdr:blipFill>
        <a:blip r:embed="rId32"/>
        <a:stretch/>
      </xdr:blipFill>
      <xdr:spPr>
        <a:xfrm>
          <a:off x="9360" y="21247200"/>
          <a:ext cx="828000" cy="297000"/>
        </a:xfrm>
        <a:prstGeom prst="rect">
          <a:avLst/>
        </a:prstGeom>
        <a:noFill/>
        <a:ln w="9525">
          <a:noFill/>
        </a:ln>
      </xdr:spPr>
    </xdr:pic>
    <xdr:clientData/>
  </xdr:twoCellAnchor>
  <xdr:twoCellAnchor editAs="oneCell">
    <xdr:from>
      <xdr:col>1</xdr:col>
      <xdr:colOff>38160</xdr:colOff>
      <xdr:row>5</xdr:row>
      <xdr:rowOff>143640</xdr:rowOff>
    </xdr:from>
    <xdr:to>
      <xdr:col>1</xdr:col>
      <xdr:colOff>1208880</xdr:colOff>
      <xdr:row>5</xdr:row>
      <xdr:rowOff>1316160</xdr:rowOff>
    </xdr:to>
    <xdr:pic>
      <xdr:nvPicPr>
        <xdr:cNvPr id="1046" name="图片 184" descr="1(4)"/>
        <xdr:cNvPicPr/>
      </xdr:nvPicPr>
      <xdr:blipFill>
        <a:blip r:embed="rId33"/>
        <a:stretch/>
      </xdr:blipFill>
      <xdr:spPr>
        <a:xfrm>
          <a:off x="4039920" y="3001320"/>
          <a:ext cx="1170720" cy="1172520"/>
        </a:xfrm>
        <a:prstGeom prst="rect">
          <a:avLst/>
        </a:prstGeom>
        <a:noFill/>
        <a:ln w="9525">
          <a:noFill/>
        </a:ln>
      </xdr:spPr>
    </xdr:pic>
    <xdr:clientData/>
  </xdr:twoCellAnchor>
  <xdr:twoCellAnchor editAs="oneCell">
    <xdr:from>
      <xdr:col>2</xdr:col>
      <xdr:colOff>38160</xdr:colOff>
      <xdr:row>5</xdr:row>
      <xdr:rowOff>143280</xdr:rowOff>
    </xdr:from>
    <xdr:to>
      <xdr:col>2</xdr:col>
      <xdr:colOff>1208880</xdr:colOff>
      <xdr:row>5</xdr:row>
      <xdr:rowOff>1316520</xdr:rowOff>
    </xdr:to>
    <xdr:pic>
      <xdr:nvPicPr>
        <xdr:cNvPr id="1047" name="图片 185" descr="9(1)"/>
        <xdr:cNvPicPr/>
      </xdr:nvPicPr>
      <xdr:blipFill>
        <a:blip r:embed="rId34"/>
        <a:stretch/>
      </xdr:blipFill>
      <xdr:spPr>
        <a:xfrm>
          <a:off x="5605920" y="3000960"/>
          <a:ext cx="1170720" cy="1173240"/>
        </a:xfrm>
        <a:prstGeom prst="rect">
          <a:avLst/>
        </a:prstGeom>
        <a:noFill/>
        <a:ln w="9525">
          <a:noFill/>
        </a:ln>
      </xdr:spPr>
    </xdr:pic>
    <xdr:clientData/>
  </xdr:twoCellAnchor>
  <xdr:twoCellAnchor editAs="oneCell">
    <xdr:from>
      <xdr:col>2</xdr:col>
      <xdr:colOff>38160</xdr:colOff>
      <xdr:row>29</xdr:row>
      <xdr:rowOff>143280</xdr:rowOff>
    </xdr:from>
    <xdr:to>
      <xdr:col>2</xdr:col>
      <xdr:colOff>1208880</xdr:colOff>
      <xdr:row>29</xdr:row>
      <xdr:rowOff>1316520</xdr:rowOff>
    </xdr:to>
    <xdr:pic>
      <xdr:nvPicPr>
        <xdr:cNvPr id="1048" name="图片 87" descr="9"/>
        <xdr:cNvPicPr/>
      </xdr:nvPicPr>
      <xdr:blipFill>
        <a:blip r:embed="rId35"/>
        <a:stretch/>
      </xdr:blipFill>
      <xdr:spPr>
        <a:xfrm>
          <a:off x="5605920" y="25772040"/>
          <a:ext cx="1170720" cy="1173240"/>
        </a:xfrm>
        <a:prstGeom prst="rect">
          <a:avLst/>
        </a:prstGeom>
        <a:noFill/>
        <a:ln w="9525">
          <a:noFill/>
        </a:ln>
      </xdr:spPr>
    </xdr:pic>
    <xdr:clientData/>
  </xdr:twoCellAnchor>
  <xdr:twoCellAnchor editAs="oneCell">
    <xdr:from>
      <xdr:col>2</xdr:col>
      <xdr:colOff>38160</xdr:colOff>
      <xdr:row>30</xdr:row>
      <xdr:rowOff>144000</xdr:rowOff>
    </xdr:from>
    <xdr:to>
      <xdr:col>2</xdr:col>
      <xdr:colOff>1208880</xdr:colOff>
      <xdr:row>30</xdr:row>
      <xdr:rowOff>1315440</xdr:rowOff>
    </xdr:to>
    <xdr:pic>
      <xdr:nvPicPr>
        <xdr:cNvPr id="1049" name="图片 95" descr="9"/>
        <xdr:cNvPicPr/>
      </xdr:nvPicPr>
      <xdr:blipFill>
        <a:blip r:embed="rId36"/>
        <a:stretch/>
      </xdr:blipFill>
      <xdr:spPr>
        <a:xfrm>
          <a:off x="5605920" y="27233280"/>
          <a:ext cx="1170720" cy="1171440"/>
        </a:xfrm>
        <a:prstGeom prst="rect">
          <a:avLst/>
        </a:prstGeom>
        <a:noFill/>
        <a:ln w="9525">
          <a:noFill/>
        </a:ln>
      </xdr:spPr>
    </xdr:pic>
    <xdr:clientData/>
  </xdr:twoCellAnchor>
  <xdr:twoCellAnchor editAs="oneCell">
    <xdr:from>
      <xdr:col>2</xdr:col>
      <xdr:colOff>38160</xdr:colOff>
      <xdr:row>35</xdr:row>
      <xdr:rowOff>142200</xdr:rowOff>
    </xdr:from>
    <xdr:to>
      <xdr:col>2</xdr:col>
      <xdr:colOff>1208880</xdr:colOff>
      <xdr:row>35</xdr:row>
      <xdr:rowOff>1317600</xdr:rowOff>
    </xdr:to>
    <xdr:pic>
      <xdr:nvPicPr>
        <xdr:cNvPr id="1050" name="图片 115" descr="9"/>
        <xdr:cNvPicPr/>
      </xdr:nvPicPr>
      <xdr:blipFill>
        <a:blip r:embed="rId37"/>
        <a:stretch/>
      </xdr:blipFill>
      <xdr:spPr>
        <a:xfrm>
          <a:off x="5605920" y="34533720"/>
          <a:ext cx="1170720" cy="1175400"/>
        </a:xfrm>
        <a:prstGeom prst="rect">
          <a:avLst/>
        </a:prstGeom>
        <a:noFill/>
        <a:ln w="9525">
          <a:noFill/>
        </a:ln>
      </xdr:spPr>
    </xdr:pic>
    <xdr:clientData/>
  </xdr:twoCellAnchor>
  <xdr:twoCellAnchor editAs="oneCell">
    <xdr:from>
      <xdr:col>2</xdr:col>
      <xdr:colOff>38160</xdr:colOff>
      <xdr:row>36</xdr:row>
      <xdr:rowOff>144000</xdr:rowOff>
    </xdr:from>
    <xdr:to>
      <xdr:col>2</xdr:col>
      <xdr:colOff>1208880</xdr:colOff>
      <xdr:row>36</xdr:row>
      <xdr:rowOff>1315440</xdr:rowOff>
    </xdr:to>
    <xdr:pic>
      <xdr:nvPicPr>
        <xdr:cNvPr id="1051" name="图片 116" descr="9"/>
        <xdr:cNvPicPr/>
      </xdr:nvPicPr>
      <xdr:blipFill>
        <a:blip r:embed="rId38"/>
        <a:stretch/>
      </xdr:blipFill>
      <xdr:spPr>
        <a:xfrm>
          <a:off x="5605920" y="35996040"/>
          <a:ext cx="1170720" cy="1171440"/>
        </a:xfrm>
        <a:prstGeom prst="rect">
          <a:avLst/>
        </a:prstGeom>
        <a:noFill/>
        <a:ln w="9525">
          <a:noFill/>
        </a:ln>
      </xdr:spPr>
    </xdr:pic>
    <xdr:clientData/>
  </xdr:twoCellAnchor>
  <xdr:twoCellAnchor editAs="oneCell">
    <xdr:from>
      <xdr:col>2</xdr:col>
      <xdr:colOff>38160</xdr:colOff>
      <xdr:row>37</xdr:row>
      <xdr:rowOff>139680</xdr:rowOff>
    </xdr:from>
    <xdr:to>
      <xdr:col>2</xdr:col>
      <xdr:colOff>1208880</xdr:colOff>
      <xdr:row>37</xdr:row>
      <xdr:rowOff>1319760</xdr:rowOff>
    </xdr:to>
    <xdr:pic>
      <xdr:nvPicPr>
        <xdr:cNvPr id="1052" name="图片 117" descr="9"/>
        <xdr:cNvPicPr/>
      </xdr:nvPicPr>
      <xdr:blipFill>
        <a:blip r:embed="rId39"/>
        <a:stretch/>
      </xdr:blipFill>
      <xdr:spPr>
        <a:xfrm>
          <a:off x="5605920" y="37452240"/>
          <a:ext cx="1170720" cy="1180080"/>
        </a:xfrm>
        <a:prstGeom prst="rect">
          <a:avLst/>
        </a:prstGeom>
        <a:noFill/>
        <a:ln w="9525">
          <a:noFill/>
        </a:ln>
      </xdr:spPr>
    </xdr:pic>
    <xdr:clientData/>
  </xdr:twoCellAnchor>
  <xdr:twoCellAnchor editAs="oneCell">
    <xdr:from>
      <xdr:col>2</xdr:col>
      <xdr:colOff>38160</xdr:colOff>
      <xdr:row>38</xdr:row>
      <xdr:rowOff>144720</xdr:rowOff>
    </xdr:from>
    <xdr:to>
      <xdr:col>2</xdr:col>
      <xdr:colOff>1208880</xdr:colOff>
      <xdr:row>38</xdr:row>
      <xdr:rowOff>1315080</xdr:rowOff>
    </xdr:to>
    <xdr:pic>
      <xdr:nvPicPr>
        <xdr:cNvPr id="1053" name="图片 124" descr="10"/>
        <xdr:cNvPicPr/>
      </xdr:nvPicPr>
      <xdr:blipFill>
        <a:blip r:embed="rId40"/>
        <a:stretch/>
      </xdr:blipFill>
      <xdr:spPr>
        <a:xfrm>
          <a:off x="5605920" y="38917800"/>
          <a:ext cx="1170720" cy="1170360"/>
        </a:xfrm>
        <a:prstGeom prst="rect">
          <a:avLst/>
        </a:prstGeom>
        <a:noFill/>
        <a:ln w="9525">
          <a:noFill/>
        </a:ln>
      </xdr:spPr>
    </xdr:pic>
    <xdr:clientData/>
  </xdr:twoCellAnchor>
  <xdr:twoCellAnchor editAs="oneCell">
    <xdr:from>
      <xdr:col>2</xdr:col>
      <xdr:colOff>38160</xdr:colOff>
      <xdr:row>39</xdr:row>
      <xdr:rowOff>146880</xdr:rowOff>
    </xdr:from>
    <xdr:to>
      <xdr:col>2</xdr:col>
      <xdr:colOff>1208880</xdr:colOff>
      <xdr:row>39</xdr:row>
      <xdr:rowOff>1313280</xdr:rowOff>
    </xdr:to>
    <xdr:pic>
      <xdr:nvPicPr>
        <xdr:cNvPr id="1054" name="图片 125" descr="10"/>
        <xdr:cNvPicPr/>
      </xdr:nvPicPr>
      <xdr:blipFill>
        <a:blip r:embed="rId41"/>
        <a:stretch/>
      </xdr:blipFill>
      <xdr:spPr>
        <a:xfrm>
          <a:off x="5605920" y="40380480"/>
          <a:ext cx="1170720" cy="1166400"/>
        </a:xfrm>
        <a:prstGeom prst="rect">
          <a:avLst/>
        </a:prstGeom>
        <a:noFill/>
        <a:ln w="9525">
          <a:noFill/>
        </a:ln>
      </xdr:spPr>
    </xdr:pic>
    <xdr:clientData/>
  </xdr:twoCellAnchor>
  <xdr:twoCellAnchor editAs="oneCell">
    <xdr:from>
      <xdr:col>1</xdr:col>
      <xdr:colOff>38160</xdr:colOff>
      <xdr:row>16</xdr:row>
      <xdr:rowOff>173880</xdr:rowOff>
    </xdr:from>
    <xdr:to>
      <xdr:col>1</xdr:col>
      <xdr:colOff>1208880</xdr:colOff>
      <xdr:row>17</xdr:row>
      <xdr:rowOff>587520</xdr:rowOff>
    </xdr:to>
    <xdr:pic>
      <xdr:nvPicPr>
        <xdr:cNvPr id="1055" name="图片 7" descr="2(3)"/>
        <xdr:cNvPicPr/>
      </xdr:nvPicPr>
      <xdr:blipFill>
        <a:blip r:embed="rId42"/>
        <a:stretch/>
      </xdr:blipFill>
      <xdr:spPr>
        <a:xfrm>
          <a:off x="4039920" y="12404160"/>
          <a:ext cx="1170720" cy="1175400"/>
        </a:xfrm>
        <a:prstGeom prst="rect">
          <a:avLst/>
        </a:prstGeom>
        <a:noFill/>
        <a:ln w="9525">
          <a:noFill/>
        </a:ln>
      </xdr:spPr>
    </xdr:pic>
    <xdr:clientData/>
  </xdr:twoCellAnchor>
  <xdr:twoCellAnchor editAs="oneCell">
    <xdr:from>
      <xdr:col>1</xdr:col>
      <xdr:colOff>38160</xdr:colOff>
      <xdr:row>10</xdr:row>
      <xdr:rowOff>173520</xdr:rowOff>
    </xdr:from>
    <xdr:to>
      <xdr:col>1</xdr:col>
      <xdr:colOff>1208880</xdr:colOff>
      <xdr:row>11</xdr:row>
      <xdr:rowOff>587880</xdr:rowOff>
    </xdr:to>
    <xdr:pic>
      <xdr:nvPicPr>
        <xdr:cNvPr id="1056" name="图片 32" descr="3(3)"/>
        <xdr:cNvPicPr/>
      </xdr:nvPicPr>
      <xdr:blipFill>
        <a:blip r:embed="rId43"/>
        <a:stretch/>
      </xdr:blipFill>
      <xdr:spPr>
        <a:xfrm>
          <a:off x="4039920" y="7831800"/>
          <a:ext cx="1170720" cy="1176120"/>
        </a:xfrm>
        <a:prstGeom prst="rect">
          <a:avLst/>
        </a:prstGeom>
        <a:noFill/>
        <a:ln w="9525">
          <a:noFill/>
        </a:ln>
      </xdr:spPr>
    </xdr:pic>
    <xdr:clientData/>
  </xdr:twoCellAnchor>
  <xdr:twoCellAnchor editAs="oneCell">
    <xdr:from>
      <xdr:col>1</xdr:col>
      <xdr:colOff>38160</xdr:colOff>
      <xdr:row>12</xdr:row>
      <xdr:rowOff>173520</xdr:rowOff>
    </xdr:from>
    <xdr:to>
      <xdr:col>1</xdr:col>
      <xdr:colOff>1208880</xdr:colOff>
      <xdr:row>13</xdr:row>
      <xdr:rowOff>587520</xdr:rowOff>
    </xdr:to>
    <xdr:pic>
      <xdr:nvPicPr>
        <xdr:cNvPr id="1057" name="图片 35" descr="3(4)"/>
        <xdr:cNvPicPr/>
      </xdr:nvPicPr>
      <xdr:blipFill>
        <a:blip r:embed="rId44"/>
        <a:stretch/>
      </xdr:blipFill>
      <xdr:spPr>
        <a:xfrm>
          <a:off x="4039920" y="9355680"/>
          <a:ext cx="1170720" cy="1176120"/>
        </a:xfrm>
        <a:prstGeom prst="rect">
          <a:avLst/>
        </a:prstGeom>
        <a:noFill/>
        <a:ln w="9525">
          <a:noFill/>
        </a:ln>
      </xdr:spPr>
    </xdr:pic>
    <xdr:clientData/>
  </xdr:twoCellAnchor>
  <xdr:twoCellAnchor editAs="oneCell">
    <xdr:from>
      <xdr:col>1</xdr:col>
      <xdr:colOff>38160</xdr:colOff>
      <xdr:row>14</xdr:row>
      <xdr:rowOff>173520</xdr:rowOff>
    </xdr:from>
    <xdr:to>
      <xdr:col>1</xdr:col>
      <xdr:colOff>1208880</xdr:colOff>
      <xdr:row>15</xdr:row>
      <xdr:rowOff>587520</xdr:rowOff>
    </xdr:to>
    <xdr:pic>
      <xdr:nvPicPr>
        <xdr:cNvPr id="1058" name="图片 39" descr="3(5)"/>
        <xdr:cNvPicPr/>
      </xdr:nvPicPr>
      <xdr:blipFill>
        <a:blip r:embed="rId45"/>
        <a:stretch/>
      </xdr:blipFill>
      <xdr:spPr>
        <a:xfrm>
          <a:off x="4039920" y="10879560"/>
          <a:ext cx="1170720" cy="1176120"/>
        </a:xfrm>
        <a:prstGeom prst="rect">
          <a:avLst/>
        </a:prstGeom>
        <a:noFill/>
        <a:ln w="9525">
          <a:noFill/>
        </a:ln>
      </xdr:spPr>
    </xdr:pic>
    <xdr:clientData/>
  </xdr:twoCellAnchor>
  <xdr:twoCellAnchor editAs="oneCell">
    <xdr:from>
      <xdr:col>1</xdr:col>
      <xdr:colOff>38160</xdr:colOff>
      <xdr:row>20</xdr:row>
      <xdr:rowOff>173880</xdr:rowOff>
    </xdr:from>
    <xdr:to>
      <xdr:col>1</xdr:col>
      <xdr:colOff>1208880</xdr:colOff>
      <xdr:row>21</xdr:row>
      <xdr:rowOff>587520</xdr:rowOff>
    </xdr:to>
    <xdr:pic>
      <xdr:nvPicPr>
        <xdr:cNvPr id="1059" name="图片 40" descr="3(6)"/>
        <xdr:cNvPicPr/>
      </xdr:nvPicPr>
      <xdr:blipFill>
        <a:blip r:embed="rId46"/>
        <a:stretch/>
      </xdr:blipFill>
      <xdr:spPr>
        <a:xfrm>
          <a:off x="4039920" y="16849080"/>
          <a:ext cx="1170720" cy="1175400"/>
        </a:xfrm>
        <a:prstGeom prst="rect">
          <a:avLst/>
        </a:prstGeom>
        <a:noFill/>
        <a:ln w="9525">
          <a:noFill/>
        </a:ln>
      </xdr:spPr>
    </xdr:pic>
    <xdr:clientData/>
  </xdr:twoCellAnchor>
  <xdr:twoCellAnchor editAs="oneCell">
    <xdr:from>
      <xdr:col>1</xdr:col>
      <xdr:colOff>38160</xdr:colOff>
      <xdr:row>24</xdr:row>
      <xdr:rowOff>173880</xdr:rowOff>
    </xdr:from>
    <xdr:to>
      <xdr:col>1</xdr:col>
      <xdr:colOff>1208880</xdr:colOff>
      <xdr:row>25</xdr:row>
      <xdr:rowOff>587160</xdr:rowOff>
    </xdr:to>
    <xdr:pic>
      <xdr:nvPicPr>
        <xdr:cNvPr id="1060" name="图片 41" descr="3(7)"/>
        <xdr:cNvPicPr/>
      </xdr:nvPicPr>
      <xdr:blipFill>
        <a:blip r:embed="rId47"/>
        <a:stretch/>
      </xdr:blipFill>
      <xdr:spPr>
        <a:xfrm>
          <a:off x="4039920" y="19896840"/>
          <a:ext cx="1170720" cy="1175400"/>
        </a:xfrm>
        <a:prstGeom prst="rect">
          <a:avLst/>
        </a:prstGeom>
        <a:noFill/>
        <a:ln w="9525">
          <a:noFill/>
        </a:ln>
      </xdr:spPr>
    </xdr:pic>
    <xdr:clientData/>
  </xdr:twoCellAnchor>
  <xdr:twoCellAnchor editAs="oneCell">
    <xdr:from>
      <xdr:col>1</xdr:col>
      <xdr:colOff>38160</xdr:colOff>
      <xdr:row>22</xdr:row>
      <xdr:rowOff>173880</xdr:rowOff>
    </xdr:from>
    <xdr:to>
      <xdr:col>1</xdr:col>
      <xdr:colOff>1208880</xdr:colOff>
      <xdr:row>23</xdr:row>
      <xdr:rowOff>587160</xdr:rowOff>
    </xdr:to>
    <xdr:pic>
      <xdr:nvPicPr>
        <xdr:cNvPr id="1061" name="图片 42" descr="3(8)"/>
        <xdr:cNvPicPr/>
      </xdr:nvPicPr>
      <xdr:blipFill>
        <a:blip r:embed="rId48"/>
        <a:stretch/>
      </xdr:blipFill>
      <xdr:spPr>
        <a:xfrm>
          <a:off x="4039920" y="18372960"/>
          <a:ext cx="1170720" cy="1175400"/>
        </a:xfrm>
        <a:prstGeom prst="rect">
          <a:avLst/>
        </a:prstGeom>
        <a:noFill/>
        <a:ln w="9525">
          <a:noFill/>
        </a:ln>
      </xdr:spPr>
    </xdr:pic>
    <xdr:clientData/>
  </xdr:twoCellAnchor>
  <xdr:twoCellAnchor editAs="oneCell">
    <xdr:from>
      <xdr:col>2</xdr:col>
      <xdr:colOff>38160</xdr:colOff>
      <xdr:row>10</xdr:row>
      <xdr:rowOff>173880</xdr:rowOff>
    </xdr:from>
    <xdr:to>
      <xdr:col>2</xdr:col>
      <xdr:colOff>1208880</xdr:colOff>
      <xdr:row>11</xdr:row>
      <xdr:rowOff>587520</xdr:rowOff>
    </xdr:to>
    <xdr:pic>
      <xdr:nvPicPr>
        <xdr:cNvPr id="1062" name="图片 44" descr="11(7)"/>
        <xdr:cNvPicPr/>
      </xdr:nvPicPr>
      <xdr:blipFill>
        <a:blip r:embed="rId49"/>
        <a:stretch/>
      </xdr:blipFill>
      <xdr:spPr>
        <a:xfrm>
          <a:off x="5605920" y="7832160"/>
          <a:ext cx="1170720" cy="1175400"/>
        </a:xfrm>
        <a:prstGeom prst="rect">
          <a:avLst/>
        </a:prstGeom>
        <a:noFill/>
        <a:ln w="9525">
          <a:noFill/>
        </a:ln>
      </xdr:spPr>
    </xdr:pic>
    <xdr:clientData/>
  </xdr:twoCellAnchor>
  <xdr:twoCellAnchor editAs="oneCell">
    <xdr:from>
      <xdr:col>2</xdr:col>
      <xdr:colOff>38160</xdr:colOff>
      <xdr:row>12</xdr:row>
      <xdr:rowOff>172440</xdr:rowOff>
    </xdr:from>
    <xdr:to>
      <xdr:col>2</xdr:col>
      <xdr:colOff>1208880</xdr:colOff>
      <xdr:row>13</xdr:row>
      <xdr:rowOff>588600</xdr:rowOff>
    </xdr:to>
    <xdr:pic>
      <xdr:nvPicPr>
        <xdr:cNvPr id="1063" name="图片 49" descr="11(8)"/>
        <xdr:cNvPicPr/>
      </xdr:nvPicPr>
      <xdr:blipFill>
        <a:blip r:embed="rId50"/>
        <a:stretch/>
      </xdr:blipFill>
      <xdr:spPr>
        <a:xfrm>
          <a:off x="5605920" y="9354600"/>
          <a:ext cx="1170720" cy="1178280"/>
        </a:xfrm>
        <a:prstGeom prst="rect">
          <a:avLst/>
        </a:prstGeom>
        <a:noFill/>
        <a:ln w="9525">
          <a:noFill/>
        </a:ln>
      </xdr:spPr>
    </xdr:pic>
    <xdr:clientData/>
  </xdr:twoCellAnchor>
  <xdr:twoCellAnchor editAs="oneCell">
    <xdr:from>
      <xdr:col>2</xdr:col>
      <xdr:colOff>38160</xdr:colOff>
      <xdr:row>14</xdr:row>
      <xdr:rowOff>173520</xdr:rowOff>
    </xdr:from>
    <xdr:to>
      <xdr:col>2</xdr:col>
      <xdr:colOff>1208880</xdr:colOff>
      <xdr:row>15</xdr:row>
      <xdr:rowOff>587520</xdr:rowOff>
    </xdr:to>
    <xdr:pic>
      <xdr:nvPicPr>
        <xdr:cNvPr id="1064" name="图片 50" descr="11(9)"/>
        <xdr:cNvPicPr/>
      </xdr:nvPicPr>
      <xdr:blipFill>
        <a:blip r:embed="rId51"/>
        <a:stretch/>
      </xdr:blipFill>
      <xdr:spPr>
        <a:xfrm>
          <a:off x="5605920" y="10879560"/>
          <a:ext cx="1170720" cy="1176120"/>
        </a:xfrm>
        <a:prstGeom prst="rect">
          <a:avLst/>
        </a:prstGeom>
        <a:noFill/>
        <a:ln w="9525">
          <a:noFill/>
        </a:ln>
      </xdr:spPr>
    </xdr:pic>
    <xdr:clientData/>
  </xdr:twoCellAnchor>
  <xdr:twoCellAnchor editAs="oneCell">
    <xdr:from>
      <xdr:col>2</xdr:col>
      <xdr:colOff>38160</xdr:colOff>
      <xdr:row>16</xdr:row>
      <xdr:rowOff>173880</xdr:rowOff>
    </xdr:from>
    <xdr:to>
      <xdr:col>2</xdr:col>
      <xdr:colOff>1208880</xdr:colOff>
      <xdr:row>17</xdr:row>
      <xdr:rowOff>587520</xdr:rowOff>
    </xdr:to>
    <xdr:pic>
      <xdr:nvPicPr>
        <xdr:cNvPr id="1065" name="图片 53" descr="11(10)"/>
        <xdr:cNvPicPr/>
      </xdr:nvPicPr>
      <xdr:blipFill>
        <a:blip r:embed="rId52"/>
        <a:stretch/>
      </xdr:blipFill>
      <xdr:spPr>
        <a:xfrm>
          <a:off x="5605920" y="12404160"/>
          <a:ext cx="1170720" cy="1175400"/>
        </a:xfrm>
        <a:prstGeom prst="rect">
          <a:avLst/>
        </a:prstGeom>
        <a:noFill/>
        <a:ln w="9525">
          <a:noFill/>
        </a:ln>
      </xdr:spPr>
    </xdr:pic>
    <xdr:clientData/>
  </xdr:twoCellAnchor>
  <xdr:twoCellAnchor editAs="oneCell">
    <xdr:from>
      <xdr:col>2</xdr:col>
      <xdr:colOff>38160</xdr:colOff>
      <xdr:row>20</xdr:row>
      <xdr:rowOff>174600</xdr:rowOff>
    </xdr:from>
    <xdr:to>
      <xdr:col>2</xdr:col>
      <xdr:colOff>1208880</xdr:colOff>
      <xdr:row>21</xdr:row>
      <xdr:rowOff>587160</xdr:rowOff>
    </xdr:to>
    <xdr:pic>
      <xdr:nvPicPr>
        <xdr:cNvPr id="1066" name="图片 65" descr="11(13)"/>
        <xdr:cNvPicPr/>
      </xdr:nvPicPr>
      <xdr:blipFill>
        <a:blip r:embed="rId53"/>
        <a:stretch/>
      </xdr:blipFill>
      <xdr:spPr>
        <a:xfrm>
          <a:off x="5605920" y="16849800"/>
          <a:ext cx="1170720" cy="1174320"/>
        </a:xfrm>
        <a:prstGeom prst="rect">
          <a:avLst/>
        </a:prstGeom>
        <a:noFill/>
        <a:ln w="9525">
          <a:noFill/>
        </a:ln>
      </xdr:spPr>
    </xdr:pic>
    <xdr:clientData/>
  </xdr:twoCellAnchor>
  <xdr:twoCellAnchor editAs="oneCell">
    <xdr:from>
      <xdr:col>2</xdr:col>
      <xdr:colOff>38160</xdr:colOff>
      <xdr:row>24</xdr:row>
      <xdr:rowOff>173880</xdr:rowOff>
    </xdr:from>
    <xdr:to>
      <xdr:col>2</xdr:col>
      <xdr:colOff>1208880</xdr:colOff>
      <xdr:row>25</xdr:row>
      <xdr:rowOff>587160</xdr:rowOff>
    </xdr:to>
    <xdr:pic>
      <xdr:nvPicPr>
        <xdr:cNvPr id="1067" name="图片 67" descr="11(14)"/>
        <xdr:cNvPicPr/>
      </xdr:nvPicPr>
      <xdr:blipFill>
        <a:blip r:embed="rId54"/>
        <a:stretch/>
      </xdr:blipFill>
      <xdr:spPr>
        <a:xfrm>
          <a:off x="5605920" y="19896840"/>
          <a:ext cx="1170720" cy="1175400"/>
        </a:xfrm>
        <a:prstGeom prst="rect">
          <a:avLst/>
        </a:prstGeom>
        <a:noFill/>
        <a:ln w="9525">
          <a:noFill/>
        </a:ln>
      </xdr:spPr>
    </xdr:pic>
    <xdr:clientData/>
  </xdr:twoCellAnchor>
  <xdr:twoCellAnchor editAs="oneCell">
    <xdr:from>
      <xdr:col>2</xdr:col>
      <xdr:colOff>38160</xdr:colOff>
      <xdr:row>22</xdr:row>
      <xdr:rowOff>172440</xdr:rowOff>
    </xdr:from>
    <xdr:to>
      <xdr:col>2</xdr:col>
      <xdr:colOff>1208880</xdr:colOff>
      <xdr:row>23</xdr:row>
      <xdr:rowOff>588600</xdr:rowOff>
    </xdr:to>
    <xdr:pic>
      <xdr:nvPicPr>
        <xdr:cNvPr id="1068" name="图片 81" descr="11(15)"/>
        <xdr:cNvPicPr/>
      </xdr:nvPicPr>
      <xdr:blipFill>
        <a:blip r:embed="rId55"/>
        <a:stretch/>
      </xdr:blipFill>
      <xdr:spPr>
        <a:xfrm>
          <a:off x="5605920" y="18371520"/>
          <a:ext cx="1170720" cy="1178280"/>
        </a:xfrm>
        <a:prstGeom prst="rect">
          <a:avLst/>
        </a:prstGeom>
        <a:noFill/>
        <a:ln w="9525">
          <a:noFill/>
        </a:ln>
      </xdr:spPr>
    </xdr:pic>
    <xdr:clientData/>
  </xdr:twoCellAnchor>
  <xdr:twoCellAnchor editAs="twoCell">
    <xdr:from>
      <xdr:col>0</xdr:col>
      <xdr:colOff>9360</xdr:colOff>
      <xdr:row>12</xdr:row>
      <xdr:rowOff>0</xdr:rowOff>
    </xdr:from>
    <xdr:to>
      <xdr:col>0</xdr:col>
      <xdr:colOff>837360</xdr:colOff>
      <xdr:row>12</xdr:row>
      <xdr:rowOff>297000</xdr:rowOff>
    </xdr:to>
    <xdr:pic>
      <xdr:nvPicPr>
        <xdr:cNvPr id="1069" name="图片 111" descr="快充"/>
        <xdr:cNvPicPr/>
      </xdr:nvPicPr>
      <xdr:blipFill>
        <a:blip r:embed="rId56"/>
        <a:stretch/>
      </xdr:blipFill>
      <xdr:spPr>
        <a:xfrm>
          <a:off x="9360" y="9182160"/>
          <a:ext cx="828000" cy="297000"/>
        </a:xfrm>
        <a:prstGeom prst="rect">
          <a:avLst/>
        </a:prstGeom>
        <a:noFill/>
        <a:ln w="9525">
          <a:noFill/>
        </a:ln>
      </xdr:spPr>
    </xdr:pic>
    <xdr:clientData/>
  </xdr:twoCellAnchor>
  <xdr:twoCellAnchor editAs="twoCell">
    <xdr:from>
      <xdr:col>0</xdr:col>
      <xdr:colOff>9360</xdr:colOff>
      <xdr:row>10</xdr:row>
      <xdr:rowOff>0</xdr:rowOff>
    </xdr:from>
    <xdr:to>
      <xdr:col>0</xdr:col>
      <xdr:colOff>837360</xdr:colOff>
      <xdr:row>10</xdr:row>
      <xdr:rowOff>297000</xdr:rowOff>
    </xdr:to>
    <xdr:pic>
      <xdr:nvPicPr>
        <xdr:cNvPr id="1070" name="图片 122" descr="快充"/>
        <xdr:cNvPicPr/>
      </xdr:nvPicPr>
      <xdr:blipFill>
        <a:blip r:embed="rId57"/>
        <a:stretch/>
      </xdr:blipFill>
      <xdr:spPr>
        <a:xfrm>
          <a:off x="9360" y="7658280"/>
          <a:ext cx="828000" cy="297000"/>
        </a:xfrm>
        <a:prstGeom prst="rect">
          <a:avLst/>
        </a:prstGeom>
        <a:noFill/>
        <a:ln w="9525">
          <a:noFill/>
        </a:ln>
      </xdr:spPr>
    </xdr:pic>
    <xdr:clientData/>
  </xdr:twoCellAnchor>
  <xdr:twoCellAnchor editAs="twoCell">
    <xdr:from>
      <xdr:col>0</xdr:col>
      <xdr:colOff>9360</xdr:colOff>
      <xdr:row>14</xdr:row>
      <xdr:rowOff>0</xdr:rowOff>
    </xdr:from>
    <xdr:to>
      <xdr:col>0</xdr:col>
      <xdr:colOff>837360</xdr:colOff>
      <xdr:row>14</xdr:row>
      <xdr:rowOff>297000</xdr:rowOff>
    </xdr:to>
    <xdr:pic>
      <xdr:nvPicPr>
        <xdr:cNvPr id="1071" name="图片 132" descr="快充"/>
        <xdr:cNvPicPr/>
      </xdr:nvPicPr>
      <xdr:blipFill>
        <a:blip r:embed="rId58"/>
        <a:stretch/>
      </xdr:blipFill>
      <xdr:spPr>
        <a:xfrm>
          <a:off x="9360" y="10706040"/>
          <a:ext cx="828000" cy="297000"/>
        </a:xfrm>
        <a:prstGeom prst="rect">
          <a:avLst/>
        </a:prstGeom>
        <a:noFill/>
        <a:ln w="9525">
          <a:noFill/>
        </a:ln>
      </xdr:spPr>
    </xdr:pic>
    <xdr:clientData/>
  </xdr:twoCellAnchor>
  <xdr:twoCellAnchor editAs="twoCell">
    <xdr:from>
      <xdr:col>0</xdr:col>
      <xdr:colOff>9360</xdr:colOff>
      <xdr:row>16</xdr:row>
      <xdr:rowOff>0</xdr:rowOff>
    </xdr:from>
    <xdr:to>
      <xdr:col>0</xdr:col>
      <xdr:colOff>837360</xdr:colOff>
      <xdr:row>16</xdr:row>
      <xdr:rowOff>297000</xdr:rowOff>
    </xdr:to>
    <xdr:pic>
      <xdr:nvPicPr>
        <xdr:cNvPr id="1072" name="图片 146" descr="快充"/>
        <xdr:cNvPicPr/>
      </xdr:nvPicPr>
      <xdr:blipFill>
        <a:blip r:embed="rId59"/>
        <a:stretch/>
      </xdr:blipFill>
      <xdr:spPr>
        <a:xfrm>
          <a:off x="9360" y="12230280"/>
          <a:ext cx="828000" cy="297000"/>
        </a:xfrm>
        <a:prstGeom prst="rect">
          <a:avLst/>
        </a:prstGeom>
        <a:noFill/>
        <a:ln w="9525">
          <a:noFill/>
        </a:ln>
      </xdr:spPr>
    </xdr:pic>
    <xdr:clientData/>
  </xdr:twoCellAnchor>
  <xdr:twoCellAnchor editAs="twoCell">
    <xdr:from>
      <xdr:col>0</xdr:col>
      <xdr:colOff>9360</xdr:colOff>
      <xdr:row>18</xdr:row>
      <xdr:rowOff>0</xdr:rowOff>
    </xdr:from>
    <xdr:to>
      <xdr:col>0</xdr:col>
      <xdr:colOff>837360</xdr:colOff>
      <xdr:row>18</xdr:row>
      <xdr:rowOff>297000</xdr:rowOff>
    </xdr:to>
    <xdr:pic>
      <xdr:nvPicPr>
        <xdr:cNvPr id="1073" name="图片 148" descr="快充"/>
        <xdr:cNvPicPr/>
      </xdr:nvPicPr>
      <xdr:blipFill>
        <a:blip r:embed="rId60"/>
        <a:stretch/>
      </xdr:blipFill>
      <xdr:spPr>
        <a:xfrm>
          <a:off x="9360" y="13754160"/>
          <a:ext cx="828000" cy="297000"/>
        </a:xfrm>
        <a:prstGeom prst="rect">
          <a:avLst/>
        </a:prstGeom>
        <a:noFill/>
        <a:ln w="9525">
          <a:noFill/>
        </a:ln>
      </xdr:spPr>
    </xdr:pic>
    <xdr:clientData/>
  </xdr:twoCellAnchor>
  <xdr:twoCellAnchor editAs="twoCell">
    <xdr:from>
      <xdr:col>0</xdr:col>
      <xdr:colOff>9360</xdr:colOff>
      <xdr:row>19</xdr:row>
      <xdr:rowOff>0</xdr:rowOff>
    </xdr:from>
    <xdr:to>
      <xdr:col>0</xdr:col>
      <xdr:colOff>837360</xdr:colOff>
      <xdr:row>19</xdr:row>
      <xdr:rowOff>297000</xdr:rowOff>
    </xdr:to>
    <xdr:pic>
      <xdr:nvPicPr>
        <xdr:cNvPr id="1074" name="图片 151" descr="快充"/>
        <xdr:cNvPicPr/>
      </xdr:nvPicPr>
      <xdr:blipFill>
        <a:blip r:embed="rId61"/>
        <a:stretch/>
      </xdr:blipFill>
      <xdr:spPr>
        <a:xfrm>
          <a:off x="9360" y="15214680"/>
          <a:ext cx="828000" cy="297000"/>
        </a:xfrm>
        <a:prstGeom prst="rect">
          <a:avLst/>
        </a:prstGeom>
        <a:noFill/>
        <a:ln w="9525">
          <a:noFill/>
        </a:ln>
      </xdr:spPr>
    </xdr:pic>
    <xdr:clientData/>
  </xdr:twoCellAnchor>
  <xdr:twoCellAnchor editAs="twoCell">
    <xdr:from>
      <xdr:col>0</xdr:col>
      <xdr:colOff>9360</xdr:colOff>
      <xdr:row>20</xdr:row>
      <xdr:rowOff>0</xdr:rowOff>
    </xdr:from>
    <xdr:to>
      <xdr:col>0</xdr:col>
      <xdr:colOff>837360</xdr:colOff>
      <xdr:row>20</xdr:row>
      <xdr:rowOff>297000</xdr:rowOff>
    </xdr:to>
    <xdr:pic>
      <xdr:nvPicPr>
        <xdr:cNvPr id="1075" name="图片 155" descr="快充"/>
        <xdr:cNvPicPr/>
      </xdr:nvPicPr>
      <xdr:blipFill>
        <a:blip r:embed="rId62"/>
        <a:stretch/>
      </xdr:blipFill>
      <xdr:spPr>
        <a:xfrm>
          <a:off x="9360" y="16675200"/>
          <a:ext cx="828000" cy="297000"/>
        </a:xfrm>
        <a:prstGeom prst="rect">
          <a:avLst/>
        </a:prstGeom>
        <a:noFill/>
        <a:ln w="9525">
          <a:noFill/>
        </a:ln>
      </xdr:spPr>
    </xdr:pic>
    <xdr:clientData/>
  </xdr:twoCellAnchor>
  <xdr:twoCellAnchor editAs="twoCell">
    <xdr:from>
      <xdr:col>0</xdr:col>
      <xdr:colOff>9360</xdr:colOff>
      <xdr:row>22</xdr:row>
      <xdr:rowOff>0</xdr:rowOff>
    </xdr:from>
    <xdr:to>
      <xdr:col>0</xdr:col>
      <xdr:colOff>837360</xdr:colOff>
      <xdr:row>22</xdr:row>
      <xdr:rowOff>297000</xdr:rowOff>
    </xdr:to>
    <xdr:pic>
      <xdr:nvPicPr>
        <xdr:cNvPr id="1076" name="图片 158" descr="快充"/>
        <xdr:cNvPicPr/>
      </xdr:nvPicPr>
      <xdr:blipFill>
        <a:blip r:embed="rId63"/>
        <a:stretch/>
      </xdr:blipFill>
      <xdr:spPr>
        <a:xfrm>
          <a:off x="9360" y="18199080"/>
          <a:ext cx="828000" cy="297000"/>
        </a:xfrm>
        <a:prstGeom prst="rect">
          <a:avLst/>
        </a:prstGeom>
        <a:noFill/>
        <a:ln w="9525">
          <a:noFill/>
        </a:ln>
      </xdr:spPr>
    </xdr:pic>
    <xdr:clientData/>
  </xdr:twoCellAnchor>
  <xdr:twoCellAnchor editAs="twoCell">
    <xdr:from>
      <xdr:col>0</xdr:col>
      <xdr:colOff>9360</xdr:colOff>
      <xdr:row>24</xdr:row>
      <xdr:rowOff>0</xdr:rowOff>
    </xdr:from>
    <xdr:to>
      <xdr:col>0</xdr:col>
      <xdr:colOff>837360</xdr:colOff>
      <xdr:row>24</xdr:row>
      <xdr:rowOff>297000</xdr:rowOff>
    </xdr:to>
    <xdr:pic>
      <xdr:nvPicPr>
        <xdr:cNvPr id="1077" name="图片 172" descr="快充"/>
        <xdr:cNvPicPr/>
      </xdr:nvPicPr>
      <xdr:blipFill>
        <a:blip r:embed="rId64"/>
        <a:stretch/>
      </xdr:blipFill>
      <xdr:spPr>
        <a:xfrm>
          <a:off x="9360" y="19722960"/>
          <a:ext cx="828000" cy="297000"/>
        </a:xfrm>
        <a:prstGeom prst="rect">
          <a:avLst/>
        </a:prstGeom>
        <a:noFill/>
        <a:ln w="9525">
          <a:noFill/>
        </a:ln>
      </xdr:spPr>
    </xdr:pic>
    <xdr:clientData/>
  </xdr:twoCellAnchor>
  <xdr:twoCellAnchor editAs="oneCell">
    <xdr:from>
      <xdr:col>1</xdr:col>
      <xdr:colOff>38160</xdr:colOff>
      <xdr:row>34</xdr:row>
      <xdr:rowOff>140760</xdr:rowOff>
    </xdr:from>
    <xdr:to>
      <xdr:col>1</xdr:col>
      <xdr:colOff>1208880</xdr:colOff>
      <xdr:row>34</xdr:row>
      <xdr:rowOff>1319040</xdr:rowOff>
    </xdr:to>
    <xdr:pic>
      <xdr:nvPicPr>
        <xdr:cNvPr id="1078" name="图片 5" descr="2"/>
        <xdr:cNvPicPr/>
      </xdr:nvPicPr>
      <xdr:blipFill>
        <a:blip r:embed="rId65"/>
        <a:stretch/>
      </xdr:blipFill>
      <xdr:spPr>
        <a:xfrm>
          <a:off x="4039920" y="33071760"/>
          <a:ext cx="1170720" cy="1178280"/>
        </a:xfrm>
        <a:prstGeom prst="rect">
          <a:avLst/>
        </a:prstGeom>
        <a:noFill/>
        <a:ln w="9525">
          <a:noFill/>
        </a:ln>
      </xdr:spPr>
    </xdr:pic>
    <xdr:clientData/>
  </xdr:twoCellAnchor>
  <xdr:twoCellAnchor editAs="oneCell">
    <xdr:from>
      <xdr:col>2</xdr:col>
      <xdr:colOff>38160</xdr:colOff>
      <xdr:row>34</xdr:row>
      <xdr:rowOff>143640</xdr:rowOff>
    </xdr:from>
    <xdr:to>
      <xdr:col>2</xdr:col>
      <xdr:colOff>1208880</xdr:colOff>
      <xdr:row>34</xdr:row>
      <xdr:rowOff>1316160</xdr:rowOff>
    </xdr:to>
    <xdr:pic>
      <xdr:nvPicPr>
        <xdr:cNvPr id="1079" name="图片 6" descr="9"/>
        <xdr:cNvPicPr/>
      </xdr:nvPicPr>
      <xdr:blipFill>
        <a:blip r:embed="rId66"/>
        <a:stretch/>
      </xdr:blipFill>
      <xdr:spPr>
        <a:xfrm>
          <a:off x="5605920" y="33074640"/>
          <a:ext cx="1170720" cy="1172520"/>
        </a:xfrm>
        <a:prstGeom prst="rect">
          <a:avLst/>
        </a:prstGeom>
        <a:noFill/>
        <a:ln w="9525">
          <a:noFill/>
        </a:ln>
      </xdr:spPr>
    </xdr:pic>
    <xdr:clientData/>
  </xdr:twoCellAnchor>
  <xdr:twoCellAnchor editAs="oneCell">
    <xdr:from>
      <xdr:col>1</xdr:col>
      <xdr:colOff>38160</xdr:colOff>
      <xdr:row>26</xdr:row>
      <xdr:rowOff>143640</xdr:rowOff>
    </xdr:from>
    <xdr:to>
      <xdr:col>1</xdr:col>
      <xdr:colOff>1208880</xdr:colOff>
      <xdr:row>26</xdr:row>
      <xdr:rowOff>1316160</xdr:rowOff>
    </xdr:to>
    <xdr:pic>
      <xdr:nvPicPr>
        <xdr:cNvPr id="1080" name="图片 25" descr="3"/>
        <xdr:cNvPicPr/>
      </xdr:nvPicPr>
      <xdr:blipFill>
        <a:blip r:embed="rId67"/>
        <a:stretch/>
      </xdr:blipFill>
      <xdr:spPr>
        <a:xfrm>
          <a:off x="4039920" y="21390840"/>
          <a:ext cx="1170720" cy="1172520"/>
        </a:xfrm>
        <a:prstGeom prst="rect">
          <a:avLst/>
        </a:prstGeom>
        <a:noFill/>
        <a:ln w="9525">
          <a:noFill/>
        </a:ln>
      </xdr:spPr>
    </xdr:pic>
    <xdr:clientData/>
  </xdr:twoCellAnchor>
  <xdr:twoCellAnchor editAs="oneCell">
    <xdr:from>
      <xdr:col>2</xdr:col>
      <xdr:colOff>38160</xdr:colOff>
      <xdr:row>26</xdr:row>
      <xdr:rowOff>144000</xdr:rowOff>
    </xdr:from>
    <xdr:to>
      <xdr:col>2</xdr:col>
      <xdr:colOff>1208880</xdr:colOff>
      <xdr:row>26</xdr:row>
      <xdr:rowOff>1315440</xdr:rowOff>
    </xdr:to>
    <xdr:pic>
      <xdr:nvPicPr>
        <xdr:cNvPr id="1081" name="图片 26" descr="10"/>
        <xdr:cNvPicPr/>
      </xdr:nvPicPr>
      <xdr:blipFill>
        <a:blip r:embed="rId68"/>
        <a:stretch/>
      </xdr:blipFill>
      <xdr:spPr>
        <a:xfrm>
          <a:off x="5605920" y="21391200"/>
          <a:ext cx="1170720" cy="1171440"/>
        </a:xfrm>
        <a:prstGeom prst="rect">
          <a:avLst/>
        </a:prstGeom>
        <a:noFill/>
        <a:ln w="9525">
          <a:noFill/>
        </a:ln>
      </xdr:spPr>
    </xdr:pic>
    <xdr:clientData/>
  </xdr:twoCellAnchor>
  <xdr:twoCellAnchor editAs="oneCell">
    <xdr:from>
      <xdr:col>1</xdr:col>
      <xdr:colOff>38160</xdr:colOff>
      <xdr:row>27</xdr:row>
      <xdr:rowOff>143280</xdr:rowOff>
    </xdr:from>
    <xdr:to>
      <xdr:col>1</xdr:col>
      <xdr:colOff>1208880</xdr:colOff>
      <xdr:row>27</xdr:row>
      <xdr:rowOff>1316520</xdr:rowOff>
    </xdr:to>
    <xdr:pic>
      <xdr:nvPicPr>
        <xdr:cNvPr id="1082" name="图片 3" descr="3"/>
        <xdr:cNvPicPr/>
      </xdr:nvPicPr>
      <xdr:blipFill>
        <a:blip r:embed="rId69"/>
        <a:stretch/>
      </xdr:blipFill>
      <xdr:spPr>
        <a:xfrm>
          <a:off x="4039920" y="22851000"/>
          <a:ext cx="1170720" cy="1173240"/>
        </a:xfrm>
        <a:prstGeom prst="rect">
          <a:avLst/>
        </a:prstGeom>
        <a:noFill/>
        <a:ln w="9525">
          <a:noFill/>
        </a:ln>
      </xdr:spPr>
    </xdr:pic>
    <xdr:clientData/>
  </xdr:twoCellAnchor>
  <xdr:twoCellAnchor editAs="oneCell">
    <xdr:from>
      <xdr:col>2</xdr:col>
      <xdr:colOff>38160</xdr:colOff>
      <xdr:row>27</xdr:row>
      <xdr:rowOff>143280</xdr:rowOff>
    </xdr:from>
    <xdr:to>
      <xdr:col>2</xdr:col>
      <xdr:colOff>1208880</xdr:colOff>
      <xdr:row>27</xdr:row>
      <xdr:rowOff>1316520</xdr:rowOff>
    </xdr:to>
    <xdr:pic>
      <xdr:nvPicPr>
        <xdr:cNvPr id="1083" name="图片 15" descr="10"/>
        <xdr:cNvPicPr/>
      </xdr:nvPicPr>
      <xdr:blipFill>
        <a:blip r:embed="rId70"/>
        <a:stretch/>
      </xdr:blipFill>
      <xdr:spPr>
        <a:xfrm>
          <a:off x="5605920" y="22851000"/>
          <a:ext cx="1170720" cy="1173240"/>
        </a:xfrm>
        <a:prstGeom prst="rect">
          <a:avLst/>
        </a:prstGeom>
        <a:noFill/>
        <a:ln w="9525">
          <a:noFill/>
        </a:ln>
      </xdr:spPr>
    </xdr:pic>
    <xdr:clientData/>
  </xdr:twoCellAnchor>
  <xdr:twoCellAnchor editAs="oneCell">
    <xdr:from>
      <xdr:col>2</xdr:col>
      <xdr:colOff>38160</xdr:colOff>
      <xdr:row>28</xdr:row>
      <xdr:rowOff>143280</xdr:rowOff>
    </xdr:from>
    <xdr:to>
      <xdr:col>2</xdr:col>
      <xdr:colOff>1208880</xdr:colOff>
      <xdr:row>28</xdr:row>
      <xdr:rowOff>1316520</xdr:rowOff>
    </xdr:to>
    <xdr:pic>
      <xdr:nvPicPr>
        <xdr:cNvPr id="1084" name="图片 10" descr="10"/>
        <xdr:cNvPicPr/>
      </xdr:nvPicPr>
      <xdr:blipFill>
        <a:blip r:embed="rId71"/>
        <a:stretch/>
      </xdr:blipFill>
      <xdr:spPr>
        <a:xfrm>
          <a:off x="5605920" y="24311520"/>
          <a:ext cx="1170720" cy="1173240"/>
        </a:xfrm>
        <a:prstGeom prst="rect">
          <a:avLst/>
        </a:prstGeom>
        <a:noFill/>
        <a:ln w="9525">
          <a:noFill/>
        </a:ln>
      </xdr:spPr>
    </xdr:pic>
    <xdr:clientData/>
  </xdr:twoCellAnchor>
  <xdr:twoCellAnchor editAs="oneCell">
    <xdr:from>
      <xdr:col>1</xdr:col>
      <xdr:colOff>38160</xdr:colOff>
      <xdr:row>28</xdr:row>
      <xdr:rowOff>143280</xdr:rowOff>
    </xdr:from>
    <xdr:to>
      <xdr:col>1</xdr:col>
      <xdr:colOff>1208880</xdr:colOff>
      <xdr:row>28</xdr:row>
      <xdr:rowOff>1316520</xdr:rowOff>
    </xdr:to>
    <xdr:pic>
      <xdr:nvPicPr>
        <xdr:cNvPr id="1085" name="图片 11" descr="3"/>
        <xdr:cNvPicPr/>
      </xdr:nvPicPr>
      <xdr:blipFill>
        <a:blip r:embed="rId72"/>
        <a:stretch/>
      </xdr:blipFill>
      <xdr:spPr>
        <a:xfrm>
          <a:off x="4039920" y="24311520"/>
          <a:ext cx="1170720" cy="1173240"/>
        </a:xfrm>
        <a:prstGeom prst="rect">
          <a:avLst/>
        </a:prstGeom>
        <a:noFill/>
        <a:ln w="9525">
          <a:noFill/>
        </a:ln>
      </xdr:spPr>
    </xdr:pic>
    <xdr:clientData/>
  </xdr:twoCellAnchor>
  <xdr:twoCellAnchor editAs="oneCell">
    <xdr:from>
      <xdr:col>1</xdr:col>
      <xdr:colOff>38160</xdr:colOff>
      <xdr:row>8</xdr:row>
      <xdr:rowOff>140400</xdr:rowOff>
    </xdr:from>
    <xdr:to>
      <xdr:col>1</xdr:col>
      <xdr:colOff>1208880</xdr:colOff>
      <xdr:row>8</xdr:row>
      <xdr:rowOff>1319400</xdr:rowOff>
    </xdr:to>
    <xdr:pic>
      <xdr:nvPicPr>
        <xdr:cNvPr id="1086" name="图片 2" descr="1"/>
        <xdr:cNvPicPr/>
      </xdr:nvPicPr>
      <xdr:blipFill>
        <a:blip r:embed="rId73"/>
        <a:stretch/>
      </xdr:blipFill>
      <xdr:spPr>
        <a:xfrm>
          <a:off x="4039920" y="4877640"/>
          <a:ext cx="1170720" cy="1179000"/>
        </a:xfrm>
        <a:prstGeom prst="rect">
          <a:avLst/>
        </a:prstGeom>
        <a:noFill/>
        <a:ln w="9525">
          <a:noFill/>
        </a:ln>
      </xdr:spPr>
    </xdr:pic>
    <xdr:clientData/>
  </xdr:twoCellAnchor>
  <xdr:twoCellAnchor editAs="oneCell">
    <xdr:from>
      <xdr:col>2</xdr:col>
      <xdr:colOff>38160</xdr:colOff>
      <xdr:row>8</xdr:row>
      <xdr:rowOff>146880</xdr:rowOff>
    </xdr:from>
    <xdr:to>
      <xdr:col>2</xdr:col>
      <xdr:colOff>1208880</xdr:colOff>
      <xdr:row>8</xdr:row>
      <xdr:rowOff>1312560</xdr:rowOff>
    </xdr:to>
    <xdr:pic>
      <xdr:nvPicPr>
        <xdr:cNvPr id="1087" name="图片 14" descr="8"/>
        <xdr:cNvPicPr/>
      </xdr:nvPicPr>
      <xdr:blipFill>
        <a:blip r:embed="rId74"/>
        <a:stretch/>
      </xdr:blipFill>
      <xdr:spPr>
        <a:xfrm>
          <a:off x="5605920" y="4884120"/>
          <a:ext cx="1170720" cy="1165680"/>
        </a:xfrm>
        <a:prstGeom prst="rect">
          <a:avLst/>
        </a:prstGeom>
        <a:noFill/>
        <a:ln w="9525">
          <a:noFill/>
        </a:ln>
      </xdr:spPr>
    </xdr:pic>
    <xdr:clientData/>
  </xdr:twoCellAnchor>
  <xdr:twoCellAnchor editAs="oneCell">
    <xdr:from>
      <xdr:col>1</xdr:col>
      <xdr:colOff>38160</xdr:colOff>
      <xdr:row>9</xdr:row>
      <xdr:rowOff>143640</xdr:rowOff>
    </xdr:from>
    <xdr:to>
      <xdr:col>1</xdr:col>
      <xdr:colOff>1208880</xdr:colOff>
      <xdr:row>9</xdr:row>
      <xdr:rowOff>1316160</xdr:rowOff>
    </xdr:to>
    <xdr:pic>
      <xdr:nvPicPr>
        <xdr:cNvPr id="1088" name="图片 19" descr="1"/>
        <xdr:cNvPicPr/>
      </xdr:nvPicPr>
      <xdr:blipFill>
        <a:blip r:embed="rId75"/>
        <a:stretch/>
      </xdr:blipFill>
      <xdr:spPr>
        <a:xfrm>
          <a:off x="4039920" y="6341400"/>
          <a:ext cx="1170720" cy="1172520"/>
        </a:xfrm>
        <a:prstGeom prst="rect">
          <a:avLst/>
        </a:prstGeom>
        <a:noFill/>
        <a:ln w="9525">
          <a:noFill/>
        </a:ln>
      </xdr:spPr>
    </xdr:pic>
    <xdr:clientData/>
  </xdr:twoCellAnchor>
  <xdr:twoCellAnchor editAs="oneCell">
    <xdr:from>
      <xdr:col>2</xdr:col>
      <xdr:colOff>38160</xdr:colOff>
      <xdr:row>9</xdr:row>
      <xdr:rowOff>146880</xdr:rowOff>
    </xdr:from>
    <xdr:to>
      <xdr:col>2</xdr:col>
      <xdr:colOff>1208880</xdr:colOff>
      <xdr:row>9</xdr:row>
      <xdr:rowOff>1312560</xdr:rowOff>
    </xdr:to>
    <xdr:pic>
      <xdr:nvPicPr>
        <xdr:cNvPr id="1089" name="图片 21" descr="8"/>
        <xdr:cNvPicPr/>
      </xdr:nvPicPr>
      <xdr:blipFill>
        <a:blip r:embed="rId76"/>
        <a:stretch/>
      </xdr:blipFill>
      <xdr:spPr>
        <a:xfrm>
          <a:off x="5605920" y="6344640"/>
          <a:ext cx="1170720" cy="1165680"/>
        </a:xfrm>
        <a:prstGeom prst="rect">
          <a:avLst/>
        </a:prstGeom>
        <a:noFill/>
        <a:ln w="9525">
          <a:noFill/>
        </a:ln>
      </xdr:spPr>
    </xdr:pic>
    <xdr:clientData/>
  </xdr:twoCellAnchor>
  <xdr:twoCellAnchor editAs="twoCell">
    <xdr:from>
      <xdr:col>0</xdr:col>
      <xdr:colOff>9360</xdr:colOff>
      <xdr:row>9</xdr:row>
      <xdr:rowOff>12240</xdr:rowOff>
    </xdr:from>
    <xdr:to>
      <xdr:col>0</xdr:col>
      <xdr:colOff>837360</xdr:colOff>
      <xdr:row>9</xdr:row>
      <xdr:rowOff>309240</xdr:rowOff>
    </xdr:to>
    <xdr:pic>
      <xdr:nvPicPr>
        <xdr:cNvPr id="1090" name="图片 31" descr="快充"/>
        <xdr:cNvPicPr/>
      </xdr:nvPicPr>
      <xdr:blipFill>
        <a:blip r:embed="rId77"/>
        <a:stretch/>
      </xdr:blipFill>
      <xdr:spPr>
        <a:xfrm>
          <a:off x="9360" y="6210000"/>
          <a:ext cx="828000" cy="297000"/>
        </a:xfrm>
        <a:prstGeom prst="rect">
          <a:avLst/>
        </a:prstGeom>
        <a:noFill/>
        <a:ln w="9525">
          <a:noFill/>
        </a:ln>
      </xdr:spPr>
    </xdr:pic>
    <xdr:clientData/>
  </xdr:twoCellAnchor>
  <xdr:twoCellAnchor editAs="twoCell">
    <xdr:from>
      <xdr:col>0</xdr:col>
      <xdr:colOff>9360</xdr:colOff>
      <xdr:row>8</xdr:row>
      <xdr:rowOff>12240</xdr:rowOff>
    </xdr:from>
    <xdr:to>
      <xdr:col>0</xdr:col>
      <xdr:colOff>837360</xdr:colOff>
      <xdr:row>8</xdr:row>
      <xdr:rowOff>309240</xdr:rowOff>
    </xdr:to>
    <xdr:pic>
      <xdr:nvPicPr>
        <xdr:cNvPr id="1091" name="图片 37" descr="快充"/>
        <xdr:cNvPicPr/>
      </xdr:nvPicPr>
      <xdr:blipFill>
        <a:blip r:embed="rId78"/>
        <a:stretch/>
      </xdr:blipFill>
      <xdr:spPr>
        <a:xfrm>
          <a:off x="9360" y="4749480"/>
          <a:ext cx="828000" cy="297000"/>
        </a:xfrm>
        <a:prstGeom prst="rect">
          <a:avLst/>
        </a:prstGeom>
        <a:noFill/>
        <a:ln w="9525">
          <a:noFill/>
        </a:ln>
      </xdr:spPr>
    </xdr:pic>
    <xdr:clientData/>
  </xdr:twoCellAnchor>
  <xdr:twoCellAnchor editAs="oneCell">
    <xdr:from>
      <xdr:col>1</xdr:col>
      <xdr:colOff>38160</xdr:colOff>
      <xdr:row>42</xdr:row>
      <xdr:rowOff>141840</xdr:rowOff>
    </xdr:from>
    <xdr:to>
      <xdr:col>1</xdr:col>
      <xdr:colOff>1208880</xdr:colOff>
      <xdr:row>42</xdr:row>
      <xdr:rowOff>1317960</xdr:rowOff>
    </xdr:to>
    <xdr:pic>
      <xdr:nvPicPr>
        <xdr:cNvPr id="1092" name="图片 1" descr="1"/>
        <xdr:cNvPicPr/>
      </xdr:nvPicPr>
      <xdr:blipFill>
        <a:blip r:embed="rId79"/>
        <a:stretch/>
      </xdr:blipFill>
      <xdr:spPr>
        <a:xfrm>
          <a:off x="4039920" y="44757000"/>
          <a:ext cx="1170720" cy="1176120"/>
        </a:xfrm>
        <a:prstGeom prst="rect">
          <a:avLst/>
        </a:prstGeom>
        <a:noFill/>
        <a:ln w="0">
          <a:noFill/>
        </a:ln>
      </xdr:spPr>
    </xdr:pic>
    <xdr:clientData/>
  </xdr:twoCellAnchor>
  <xdr:twoCellAnchor editAs="oneCell">
    <xdr:from>
      <xdr:col>2</xdr:col>
      <xdr:colOff>38160</xdr:colOff>
      <xdr:row>42</xdr:row>
      <xdr:rowOff>144000</xdr:rowOff>
    </xdr:from>
    <xdr:to>
      <xdr:col>2</xdr:col>
      <xdr:colOff>1208880</xdr:colOff>
      <xdr:row>42</xdr:row>
      <xdr:rowOff>1315440</xdr:rowOff>
    </xdr:to>
    <xdr:pic>
      <xdr:nvPicPr>
        <xdr:cNvPr id="1093" name="图片 2" descr="8"/>
        <xdr:cNvPicPr/>
      </xdr:nvPicPr>
      <xdr:blipFill>
        <a:blip r:embed="rId80"/>
        <a:stretch/>
      </xdr:blipFill>
      <xdr:spPr>
        <a:xfrm>
          <a:off x="5605920" y="44759160"/>
          <a:ext cx="1170720" cy="1171440"/>
        </a:xfrm>
        <a:prstGeom prst="rect">
          <a:avLst/>
        </a:prstGeom>
        <a:noFill/>
        <a:ln w="0">
          <a:noFill/>
        </a:ln>
      </xdr:spPr>
    </xdr:pic>
    <xdr:clientData/>
  </xdr:twoCellAnchor>
  <xdr:twoCellAnchor editAs="oneCell">
    <xdr:from>
      <xdr:col>1</xdr:col>
      <xdr:colOff>38160</xdr:colOff>
      <xdr:row>43</xdr:row>
      <xdr:rowOff>141840</xdr:rowOff>
    </xdr:from>
    <xdr:to>
      <xdr:col>1</xdr:col>
      <xdr:colOff>1208880</xdr:colOff>
      <xdr:row>43</xdr:row>
      <xdr:rowOff>1317960</xdr:rowOff>
    </xdr:to>
    <xdr:pic>
      <xdr:nvPicPr>
        <xdr:cNvPr id="1094" name="图片 3" descr="2"/>
        <xdr:cNvPicPr/>
      </xdr:nvPicPr>
      <xdr:blipFill>
        <a:blip r:embed="rId81"/>
        <a:stretch/>
      </xdr:blipFill>
      <xdr:spPr>
        <a:xfrm>
          <a:off x="4039920" y="46217520"/>
          <a:ext cx="1170720" cy="1176120"/>
        </a:xfrm>
        <a:prstGeom prst="rect">
          <a:avLst/>
        </a:prstGeom>
        <a:noFill/>
        <a:ln w="0">
          <a:noFill/>
        </a:ln>
      </xdr:spPr>
    </xdr:pic>
    <xdr:clientData/>
  </xdr:twoCellAnchor>
  <xdr:twoCellAnchor editAs="oneCell">
    <xdr:from>
      <xdr:col>2</xdr:col>
      <xdr:colOff>38160</xdr:colOff>
      <xdr:row>43</xdr:row>
      <xdr:rowOff>144000</xdr:rowOff>
    </xdr:from>
    <xdr:to>
      <xdr:col>2</xdr:col>
      <xdr:colOff>1208880</xdr:colOff>
      <xdr:row>43</xdr:row>
      <xdr:rowOff>1315440</xdr:rowOff>
    </xdr:to>
    <xdr:pic>
      <xdr:nvPicPr>
        <xdr:cNvPr id="1095" name="图片 4" descr="8"/>
        <xdr:cNvPicPr/>
      </xdr:nvPicPr>
      <xdr:blipFill>
        <a:blip r:embed="rId82"/>
        <a:stretch/>
      </xdr:blipFill>
      <xdr:spPr>
        <a:xfrm>
          <a:off x="5605920" y="46219680"/>
          <a:ext cx="1170720" cy="1171440"/>
        </a:xfrm>
        <a:prstGeom prst="rect">
          <a:avLst/>
        </a:prstGeom>
        <a:noFill/>
        <a:ln w="0">
          <a:noFill/>
        </a:ln>
      </xdr:spPr>
    </xdr:pic>
    <xdr:clientData/>
  </xdr:twoCellAnchor>
  <xdr:twoCellAnchor editAs="twoCell">
    <xdr:from>
      <xdr:col>0</xdr:col>
      <xdr:colOff>9360</xdr:colOff>
      <xdr:row>43</xdr:row>
      <xdr:rowOff>0</xdr:rowOff>
    </xdr:from>
    <xdr:to>
      <xdr:col>0</xdr:col>
      <xdr:colOff>837360</xdr:colOff>
      <xdr:row>43</xdr:row>
      <xdr:rowOff>297000</xdr:rowOff>
    </xdr:to>
    <xdr:pic>
      <xdr:nvPicPr>
        <xdr:cNvPr id="1096" name="图片 160" descr="快充"/>
        <xdr:cNvPicPr/>
      </xdr:nvPicPr>
      <xdr:blipFill>
        <a:blip r:embed="rId83"/>
        <a:stretch/>
      </xdr:blipFill>
      <xdr:spPr>
        <a:xfrm>
          <a:off x="9360" y="46075680"/>
          <a:ext cx="828000" cy="297000"/>
        </a:xfrm>
        <a:prstGeom prst="rect">
          <a:avLst/>
        </a:prstGeom>
        <a:noFill/>
        <a:ln w="9525">
          <a:noFill/>
        </a:ln>
      </xdr:spPr>
    </xdr:pic>
    <xdr:clientData/>
  </xdr:twoCellAnchor>
  <xdr:twoCellAnchor editAs="twoCell">
    <xdr:from>
      <xdr:col>0</xdr:col>
      <xdr:colOff>9360</xdr:colOff>
      <xdr:row>42</xdr:row>
      <xdr:rowOff>0</xdr:rowOff>
    </xdr:from>
    <xdr:to>
      <xdr:col>0</xdr:col>
      <xdr:colOff>837360</xdr:colOff>
      <xdr:row>42</xdr:row>
      <xdr:rowOff>297000</xdr:rowOff>
    </xdr:to>
    <xdr:pic>
      <xdr:nvPicPr>
        <xdr:cNvPr id="1097" name="图片 160" descr="快充"/>
        <xdr:cNvPicPr/>
      </xdr:nvPicPr>
      <xdr:blipFill>
        <a:blip r:embed="rId84"/>
        <a:stretch/>
      </xdr:blipFill>
      <xdr:spPr>
        <a:xfrm>
          <a:off x="9360" y="44615160"/>
          <a:ext cx="828000" cy="297000"/>
        </a:xfrm>
        <a:prstGeom prst="rect">
          <a:avLst/>
        </a:prstGeom>
        <a:noFill/>
        <a:ln w="9525">
          <a:noFill/>
        </a:ln>
      </xdr:spPr>
    </xdr:pic>
    <xdr:clientData/>
  </xdr:twoCellAnchor>
  <xdr:twoCellAnchor editAs="oneCell">
    <xdr:from>
      <xdr:col>1</xdr:col>
      <xdr:colOff>38160</xdr:colOff>
      <xdr:row>4</xdr:row>
      <xdr:rowOff>142200</xdr:rowOff>
    </xdr:from>
    <xdr:to>
      <xdr:col>1</xdr:col>
      <xdr:colOff>1208880</xdr:colOff>
      <xdr:row>4</xdr:row>
      <xdr:rowOff>1317600</xdr:rowOff>
    </xdr:to>
    <xdr:pic>
      <xdr:nvPicPr>
        <xdr:cNvPr id="1098" name="图片 6" descr="1"/>
        <xdr:cNvPicPr/>
      </xdr:nvPicPr>
      <xdr:blipFill>
        <a:blip r:embed="rId85"/>
        <a:stretch/>
      </xdr:blipFill>
      <xdr:spPr>
        <a:xfrm>
          <a:off x="4039920" y="1539360"/>
          <a:ext cx="1170720" cy="1175400"/>
        </a:xfrm>
        <a:prstGeom prst="rect">
          <a:avLst/>
        </a:prstGeom>
        <a:noFill/>
        <a:ln w="0">
          <a:noFill/>
        </a:ln>
      </xdr:spPr>
    </xdr:pic>
    <xdr:clientData/>
  </xdr:twoCellAnchor>
  <xdr:twoCellAnchor editAs="oneCell">
    <xdr:from>
      <xdr:col>2</xdr:col>
      <xdr:colOff>38160</xdr:colOff>
      <xdr:row>4</xdr:row>
      <xdr:rowOff>144000</xdr:rowOff>
    </xdr:from>
    <xdr:to>
      <xdr:col>2</xdr:col>
      <xdr:colOff>1208880</xdr:colOff>
      <xdr:row>4</xdr:row>
      <xdr:rowOff>1316160</xdr:rowOff>
    </xdr:to>
    <xdr:pic>
      <xdr:nvPicPr>
        <xdr:cNvPr id="1099" name="图片 8" descr="8"/>
        <xdr:cNvPicPr/>
      </xdr:nvPicPr>
      <xdr:blipFill>
        <a:blip r:embed="rId86"/>
        <a:stretch/>
      </xdr:blipFill>
      <xdr:spPr>
        <a:xfrm>
          <a:off x="5605920" y="1541160"/>
          <a:ext cx="1170720" cy="1172160"/>
        </a:xfrm>
        <a:prstGeom prst="rect">
          <a:avLst/>
        </a:prstGeom>
        <a:noFill/>
        <a:ln w="0">
          <a:noFill/>
        </a:ln>
      </xdr:spPr>
    </xdr:pic>
    <xdr:clientData/>
  </xdr:twoCellAnchor>
  <xdr:twoCellAnchor editAs="oneCell">
    <xdr:from>
      <xdr:col>1</xdr:col>
      <xdr:colOff>38160</xdr:colOff>
      <xdr:row>18</xdr:row>
      <xdr:rowOff>144360</xdr:rowOff>
    </xdr:from>
    <xdr:to>
      <xdr:col>1</xdr:col>
      <xdr:colOff>1208880</xdr:colOff>
      <xdr:row>18</xdr:row>
      <xdr:rowOff>1315080</xdr:rowOff>
    </xdr:to>
    <xdr:pic>
      <xdr:nvPicPr>
        <xdr:cNvPr id="1100" name="图片 9" descr="3"/>
        <xdr:cNvPicPr/>
      </xdr:nvPicPr>
      <xdr:blipFill>
        <a:blip r:embed="rId87"/>
        <a:stretch/>
      </xdr:blipFill>
      <xdr:spPr>
        <a:xfrm>
          <a:off x="4039920" y="13898520"/>
          <a:ext cx="1170720" cy="1170720"/>
        </a:xfrm>
        <a:prstGeom prst="rect">
          <a:avLst/>
        </a:prstGeom>
        <a:noFill/>
        <a:ln w="0">
          <a:noFill/>
        </a:ln>
      </xdr:spPr>
    </xdr:pic>
    <xdr:clientData/>
  </xdr:twoCellAnchor>
  <xdr:twoCellAnchor editAs="oneCell">
    <xdr:from>
      <xdr:col>2</xdr:col>
      <xdr:colOff>38160</xdr:colOff>
      <xdr:row>18</xdr:row>
      <xdr:rowOff>144360</xdr:rowOff>
    </xdr:from>
    <xdr:to>
      <xdr:col>2</xdr:col>
      <xdr:colOff>1208880</xdr:colOff>
      <xdr:row>18</xdr:row>
      <xdr:rowOff>1315080</xdr:rowOff>
    </xdr:to>
    <xdr:pic>
      <xdr:nvPicPr>
        <xdr:cNvPr id="1101" name="图片 10" descr="10"/>
        <xdr:cNvPicPr/>
      </xdr:nvPicPr>
      <xdr:blipFill>
        <a:blip r:embed="rId88"/>
        <a:stretch/>
      </xdr:blipFill>
      <xdr:spPr>
        <a:xfrm>
          <a:off x="5605920" y="13898520"/>
          <a:ext cx="1170720" cy="1170720"/>
        </a:xfrm>
        <a:prstGeom prst="rect">
          <a:avLst/>
        </a:prstGeom>
        <a:noFill/>
        <a:ln w="0">
          <a:noFill/>
        </a:ln>
      </xdr:spPr>
    </xdr:pic>
    <xdr:clientData/>
  </xdr:twoCellAnchor>
  <xdr:twoCellAnchor editAs="oneCell">
    <xdr:from>
      <xdr:col>1</xdr:col>
      <xdr:colOff>38160</xdr:colOff>
      <xdr:row>19</xdr:row>
      <xdr:rowOff>144360</xdr:rowOff>
    </xdr:from>
    <xdr:to>
      <xdr:col>1</xdr:col>
      <xdr:colOff>1208880</xdr:colOff>
      <xdr:row>19</xdr:row>
      <xdr:rowOff>1315080</xdr:rowOff>
    </xdr:to>
    <xdr:pic>
      <xdr:nvPicPr>
        <xdr:cNvPr id="1102" name="图片 11" descr="3"/>
        <xdr:cNvPicPr/>
      </xdr:nvPicPr>
      <xdr:blipFill>
        <a:blip r:embed="rId89"/>
        <a:stretch/>
      </xdr:blipFill>
      <xdr:spPr>
        <a:xfrm>
          <a:off x="4039920" y="15359040"/>
          <a:ext cx="1170720" cy="1170720"/>
        </a:xfrm>
        <a:prstGeom prst="rect">
          <a:avLst/>
        </a:prstGeom>
        <a:noFill/>
        <a:ln w="0">
          <a:noFill/>
        </a:ln>
      </xdr:spPr>
    </xdr:pic>
    <xdr:clientData/>
  </xdr:twoCellAnchor>
  <xdr:twoCellAnchor editAs="oneCell">
    <xdr:from>
      <xdr:col>2</xdr:col>
      <xdr:colOff>38160</xdr:colOff>
      <xdr:row>19</xdr:row>
      <xdr:rowOff>144360</xdr:rowOff>
    </xdr:from>
    <xdr:to>
      <xdr:col>2</xdr:col>
      <xdr:colOff>1208880</xdr:colOff>
      <xdr:row>19</xdr:row>
      <xdr:rowOff>1315080</xdr:rowOff>
    </xdr:to>
    <xdr:pic>
      <xdr:nvPicPr>
        <xdr:cNvPr id="1103" name="图片 12" descr="10"/>
        <xdr:cNvPicPr/>
      </xdr:nvPicPr>
      <xdr:blipFill>
        <a:blip r:embed="rId90"/>
        <a:stretch/>
      </xdr:blipFill>
      <xdr:spPr>
        <a:xfrm>
          <a:off x="5605920" y="15359040"/>
          <a:ext cx="1170720" cy="1170720"/>
        </a:xfrm>
        <a:prstGeom prst="rect">
          <a:avLst/>
        </a:prstGeom>
        <a:noFill/>
        <a:ln w="0">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38160</xdr:colOff>
      <xdr:row>84</xdr:row>
      <xdr:rowOff>138240</xdr:rowOff>
    </xdr:from>
    <xdr:to>
      <xdr:col>1</xdr:col>
      <xdr:colOff>1208880</xdr:colOff>
      <xdr:row>85</xdr:row>
      <xdr:rowOff>585000</xdr:rowOff>
    </xdr:to>
    <xdr:pic>
      <xdr:nvPicPr>
        <xdr:cNvPr id="1104" name="图片 23" descr="C:/Users/Ray/AppData/Local/Temp/picturecompress_20210720164231/output_70.jpgoutput_70"/>
        <xdr:cNvPicPr/>
      </xdr:nvPicPr>
      <xdr:blipFill>
        <a:blip r:embed="rId1"/>
        <a:stretch/>
      </xdr:blipFill>
      <xdr:spPr>
        <a:xfrm>
          <a:off x="4039920" y="68127840"/>
          <a:ext cx="1170720" cy="1170360"/>
        </a:xfrm>
        <a:prstGeom prst="rect">
          <a:avLst/>
        </a:prstGeom>
        <a:noFill/>
        <a:ln w="9525">
          <a:noFill/>
        </a:ln>
      </xdr:spPr>
    </xdr:pic>
    <xdr:clientData/>
  </xdr:twoCellAnchor>
  <xdr:twoCellAnchor editAs="oneCell">
    <xdr:from>
      <xdr:col>2</xdr:col>
      <xdr:colOff>38160</xdr:colOff>
      <xdr:row>80</xdr:row>
      <xdr:rowOff>113760</xdr:rowOff>
    </xdr:from>
    <xdr:to>
      <xdr:col>2</xdr:col>
      <xdr:colOff>1208880</xdr:colOff>
      <xdr:row>81</xdr:row>
      <xdr:rowOff>583560</xdr:rowOff>
    </xdr:to>
    <xdr:pic>
      <xdr:nvPicPr>
        <xdr:cNvPr id="1105" name="图片 3" descr="C:/Users/Ray/AppData/Local/Temp/picturecompress_20210720164231/output_90.jpgoutput_90"/>
        <xdr:cNvPicPr/>
      </xdr:nvPicPr>
      <xdr:blipFill>
        <a:blip r:embed="rId2"/>
        <a:stretch/>
      </xdr:blipFill>
      <xdr:spPr>
        <a:xfrm>
          <a:off x="5605920" y="65309040"/>
          <a:ext cx="1170720" cy="1168560"/>
        </a:xfrm>
        <a:prstGeom prst="rect">
          <a:avLst/>
        </a:prstGeom>
        <a:noFill/>
        <a:ln w="9525">
          <a:noFill/>
        </a:ln>
      </xdr:spPr>
    </xdr:pic>
    <xdr:clientData/>
  </xdr:twoCellAnchor>
  <xdr:twoCellAnchor editAs="oneCell">
    <xdr:from>
      <xdr:col>1</xdr:col>
      <xdr:colOff>38160</xdr:colOff>
      <xdr:row>80</xdr:row>
      <xdr:rowOff>111240</xdr:rowOff>
    </xdr:from>
    <xdr:to>
      <xdr:col>1</xdr:col>
      <xdr:colOff>1208880</xdr:colOff>
      <xdr:row>81</xdr:row>
      <xdr:rowOff>586080</xdr:rowOff>
    </xdr:to>
    <xdr:pic>
      <xdr:nvPicPr>
        <xdr:cNvPr id="1106" name="图片 3" descr="C:/Users/Ray/AppData/Local/Temp/picturecompress_20210720164231/output_102.jpgoutput_102"/>
        <xdr:cNvPicPr/>
      </xdr:nvPicPr>
      <xdr:blipFill>
        <a:blip r:embed="rId3"/>
        <a:stretch/>
      </xdr:blipFill>
      <xdr:spPr>
        <a:xfrm>
          <a:off x="4039920" y="65306520"/>
          <a:ext cx="1170720" cy="1173600"/>
        </a:xfrm>
        <a:prstGeom prst="rect">
          <a:avLst/>
        </a:prstGeom>
        <a:noFill/>
        <a:ln w="9525">
          <a:noFill/>
        </a:ln>
      </xdr:spPr>
    </xdr:pic>
    <xdr:clientData/>
  </xdr:twoCellAnchor>
  <xdr:twoCellAnchor editAs="oneCell">
    <xdr:from>
      <xdr:col>2</xdr:col>
      <xdr:colOff>38160</xdr:colOff>
      <xdr:row>77</xdr:row>
      <xdr:rowOff>174960</xdr:rowOff>
    </xdr:from>
    <xdr:to>
      <xdr:col>2</xdr:col>
      <xdr:colOff>1208880</xdr:colOff>
      <xdr:row>78</xdr:row>
      <xdr:rowOff>586080</xdr:rowOff>
    </xdr:to>
    <xdr:pic>
      <xdr:nvPicPr>
        <xdr:cNvPr id="1107" name="图片 1" descr="C:/Users/Ray/AppData/Local/Temp/picturecompress_20210720164231/output_158.jpgoutput_158"/>
        <xdr:cNvPicPr/>
      </xdr:nvPicPr>
      <xdr:blipFill>
        <a:blip r:embed="rId4"/>
        <a:stretch/>
      </xdr:blipFill>
      <xdr:spPr>
        <a:xfrm>
          <a:off x="5605920" y="62385840"/>
          <a:ext cx="1170720" cy="1173240"/>
        </a:xfrm>
        <a:prstGeom prst="rect">
          <a:avLst/>
        </a:prstGeom>
        <a:noFill/>
        <a:ln w="9525">
          <a:noFill/>
        </a:ln>
      </xdr:spPr>
    </xdr:pic>
    <xdr:clientData/>
  </xdr:twoCellAnchor>
  <xdr:twoCellAnchor editAs="oneCell">
    <xdr:from>
      <xdr:col>1</xdr:col>
      <xdr:colOff>38160</xdr:colOff>
      <xdr:row>77</xdr:row>
      <xdr:rowOff>173520</xdr:rowOff>
    </xdr:from>
    <xdr:to>
      <xdr:col>1</xdr:col>
      <xdr:colOff>1208880</xdr:colOff>
      <xdr:row>78</xdr:row>
      <xdr:rowOff>587520</xdr:rowOff>
    </xdr:to>
    <xdr:pic>
      <xdr:nvPicPr>
        <xdr:cNvPr id="1108" name="图片 2" descr="C:/Users/Ray/AppData/Local/Temp/picturecompress_20210720164231/output_159.jpgoutput_159"/>
        <xdr:cNvPicPr/>
      </xdr:nvPicPr>
      <xdr:blipFill>
        <a:blip r:embed="rId5"/>
        <a:stretch/>
      </xdr:blipFill>
      <xdr:spPr>
        <a:xfrm>
          <a:off x="4039920" y="62384400"/>
          <a:ext cx="1170720" cy="1176120"/>
        </a:xfrm>
        <a:prstGeom prst="rect">
          <a:avLst/>
        </a:prstGeom>
        <a:noFill/>
        <a:ln w="9525">
          <a:noFill/>
        </a:ln>
      </xdr:spPr>
    </xdr:pic>
    <xdr:clientData/>
  </xdr:twoCellAnchor>
  <xdr:twoCellAnchor editAs="oneCell">
    <xdr:from>
      <xdr:col>2</xdr:col>
      <xdr:colOff>38160</xdr:colOff>
      <xdr:row>4</xdr:row>
      <xdr:rowOff>176760</xdr:rowOff>
    </xdr:from>
    <xdr:to>
      <xdr:col>2</xdr:col>
      <xdr:colOff>1208880</xdr:colOff>
      <xdr:row>5</xdr:row>
      <xdr:rowOff>584640</xdr:rowOff>
    </xdr:to>
    <xdr:pic>
      <xdr:nvPicPr>
        <xdr:cNvPr id="1109" name="图片 10" descr="C:/Users/Administrator/AppData/Local/Temp/picturecompress_20210923140435/output_3.jpgoutput_3"/>
        <xdr:cNvPicPr/>
      </xdr:nvPicPr>
      <xdr:blipFill>
        <a:blip r:embed="rId6"/>
        <a:stretch/>
      </xdr:blipFill>
      <xdr:spPr>
        <a:xfrm>
          <a:off x="5605920" y="1573920"/>
          <a:ext cx="1170720" cy="1169640"/>
        </a:xfrm>
        <a:prstGeom prst="rect">
          <a:avLst/>
        </a:prstGeom>
        <a:noFill/>
        <a:ln w="9525">
          <a:noFill/>
        </a:ln>
      </xdr:spPr>
    </xdr:pic>
    <xdr:clientData/>
  </xdr:twoCellAnchor>
  <xdr:twoCellAnchor editAs="oneCell">
    <xdr:from>
      <xdr:col>1</xdr:col>
      <xdr:colOff>38160</xdr:colOff>
      <xdr:row>4</xdr:row>
      <xdr:rowOff>177120</xdr:rowOff>
    </xdr:from>
    <xdr:to>
      <xdr:col>1</xdr:col>
      <xdr:colOff>1208880</xdr:colOff>
      <xdr:row>5</xdr:row>
      <xdr:rowOff>584280</xdr:rowOff>
    </xdr:to>
    <xdr:pic>
      <xdr:nvPicPr>
        <xdr:cNvPr id="1110" name="图片 2" descr="5"/>
        <xdr:cNvPicPr/>
      </xdr:nvPicPr>
      <xdr:blipFill>
        <a:blip r:embed="rId7"/>
        <a:stretch/>
      </xdr:blipFill>
      <xdr:spPr>
        <a:xfrm>
          <a:off x="4039920" y="1574280"/>
          <a:ext cx="1170720" cy="1168920"/>
        </a:xfrm>
        <a:prstGeom prst="rect">
          <a:avLst/>
        </a:prstGeom>
        <a:noFill/>
        <a:ln w="9525">
          <a:noFill/>
        </a:ln>
      </xdr:spPr>
    </xdr:pic>
    <xdr:clientData/>
  </xdr:twoCellAnchor>
  <xdr:twoCellAnchor editAs="oneCell">
    <xdr:from>
      <xdr:col>1</xdr:col>
      <xdr:colOff>38160</xdr:colOff>
      <xdr:row>75</xdr:row>
      <xdr:rowOff>176400</xdr:rowOff>
    </xdr:from>
    <xdr:to>
      <xdr:col>1</xdr:col>
      <xdr:colOff>1208880</xdr:colOff>
      <xdr:row>76</xdr:row>
      <xdr:rowOff>584640</xdr:rowOff>
    </xdr:to>
    <xdr:pic>
      <xdr:nvPicPr>
        <xdr:cNvPr id="1111" name="图片 2" descr="4"/>
        <xdr:cNvPicPr/>
      </xdr:nvPicPr>
      <xdr:blipFill>
        <a:blip r:embed="rId8"/>
        <a:stretch/>
      </xdr:blipFill>
      <xdr:spPr>
        <a:xfrm>
          <a:off x="4039920" y="60863400"/>
          <a:ext cx="1170720" cy="1170360"/>
        </a:xfrm>
        <a:prstGeom prst="rect">
          <a:avLst/>
        </a:prstGeom>
        <a:noFill/>
        <a:ln w="9525">
          <a:noFill/>
        </a:ln>
      </xdr:spPr>
    </xdr:pic>
    <xdr:clientData/>
  </xdr:twoCellAnchor>
  <xdr:twoCellAnchor editAs="oneCell">
    <xdr:from>
      <xdr:col>1</xdr:col>
      <xdr:colOff>38160</xdr:colOff>
      <xdr:row>73</xdr:row>
      <xdr:rowOff>168480</xdr:rowOff>
    </xdr:from>
    <xdr:to>
      <xdr:col>1</xdr:col>
      <xdr:colOff>1208880</xdr:colOff>
      <xdr:row>74</xdr:row>
      <xdr:rowOff>592920</xdr:rowOff>
    </xdr:to>
    <xdr:pic>
      <xdr:nvPicPr>
        <xdr:cNvPr id="1112" name="图片 59" descr="C:/Users/Ray/AppData/Local/Temp/picturecompress_20220721120806/output_6.jpgoutput_6"/>
        <xdr:cNvPicPr/>
      </xdr:nvPicPr>
      <xdr:blipFill>
        <a:blip r:embed="rId9"/>
        <a:stretch/>
      </xdr:blipFill>
      <xdr:spPr>
        <a:xfrm>
          <a:off x="4039920" y="59331600"/>
          <a:ext cx="1170720" cy="1186200"/>
        </a:xfrm>
        <a:prstGeom prst="rect">
          <a:avLst/>
        </a:prstGeom>
        <a:noFill/>
        <a:ln w="9525">
          <a:noFill/>
        </a:ln>
      </xdr:spPr>
    </xdr:pic>
    <xdr:clientData/>
  </xdr:twoCellAnchor>
  <xdr:twoCellAnchor editAs="oneCell">
    <xdr:from>
      <xdr:col>2</xdr:col>
      <xdr:colOff>38160</xdr:colOff>
      <xdr:row>73</xdr:row>
      <xdr:rowOff>176040</xdr:rowOff>
    </xdr:from>
    <xdr:to>
      <xdr:col>2</xdr:col>
      <xdr:colOff>1208880</xdr:colOff>
      <xdr:row>74</xdr:row>
      <xdr:rowOff>585000</xdr:rowOff>
    </xdr:to>
    <xdr:pic>
      <xdr:nvPicPr>
        <xdr:cNvPr id="1113" name="图片 64" descr="C:/Users/Ray/AppData/Local/Temp/picturecompress_20220721120806/output_5.jpgoutput_5"/>
        <xdr:cNvPicPr/>
      </xdr:nvPicPr>
      <xdr:blipFill>
        <a:blip r:embed="rId10"/>
        <a:stretch/>
      </xdr:blipFill>
      <xdr:spPr>
        <a:xfrm>
          <a:off x="5605920" y="59339160"/>
          <a:ext cx="1170720" cy="1170720"/>
        </a:xfrm>
        <a:prstGeom prst="rect">
          <a:avLst/>
        </a:prstGeom>
        <a:noFill/>
        <a:ln w="9525">
          <a:noFill/>
        </a:ln>
      </xdr:spPr>
    </xdr:pic>
    <xdr:clientData/>
  </xdr:twoCellAnchor>
  <xdr:twoCellAnchor editAs="oneCell">
    <xdr:from>
      <xdr:col>1</xdr:col>
      <xdr:colOff>38160</xdr:colOff>
      <xdr:row>71</xdr:row>
      <xdr:rowOff>170640</xdr:rowOff>
    </xdr:from>
    <xdr:to>
      <xdr:col>1</xdr:col>
      <xdr:colOff>1208880</xdr:colOff>
      <xdr:row>72</xdr:row>
      <xdr:rowOff>590760</xdr:rowOff>
    </xdr:to>
    <xdr:pic>
      <xdr:nvPicPr>
        <xdr:cNvPr id="1114" name="图片 17" descr="4"/>
        <xdr:cNvPicPr/>
      </xdr:nvPicPr>
      <xdr:blipFill>
        <a:blip r:embed="rId11"/>
        <a:stretch/>
      </xdr:blipFill>
      <xdr:spPr>
        <a:xfrm>
          <a:off x="4039920" y="57809520"/>
          <a:ext cx="1170720" cy="1182240"/>
        </a:xfrm>
        <a:prstGeom prst="rect">
          <a:avLst/>
        </a:prstGeom>
        <a:noFill/>
        <a:ln w="9525">
          <a:noFill/>
        </a:ln>
      </xdr:spPr>
    </xdr:pic>
    <xdr:clientData/>
  </xdr:twoCellAnchor>
  <xdr:twoCellAnchor editAs="oneCell">
    <xdr:from>
      <xdr:col>2</xdr:col>
      <xdr:colOff>38160</xdr:colOff>
      <xdr:row>71</xdr:row>
      <xdr:rowOff>172440</xdr:rowOff>
    </xdr:from>
    <xdr:to>
      <xdr:col>2</xdr:col>
      <xdr:colOff>1208880</xdr:colOff>
      <xdr:row>72</xdr:row>
      <xdr:rowOff>588600</xdr:rowOff>
    </xdr:to>
    <xdr:pic>
      <xdr:nvPicPr>
        <xdr:cNvPr id="1115" name="图片 72" descr="10"/>
        <xdr:cNvPicPr/>
      </xdr:nvPicPr>
      <xdr:blipFill>
        <a:blip r:embed="rId12"/>
        <a:stretch/>
      </xdr:blipFill>
      <xdr:spPr>
        <a:xfrm>
          <a:off x="5605920" y="57811320"/>
          <a:ext cx="1170720" cy="1178280"/>
        </a:xfrm>
        <a:prstGeom prst="rect">
          <a:avLst/>
        </a:prstGeom>
        <a:noFill/>
        <a:ln w="9525">
          <a:noFill/>
        </a:ln>
      </xdr:spPr>
    </xdr:pic>
    <xdr:clientData/>
  </xdr:twoCellAnchor>
  <xdr:twoCellAnchor editAs="oneCell">
    <xdr:from>
      <xdr:col>1</xdr:col>
      <xdr:colOff>38160</xdr:colOff>
      <xdr:row>69</xdr:row>
      <xdr:rowOff>172440</xdr:rowOff>
    </xdr:from>
    <xdr:to>
      <xdr:col>1</xdr:col>
      <xdr:colOff>1208880</xdr:colOff>
      <xdr:row>70</xdr:row>
      <xdr:rowOff>588600</xdr:rowOff>
    </xdr:to>
    <xdr:pic>
      <xdr:nvPicPr>
        <xdr:cNvPr id="1116" name="图片 100" descr="4"/>
        <xdr:cNvPicPr/>
      </xdr:nvPicPr>
      <xdr:blipFill>
        <a:blip r:embed="rId13"/>
        <a:stretch/>
      </xdr:blipFill>
      <xdr:spPr>
        <a:xfrm>
          <a:off x="4039920" y="56287440"/>
          <a:ext cx="1170720" cy="1178280"/>
        </a:xfrm>
        <a:prstGeom prst="rect">
          <a:avLst/>
        </a:prstGeom>
        <a:noFill/>
        <a:ln w="9525">
          <a:noFill/>
        </a:ln>
      </xdr:spPr>
    </xdr:pic>
    <xdr:clientData/>
  </xdr:twoCellAnchor>
  <xdr:twoCellAnchor editAs="oneCell">
    <xdr:from>
      <xdr:col>2</xdr:col>
      <xdr:colOff>38160</xdr:colOff>
      <xdr:row>69</xdr:row>
      <xdr:rowOff>172440</xdr:rowOff>
    </xdr:from>
    <xdr:to>
      <xdr:col>2</xdr:col>
      <xdr:colOff>1208880</xdr:colOff>
      <xdr:row>70</xdr:row>
      <xdr:rowOff>588600</xdr:rowOff>
    </xdr:to>
    <xdr:pic>
      <xdr:nvPicPr>
        <xdr:cNvPr id="1117" name="图片 101" descr="10"/>
        <xdr:cNvPicPr/>
      </xdr:nvPicPr>
      <xdr:blipFill>
        <a:blip r:embed="rId14"/>
        <a:stretch/>
      </xdr:blipFill>
      <xdr:spPr>
        <a:xfrm>
          <a:off x="5605920" y="56287440"/>
          <a:ext cx="1170720" cy="1178280"/>
        </a:xfrm>
        <a:prstGeom prst="rect">
          <a:avLst/>
        </a:prstGeom>
        <a:noFill/>
        <a:ln w="9525">
          <a:noFill/>
        </a:ln>
      </xdr:spPr>
    </xdr:pic>
    <xdr:clientData/>
  </xdr:twoCellAnchor>
  <xdr:twoCellAnchor editAs="oneCell">
    <xdr:from>
      <xdr:col>1</xdr:col>
      <xdr:colOff>38160</xdr:colOff>
      <xdr:row>82</xdr:row>
      <xdr:rowOff>111240</xdr:rowOff>
    </xdr:from>
    <xdr:to>
      <xdr:col>1</xdr:col>
      <xdr:colOff>1208880</xdr:colOff>
      <xdr:row>83</xdr:row>
      <xdr:rowOff>586440</xdr:rowOff>
    </xdr:to>
    <xdr:pic>
      <xdr:nvPicPr>
        <xdr:cNvPr id="1118" name="图片 18" descr="C:/Users/Ray/AppData/Local/Temp/picturecompress_20210720164231/output_66.jpgoutput_66"/>
        <xdr:cNvPicPr/>
      </xdr:nvPicPr>
      <xdr:blipFill>
        <a:blip r:embed="rId15"/>
        <a:stretch/>
      </xdr:blipFill>
      <xdr:spPr>
        <a:xfrm>
          <a:off x="4039920" y="66703680"/>
          <a:ext cx="1170720" cy="1173600"/>
        </a:xfrm>
        <a:prstGeom prst="rect">
          <a:avLst/>
        </a:prstGeom>
        <a:noFill/>
        <a:ln w="9525">
          <a:noFill/>
        </a:ln>
      </xdr:spPr>
    </xdr:pic>
    <xdr:clientData/>
  </xdr:twoCellAnchor>
  <xdr:twoCellAnchor editAs="oneCell">
    <xdr:from>
      <xdr:col>2</xdr:col>
      <xdr:colOff>38160</xdr:colOff>
      <xdr:row>84</xdr:row>
      <xdr:rowOff>135720</xdr:rowOff>
    </xdr:from>
    <xdr:to>
      <xdr:col>2</xdr:col>
      <xdr:colOff>1208880</xdr:colOff>
      <xdr:row>85</xdr:row>
      <xdr:rowOff>587520</xdr:rowOff>
    </xdr:to>
    <xdr:pic>
      <xdr:nvPicPr>
        <xdr:cNvPr id="1119" name="图片 4" descr="C:/Users/Ray/AppData/Local/Temp/picturecompress_20210720164231/output_13.jpgoutput_13"/>
        <xdr:cNvPicPr/>
      </xdr:nvPicPr>
      <xdr:blipFill>
        <a:blip r:embed="rId16"/>
        <a:stretch/>
      </xdr:blipFill>
      <xdr:spPr>
        <a:xfrm>
          <a:off x="5605920" y="68125320"/>
          <a:ext cx="1170720" cy="1175400"/>
        </a:xfrm>
        <a:prstGeom prst="rect">
          <a:avLst/>
        </a:prstGeom>
        <a:noFill/>
        <a:ln w="9525">
          <a:noFill/>
        </a:ln>
      </xdr:spPr>
    </xdr:pic>
    <xdr:clientData/>
  </xdr:twoCellAnchor>
  <xdr:twoCellAnchor editAs="oneCell">
    <xdr:from>
      <xdr:col>2</xdr:col>
      <xdr:colOff>38160</xdr:colOff>
      <xdr:row>82</xdr:row>
      <xdr:rowOff>117720</xdr:rowOff>
    </xdr:from>
    <xdr:to>
      <xdr:col>2</xdr:col>
      <xdr:colOff>1208880</xdr:colOff>
      <xdr:row>83</xdr:row>
      <xdr:rowOff>579960</xdr:rowOff>
    </xdr:to>
    <xdr:pic>
      <xdr:nvPicPr>
        <xdr:cNvPr id="1120" name="图片 3" descr="C:/Users/Ray/AppData/Local/Temp/picturecompress_20210720164231/output_18.jpgoutput_18"/>
        <xdr:cNvPicPr/>
      </xdr:nvPicPr>
      <xdr:blipFill>
        <a:blip r:embed="rId17"/>
        <a:stretch/>
      </xdr:blipFill>
      <xdr:spPr>
        <a:xfrm>
          <a:off x="5605920" y="66710160"/>
          <a:ext cx="1170720" cy="1160640"/>
        </a:xfrm>
        <a:prstGeom prst="rect">
          <a:avLst/>
        </a:prstGeom>
        <a:noFill/>
        <a:ln w="9525">
          <a:noFill/>
        </a:ln>
      </xdr:spPr>
    </xdr:pic>
    <xdr:clientData/>
  </xdr:twoCellAnchor>
  <xdr:twoCellAnchor editAs="oneCell">
    <xdr:from>
      <xdr:col>2</xdr:col>
      <xdr:colOff>38160</xdr:colOff>
      <xdr:row>75</xdr:row>
      <xdr:rowOff>175680</xdr:rowOff>
    </xdr:from>
    <xdr:to>
      <xdr:col>2</xdr:col>
      <xdr:colOff>1208880</xdr:colOff>
      <xdr:row>76</xdr:row>
      <xdr:rowOff>585720</xdr:rowOff>
    </xdr:to>
    <xdr:pic>
      <xdr:nvPicPr>
        <xdr:cNvPr id="1121" name="图片 3" descr="11"/>
        <xdr:cNvPicPr/>
      </xdr:nvPicPr>
      <xdr:blipFill>
        <a:blip r:embed="rId18"/>
        <a:stretch/>
      </xdr:blipFill>
      <xdr:spPr>
        <a:xfrm>
          <a:off x="5605920" y="60862680"/>
          <a:ext cx="1170720" cy="1172160"/>
        </a:xfrm>
        <a:prstGeom prst="rect">
          <a:avLst/>
        </a:prstGeom>
        <a:noFill/>
        <a:ln w="9525">
          <a:noFill/>
        </a:ln>
      </xdr:spPr>
    </xdr:pic>
    <xdr:clientData/>
  </xdr:twoCellAnchor>
  <xdr:twoCellAnchor editAs="oneCell">
    <xdr:from>
      <xdr:col>1</xdr:col>
      <xdr:colOff>38160</xdr:colOff>
      <xdr:row>18</xdr:row>
      <xdr:rowOff>140760</xdr:rowOff>
    </xdr:from>
    <xdr:to>
      <xdr:col>1</xdr:col>
      <xdr:colOff>1208880</xdr:colOff>
      <xdr:row>18</xdr:row>
      <xdr:rowOff>1319040</xdr:rowOff>
    </xdr:to>
    <xdr:pic>
      <xdr:nvPicPr>
        <xdr:cNvPr id="1122" name="图片 66" descr="1"/>
        <xdr:cNvPicPr/>
      </xdr:nvPicPr>
      <xdr:blipFill>
        <a:blip r:embed="rId19"/>
        <a:stretch/>
      </xdr:blipFill>
      <xdr:spPr>
        <a:xfrm>
          <a:off x="4039920" y="15564960"/>
          <a:ext cx="1170720" cy="1178280"/>
        </a:xfrm>
        <a:prstGeom prst="rect">
          <a:avLst/>
        </a:prstGeom>
        <a:noFill/>
        <a:ln w="9525">
          <a:noFill/>
        </a:ln>
      </xdr:spPr>
    </xdr:pic>
    <xdr:clientData/>
  </xdr:twoCellAnchor>
  <xdr:twoCellAnchor editAs="oneCell">
    <xdr:from>
      <xdr:col>2</xdr:col>
      <xdr:colOff>38160</xdr:colOff>
      <xdr:row>18</xdr:row>
      <xdr:rowOff>143640</xdr:rowOff>
    </xdr:from>
    <xdr:to>
      <xdr:col>2</xdr:col>
      <xdr:colOff>1208880</xdr:colOff>
      <xdr:row>18</xdr:row>
      <xdr:rowOff>1316160</xdr:rowOff>
    </xdr:to>
    <xdr:pic>
      <xdr:nvPicPr>
        <xdr:cNvPr id="1123" name="图片 67" descr="9"/>
        <xdr:cNvPicPr/>
      </xdr:nvPicPr>
      <xdr:blipFill>
        <a:blip r:embed="rId20"/>
        <a:stretch/>
      </xdr:blipFill>
      <xdr:spPr>
        <a:xfrm>
          <a:off x="5605920" y="15567840"/>
          <a:ext cx="1170720" cy="1172520"/>
        </a:xfrm>
        <a:prstGeom prst="rect">
          <a:avLst/>
        </a:prstGeom>
        <a:noFill/>
        <a:ln w="9525">
          <a:noFill/>
        </a:ln>
      </xdr:spPr>
    </xdr:pic>
    <xdr:clientData/>
  </xdr:twoCellAnchor>
  <xdr:twoCellAnchor editAs="oneCell">
    <xdr:from>
      <xdr:col>1</xdr:col>
      <xdr:colOff>38160</xdr:colOff>
      <xdr:row>65</xdr:row>
      <xdr:rowOff>176040</xdr:rowOff>
    </xdr:from>
    <xdr:to>
      <xdr:col>1</xdr:col>
      <xdr:colOff>1208880</xdr:colOff>
      <xdr:row>66</xdr:row>
      <xdr:rowOff>585360</xdr:rowOff>
    </xdr:to>
    <xdr:pic>
      <xdr:nvPicPr>
        <xdr:cNvPr id="1124" name="图片 150" descr="3"/>
        <xdr:cNvPicPr/>
      </xdr:nvPicPr>
      <xdr:blipFill>
        <a:blip r:embed="rId21"/>
        <a:stretch/>
      </xdr:blipFill>
      <xdr:spPr>
        <a:xfrm>
          <a:off x="4039920" y="53242920"/>
          <a:ext cx="1170720" cy="1171440"/>
        </a:xfrm>
        <a:prstGeom prst="rect">
          <a:avLst/>
        </a:prstGeom>
        <a:noFill/>
        <a:ln w="9525">
          <a:noFill/>
        </a:ln>
      </xdr:spPr>
    </xdr:pic>
    <xdr:clientData/>
  </xdr:twoCellAnchor>
  <xdr:twoCellAnchor editAs="oneCell">
    <xdr:from>
      <xdr:col>2</xdr:col>
      <xdr:colOff>38160</xdr:colOff>
      <xdr:row>65</xdr:row>
      <xdr:rowOff>173880</xdr:rowOff>
    </xdr:from>
    <xdr:to>
      <xdr:col>2</xdr:col>
      <xdr:colOff>1208880</xdr:colOff>
      <xdr:row>66</xdr:row>
      <xdr:rowOff>587160</xdr:rowOff>
    </xdr:to>
    <xdr:pic>
      <xdr:nvPicPr>
        <xdr:cNvPr id="1125" name="图片 151" descr="9"/>
        <xdr:cNvPicPr/>
      </xdr:nvPicPr>
      <xdr:blipFill>
        <a:blip r:embed="rId22"/>
        <a:stretch/>
      </xdr:blipFill>
      <xdr:spPr>
        <a:xfrm>
          <a:off x="5605920" y="53240760"/>
          <a:ext cx="1170720" cy="1175400"/>
        </a:xfrm>
        <a:prstGeom prst="rect">
          <a:avLst/>
        </a:prstGeom>
        <a:noFill/>
        <a:ln w="9525">
          <a:noFill/>
        </a:ln>
      </xdr:spPr>
    </xdr:pic>
    <xdr:clientData/>
  </xdr:twoCellAnchor>
  <xdr:twoCellAnchor editAs="oneCell">
    <xdr:from>
      <xdr:col>1</xdr:col>
      <xdr:colOff>38160</xdr:colOff>
      <xdr:row>45</xdr:row>
      <xdr:rowOff>176400</xdr:rowOff>
    </xdr:from>
    <xdr:to>
      <xdr:col>1</xdr:col>
      <xdr:colOff>1208880</xdr:colOff>
      <xdr:row>46</xdr:row>
      <xdr:rowOff>584640</xdr:rowOff>
    </xdr:to>
    <xdr:pic>
      <xdr:nvPicPr>
        <xdr:cNvPr id="1126" name="图片 7" descr="5_副本"/>
        <xdr:cNvPicPr/>
      </xdr:nvPicPr>
      <xdr:blipFill>
        <a:blip r:embed="rId23"/>
        <a:stretch/>
      </xdr:blipFill>
      <xdr:spPr>
        <a:xfrm>
          <a:off x="4039920" y="37720800"/>
          <a:ext cx="1170720" cy="1170360"/>
        </a:xfrm>
        <a:prstGeom prst="rect">
          <a:avLst/>
        </a:prstGeom>
        <a:noFill/>
        <a:ln w="9525">
          <a:noFill/>
        </a:ln>
      </xdr:spPr>
    </xdr:pic>
    <xdr:clientData/>
  </xdr:twoCellAnchor>
  <xdr:twoCellAnchor editAs="oneCell">
    <xdr:from>
      <xdr:col>2</xdr:col>
      <xdr:colOff>38160</xdr:colOff>
      <xdr:row>45</xdr:row>
      <xdr:rowOff>176400</xdr:rowOff>
    </xdr:from>
    <xdr:to>
      <xdr:col>2</xdr:col>
      <xdr:colOff>1208880</xdr:colOff>
      <xdr:row>46</xdr:row>
      <xdr:rowOff>584640</xdr:rowOff>
    </xdr:to>
    <xdr:pic>
      <xdr:nvPicPr>
        <xdr:cNvPr id="1127" name="图片 9" descr="9_副本"/>
        <xdr:cNvPicPr/>
      </xdr:nvPicPr>
      <xdr:blipFill>
        <a:blip r:embed="rId24"/>
        <a:stretch/>
      </xdr:blipFill>
      <xdr:spPr>
        <a:xfrm>
          <a:off x="5605920" y="37720800"/>
          <a:ext cx="1170720" cy="1170360"/>
        </a:xfrm>
        <a:prstGeom prst="rect">
          <a:avLst/>
        </a:prstGeom>
        <a:noFill/>
        <a:ln w="9525">
          <a:noFill/>
        </a:ln>
      </xdr:spPr>
    </xdr:pic>
    <xdr:clientData/>
  </xdr:twoCellAnchor>
  <xdr:twoCellAnchor editAs="oneCell">
    <xdr:from>
      <xdr:col>1</xdr:col>
      <xdr:colOff>38160</xdr:colOff>
      <xdr:row>67</xdr:row>
      <xdr:rowOff>176400</xdr:rowOff>
    </xdr:from>
    <xdr:to>
      <xdr:col>1</xdr:col>
      <xdr:colOff>1208880</xdr:colOff>
      <xdr:row>68</xdr:row>
      <xdr:rowOff>585000</xdr:rowOff>
    </xdr:to>
    <xdr:pic>
      <xdr:nvPicPr>
        <xdr:cNvPr id="1128" name="图片 95" descr="3_副本"/>
        <xdr:cNvPicPr/>
      </xdr:nvPicPr>
      <xdr:blipFill>
        <a:blip r:embed="rId25"/>
        <a:stretch/>
      </xdr:blipFill>
      <xdr:spPr>
        <a:xfrm>
          <a:off x="4039920" y="54767520"/>
          <a:ext cx="1170720" cy="1170360"/>
        </a:xfrm>
        <a:prstGeom prst="rect">
          <a:avLst/>
        </a:prstGeom>
        <a:noFill/>
        <a:ln w="9525">
          <a:noFill/>
        </a:ln>
      </xdr:spPr>
    </xdr:pic>
    <xdr:clientData/>
  </xdr:twoCellAnchor>
  <xdr:twoCellAnchor editAs="oneCell">
    <xdr:from>
      <xdr:col>2</xdr:col>
      <xdr:colOff>38160</xdr:colOff>
      <xdr:row>67</xdr:row>
      <xdr:rowOff>176400</xdr:rowOff>
    </xdr:from>
    <xdr:to>
      <xdr:col>2</xdr:col>
      <xdr:colOff>1208880</xdr:colOff>
      <xdr:row>68</xdr:row>
      <xdr:rowOff>585000</xdr:rowOff>
    </xdr:to>
    <xdr:pic>
      <xdr:nvPicPr>
        <xdr:cNvPr id="1129" name="图片 119" descr="9_副本"/>
        <xdr:cNvPicPr/>
      </xdr:nvPicPr>
      <xdr:blipFill>
        <a:blip r:embed="rId26"/>
        <a:stretch/>
      </xdr:blipFill>
      <xdr:spPr>
        <a:xfrm>
          <a:off x="5605920" y="54767520"/>
          <a:ext cx="1170720" cy="1170360"/>
        </a:xfrm>
        <a:prstGeom prst="rect">
          <a:avLst/>
        </a:prstGeom>
        <a:noFill/>
        <a:ln w="9525">
          <a:noFill/>
        </a:ln>
      </xdr:spPr>
    </xdr:pic>
    <xdr:clientData/>
  </xdr:twoCellAnchor>
  <xdr:twoCellAnchor editAs="oneCell">
    <xdr:from>
      <xdr:col>1</xdr:col>
      <xdr:colOff>38160</xdr:colOff>
      <xdr:row>63</xdr:row>
      <xdr:rowOff>172440</xdr:rowOff>
    </xdr:from>
    <xdr:to>
      <xdr:col>1</xdr:col>
      <xdr:colOff>1208880</xdr:colOff>
      <xdr:row>64</xdr:row>
      <xdr:rowOff>588600</xdr:rowOff>
    </xdr:to>
    <xdr:pic>
      <xdr:nvPicPr>
        <xdr:cNvPr id="1130" name="图片 63" descr="3_副本"/>
        <xdr:cNvPicPr/>
      </xdr:nvPicPr>
      <xdr:blipFill>
        <a:blip r:embed="rId27"/>
        <a:stretch/>
      </xdr:blipFill>
      <xdr:spPr>
        <a:xfrm>
          <a:off x="4039920" y="51715440"/>
          <a:ext cx="1170720" cy="1178280"/>
        </a:xfrm>
        <a:prstGeom prst="rect">
          <a:avLst/>
        </a:prstGeom>
        <a:noFill/>
        <a:ln w="9525">
          <a:noFill/>
        </a:ln>
      </xdr:spPr>
    </xdr:pic>
    <xdr:clientData/>
  </xdr:twoCellAnchor>
  <xdr:twoCellAnchor editAs="oneCell">
    <xdr:from>
      <xdr:col>2</xdr:col>
      <xdr:colOff>38160</xdr:colOff>
      <xdr:row>63</xdr:row>
      <xdr:rowOff>172440</xdr:rowOff>
    </xdr:from>
    <xdr:to>
      <xdr:col>2</xdr:col>
      <xdr:colOff>1208880</xdr:colOff>
      <xdr:row>64</xdr:row>
      <xdr:rowOff>588600</xdr:rowOff>
    </xdr:to>
    <xdr:pic>
      <xdr:nvPicPr>
        <xdr:cNvPr id="1131" name="图片 90" descr="11_副本"/>
        <xdr:cNvPicPr/>
      </xdr:nvPicPr>
      <xdr:blipFill>
        <a:blip r:embed="rId28"/>
        <a:stretch/>
      </xdr:blipFill>
      <xdr:spPr>
        <a:xfrm>
          <a:off x="5605920" y="51715440"/>
          <a:ext cx="1170720" cy="1178280"/>
        </a:xfrm>
        <a:prstGeom prst="rect">
          <a:avLst/>
        </a:prstGeom>
        <a:noFill/>
        <a:ln w="9525">
          <a:noFill/>
        </a:ln>
      </xdr:spPr>
    </xdr:pic>
    <xdr:clientData/>
  </xdr:twoCellAnchor>
  <xdr:twoCellAnchor editAs="oneCell">
    <xdr:from>
      <xdr:col>1</xdr:col>
      <xdr:colOff>38160</xdr:colOff>
      <xdr:row>6</xdr:row>
      <xdr:rowOff>140400</xdr:rowOff>
    </xdr:from>
    <xdr:to>
      <xdr:col>1</xdr:col>
      <xdr:colOff>1208880</xdr:colOff>
      <xdr:row>6</xdr:row>
      <xdr:rowOff>1319400</xdr:rowOff>
    </xdr:to>
    <xdr:pic>
      <xdr:nvPicPr>
        <xdr:cNvPr id="1132" name="图片 32" descr="BC21徕声商务蓝牙4"/>
        <xdr:cNvPicPr/>
      </xdr:nvPicPr>
      <xdr:blipFill>
        <a:blip r:embed="rId29"/>
        <a:stretch/>
      </xdr:blipFill>
      <xdr:spPr>
        <a:xfrm>
          <a:off x="4039920" y="3061440"/>
          <a:ext cx="1170720" cy="1179000"/>
        </a:xfrm>
        <a:prstGeom prst="rect">
          <a:avLst/>
        </a:prstGeom>
        <a:noFill/>
        <a:ln w="9525">
          <a:noFill/>
        </a:ln>
      </xdr:spPr>
    </xdr:pic>
    <xdr:clientData/>
  </xdr:twoCellAnchor>
  <xdr:twoCellAnchor editAs="oneCell">
    <xdr:from>
      <xdr:col>2</xdr:col>
      <xdr:colOff>38160</xdr:colOff>
      <xdr:row>6</xdr:row>
      <xdr:rowOff>140400</xdr:rowOff>
    </xdr:from>
    <xdr:to>
      <xdr:col>2</xdr:col>
      <xdr:colOff>1208880</xdr:colOff>
      <xdr:row>6</xdr:row>
      <xdr:rowOff>1319400</xdr:rowOff>
    </xdr:to>
    <xdr:pic>
      <xdr:nvPicPr>
        <xdr:cNvPr id="1133" name="图片 33" descr="BC21徕声商务蓝牙9"/>
        <xdr:cNvPicPr/>
      </xdr:nvPicPr>
      <xdr:blipFill>
        <a:blip r:embed="rId30"/>
        <a:stretch/>
      </xdr:blipFill>
      <xdr:spPr>
        <a:xfrm>
          <a:off x="5605920" y="3061440"/>
          <a:ext cx="1170720" cy="1179000"/>
        </a:xfrm>
        <a:prstGeom prst="rect">
          <a:avLst/>
        </a:prstGeom>
        <a:noFill/>
        <a:ln w="9525">
          <a:noFill/>
        </a:ln>
      </xdr:spPr>
    </xdr:pic>
    <xdr:clientData/>
  </xdr:twoCellAnchor>
  <xdr:twoCellAnchor editAs="oneCell">
    <xdr:from>
      <xdr:col>1</xdr:col>
      <xdr:colOff>38160</xdr:colOff>
      <xdr:row>14</xdr:row>
      <xdr:rowOff>140760</xdr:rowOff>
    </xdr:from>
    <xdr:to>
      <xdr:col>1</xdr:col>
      <xdr:colOff>1208880</xdr:colOff>
      <xdr:row>14</xdr:row>
      <xdr:rowOff>1319040</xdr:rowOff>
    </xdr:to>
    <xdr:pic>
      <xdr:nvPicPr>
        <xdr:cNvPr id="1134" name="图片 68" descr="2"/>
        <xdr:cNvPicPr/>
      </xdr:nvPicPr>
      <xdr:blipFill>
        <a:blip r:embed="rId31"/>
        <a:stretch/>
      </xdr:blipFill>
      <xdr:spPr>
        <a:xfrm>
          <a:off x="4039920" y="12234240"/>
          <a:ext cx="1170720" cy="1178280"/>
        </a:xfrm>
        <a:prstGeom prst="rect">
          <a:avLst/>
        </a:prstGeom>
        <a:noFill/>
        <a:ln w="9525">
          <a:noFill/>
        </a:ln>
      </xdr:spPr>
    </xdr:pic>
    <xdr:clientData/>
  </xdr:twoCellAnchor>
  <xdr:twoCellAnchor editAs="oneCell">
    <xdr:from>
      <xdr:col>1</xdr:col>
      <xdr:colOff>38160</xdr:colOff>
      <xdr:row>43</xdr:row>
      <xdr:rowOff>173160</xdr:rowOff>
    </xdr:from>
    <xdr:to>
      <xdr:col>1</xdr:col>
      <xdr:colOff>1208880</xdr:colOff>
      <xdr:row>44</xdr:row>
      <xdr:rowOff>588600</xdr:rowOff>
    </xdr:to>
    <xdr:pic>
      <xdr:nvPicPr>
        <xdr:cNvPr id="1135" name="图片 60" descr="03"/>
        <xdr:cNvPicPr/>
      </xdr:nvPicPr>
      <xdr:blipFill>
        <a:blip r:embed="rId32"/>
        <a:stretch/>
      </xdr:blipFill>
      <xdr:spPr>
        <a:xfrm>
          <a:off x="4039920" y="36193680"/>
          <a:ext cx="1170720" cy="1177200"/>
        </a:xfrm>
        <a:prstGeom prst="rect">
          <a:avLst/>
        </a:prstGeom>
        <a:noFill/>
        <a:ln w="9525">
          <a:noFill/>
        </a:ln>
      </xdr:spPr>
    </xdr:pic>
    <xdr:clientData/>
  </xdr:twoCellAnchor>
  <xdr:twoCellAnchor editAs="oneCell">
    <xdr:from>
      <xdr:col>2</xdr:col>
      <xdr:colOff>38160</xdr:colOff>
      <xdr:row>43</xdr:row>
      <xdr:rowOff>176760</xdr:rowOff>
    </xdr:from>
    <xdr:to>
      <xdr:col>2</xdr:col>
      <xdr:colOff>1208880</xdr:colOff>
      <xdr:row>44</xdr:row>
      <xdr:rowOff>584640</xdr:rowOff>
    </xdr:to>
    <xdr:pic>
      <xdr:nvPicPr>
        <xdr:cNvPr id="1136" name="图片 94" descr="11"/>
        <xdr:cNvPicPr/>
      </xdr:nvPicPr>
      <xdr:blipFill>
        <a:blip r:embed="rId33"/>
        <a:stretch/>
      </xdr:blipFill>
      <xdr:spPr>
        <a:xfrm>
          <a:off x="5605920" y="36197280"/>
          <a:ext cx="1170720" cy="1169640"/>
        </a:xfrm>
        <a:prstGeom prst="rect">
          <a:avLst/>
        </a:prstGeom>
        <a:noFill/>
        <a:ln w="9525">
          <a:noFill/>
        </a:ln>
      </xdr:spPr>
    </xdr:pic>
    <xdr:clientData/>
  </xdr:twoCellAnchor>
  <xdr:twoCellAnchor editAs="oneCell">
    <xdr:from>
      <xdr:col>1</xdr:col>
      <xdr:colOff>38160</xdr:colOff>
      <xdr:row>60</xdr:row>
      <xdr:rowOff>172440</xdr:rowOff>
    </xdr:from>
    <xdr:to>
      <xdr:col>1</xdr:col>
      <xdr:colOff>1208880</xdr:colOff>
      <xdr:row>61</xdr:row>
      <xdr:rowOff>588960</xdr:rowOff>
    </xdr:to>
    <xdr:pic>
      <xdr:nvPicPr>
        <xdr:cNvPr id="1137" name="图片 52" descr="1"/>
        <xdr:cNvPicPr/>
      </xdr:nvPicPr>
      <xdr:blipFill>
        <a:blip r:embed="rId34"/>
        <a:stretch/>
      </xdr:blipFill>
      <xdr:spPr>
        <a:xfrm>
          <a:off x="4039920" y="48731040"/>
          <a:ext cx="1170720" cy="1178280"/>
        </a:xfrm>
        <a:prstGeom prst="rect">
          <a:avLst/>
        </a:prstGeom>
        <a:noFill/>
        <a:ln w="9525">
          <a:noFill/>
        </a:ln>
      </xdr:spPr>
    </xdr:pic>
    <xdr:clientData/>
  </xdr:twoCellAnchor>
  <xdr:twoCellAnchor editAs="oneCell">
    <xdr:from>
      <xdr:col>2</xdr:col>
      <xdr:colOff>38160</xdr:colOff>
      <xdr:row>60</xdr:row>
      <xdr:rowOff>172440</xdr:rowOff>
    </xdr:from>
    <xdr:to>
      <xdr:col>2</xdr:col>
      <xdr:colOff>1208880</xdr:colOff>
      <xdr:row>61</xdr:row>
      <xdr:rowOff>588960</xdr:rowOff>
    </xdr:to>
    <xdr:pic>
      <xdr:nvPicPr>
        <xdr:cNvPr id="1138" name="图片 56" descr="2"/>
        <xdr:cNvPicPr/>
      </xdr:nvPicPr>
      <xdr:blipFill>
        <a:blip r:embed="rId35"/>
        <a:stretch/>
      </xdr:blipFill>
      <xdr:spPr>
        <a:xfrm>
          <a:off x="5605920" y="48731040"/>
          <a:ext cx="1170720" cy="1178280"/>
        </a:xfrm>
        <a:prstGeom prst="rect">
          <a:avLst/>
        </a:prstGeom>
        <a:noFill/>
        <a:ln w="9525">
          <a:noFill/>
        </a:ln>
      </xdr:spPr>
    </xdr:pic>
    <xdr:clientData/>
  </xdr:twoCellAnchor>
  <xdr:twoCellAnchor editAs="oneCell">
    <xdr:from>
      <xdr:col>1</xdr:col>
      <xdr:colOff>38160</xdr:colOff>
      <xdr:row>41</xdr:row>
      <xdr:rowOff>176400</xdr:rowOff>
    </xdr:from>
    <xdr:to>
      <xdr:col>1</xdr:col>
      <xdr:colOff>1208880</xdr:colOff>
      <xdr:row>42</xdr:row>
      <xdr:rowOff>584640</xdr:rowOff>
    </xdr:to>
    <xdr:pic>
      <xdr:nvPicPr>
        <xdr:cNvPr id="1139" name="图片 116" descr="3"/>
        <xdr:cNvPicPr/>
      </xdr:nvPicPr>
      <xdr:blipFill>
        <a:blip r:embed="rId36"/>
        <a:stretch/>
      </xdr:blipFill>
      <xdr:spPr>
        <a:xfrm>
          <a:off x="4039920" y="34672680"/>
          <a:ext cx="1170720" cy="1170360"/>
        </a:xfrm>
        <a:prstGeom prst="rect">
          <a:avLst/>
        </a:prstGeom>
        <a:noFill/>
        <a:ln w="9525">
          <a:noFill/>
        </a:ln>
      </xdr:spPr>
    </xdr:pic>
    <xdr:clientData/>
  </xdr:twoCellAnchor>
  <xdr:twoCellAnchor editAs="oneCell">
    <xdr:from>
      <xdr:col>2</xdr:col>
      <xdr:colOff>38160</xdr:colOff>
      <xdr:row>41</xdr:row>
      <xdr:rowOff>176400</xdr:rowOff>
    </xdr:from>
    <xdr:to>
      <xdr:col>2</xdr:col>
      <xdr:colOff>1208880</xdr:colOff>
      <xdr:row>42</xdr:row>
      <xdr:rowOff>584640</xdr:rowOff>
    </xdr:to>
    <xdr:pic>
      <xdr:nvPicPr>
        <xdr:cNvPr id="1140" name="图片 118" descr="4"/>
        <xdr:cNvPicPr/>
      </xdr:nvPicPr>
      <xdr:blipFill>
        <a:blip r:embed="rId37"/>
        <a:stretch/>
      </xdr:blipFill>
      <xdr:spPr>
        <a:xfrm>
          <a:off x="5605920" y="34672680"/>
          <a:ext cx="1170720" cy="1170360"/>
        </a:xfrm>
        <a:prstGeom prst="rect">
          <a:avLst/>
        </a:prstGeom>
        <a:noFill/>
        <a:ln w="9525">
          <a:noFill/>
        </a:ln>
      </xdr:spPr>
    </xdr:pic>
    <xdr:clientData/>
  </xdr:twoCellAnchor>
  <xdr:twoCellAnchor editAs="oneCell">
    <xdr:from>
      <xdr:col>2</xdr:col>
      <xdr:colOff>38160</xdr:colOff>
      <xdr:row>58</xdr:row>
      <xdr:rowOff>173520</xdr:rowOff>
    </xdr:from>
    <xdr:to>
      <xdr:col>2</xdr:col>
      <xdr:colOff>1208880</xdr:colOff>
      <xdr:row>59</xdr:row>
      <xdr:rowOff>587520</xdr:rowOff>
    </xdr:to>
    <xdr:pic>
      <xdr:nvPicPr>
        <xdr:cNvPr id="1141" name="图片 75" descr="11(1)"/>
        <xdr:cNvPicPr/>
      </xdr:nvPicPr>
      <xdr:blipFill>
        <a:blip r:embed="rId38"/>
        <a:stretch/>
      </xdr:blipFill>
      <xdr:spPr>
        <a:xfrm>
          <a:off x="5605920" y="47207880"/>
          <a:ext cx="1170720" cy="1176120"/>
        </a:xfrm>
        <a:prstGeom prst="rect">
          <a:avLst/>
        </a:prstGeom>
        <a:noFill/>
        <a:ln w="9525">
          <a:noFill/>
        </a:ln>
      </xdr:spPr>
    </xdr:pic>
    <xdr:clientData/>
  </xdr:twoCellAnchor>
  <xdr:twoCellAnchor editAs="oneCell">
    <xdr:from>
      <xdr:col>1</xdr:col>
      <xdr:colOff>38160</xdr:colOff>
      <xdr:row>58</xdr:row>
      <xdr:rowOff>173880</xdr:rowOff>
    </xdr:from>
    <xdr:to>
      <xdr:col>1</xdr:col>
      <xdr:colOff>1208880</xdr:colOff>
      <xdr:row>59</xdr:row>
      <xdr:rowOff>587160</xdr:rowOff>
    </xdr:to>
    <xdr:pic>
      <xdr:nvPicPr>
        <xdr:cNvPr id="1142" name="图片 139" descr="2(1)"/>
        <xdr:cNvPicPr/>
      </xdr:nvPicPr>
      <xdr:blipFill>
        <a:blip r:embed="rId39"/>
        <a:stretch/>
      </xdr:blipFill>
      <xdr:spPr>
        <a:xfrm>
          <a:off x="4039920" y="47208240"/>
          <a:ext cx="1170720" cy="1175400"/>
        </a:xfrm>
        <a:prstGeom prst="rect">
          <a:avLst/>
        </a:prstGeom>
        <a:noFill/>
        <a:ln w="9525">
          <a:noFill/>
        </a:ln>
      </xdr:spPr>
    </xdr:pic>
    <xdr:clientData/>
  </xdr:twoCellAnchor>
  <xdr:twoCellAnchor editAs="oneCell">
    <xdr:from>
      <xdr:col>1</xdr:col>
      <xdr:colOff>38160</xdr:colOff>
      <xdr:row>29</xdr:row>
      <xdr:rowOff>146160</xdr:rowOff>
    </xdr:from>
    <xdr:to>
      <xdr:col>1</xdr:col>
      <xdr:colOff>1208880</xdr:colOff>
      <xdr:row>29</xdr:row>
      <xdr:rowOff>1313640</xdr:rowOff>
    </xdr:to>
    <xdr:pic>
      <xdr:nvPicPr>
        <xdr:cNvPr id="1143" name="图片 34" descr="1(2)"/>
        <xdr:cNvPicPr/>
      </xdr:nvPicPr>
      <xdr:blipFill>
        <a:blip r:embed="rId40"/>
        <a:stretch/>
      </xdr:blipFill>
      <xdr:spPr>
        <a:xfrm>
          <a:off x="4039920" y="23819040"/>
          <a:ext cx="1170720" cy="1167480"/>
        </a:xfrm>
        <a:prstGeom prst="rect">
          <a:avLst/>
        </a:prstGeom>
        <a:noFill/>
        <a:ln w="9525">
          <a:noFill/>
        </a:ln>
      </xdr:spPr>
    </xdr:pic>
    <xdr:clientData/>
  </xdr:twoCellAnchor>
  <xdr:twoCellAnchor editAs="oneCell">
    <xdr:from>
      <xdr:col>2</xdr:col>
      <xdr:colOff>38160</xdr:colOff>
      <xdr:row>29</xdr:row>
      <xdr:rowOff>145800</xdr:rowOff>
    </xdr:from>
    <xdr:to>
      <xdr:col>2</xdr:col>
      <xdr:colOff>1208880</xdr:colOff>
      <xdr:row>29</xdr:row>
      <xdr:rowOff>1313640</xdr:rowOff>
    </xdr:to>
    <xdr:pic>
      <xdr:nvPicPr>
        <xdr:cNvPr id="1144" name="图片 71" descr="8(2)"/>
        <xdr:cNvPicPr/>
      </xdr:nvPicPr>
      <xdr:blipFill>
        <a:blip r:embed="rId41"/>
        <a:stretch/>
      </xdr:blipFill>
      <xdr:spPr>
        <a:xfrm>
          <a:off x="5605920" y="23818680"/>
          <a:ext cx="1170720" cy="1167840"/>
        </a:xfrm>
        <a:prstGeom prst="rect">
          <a:avLst/>
        </a:prstGeom>
        <a:noFill/>
        <a:ln w="9525">
          <a:noFill/>
        </a:ln>
      </xdr:spPr>
    </xdr:pic>
    <xdr:clientData/>
  </xdr:twoCellAnchor>
  <xdr:twoCellAnchor editAs="oneCell">
    <xdr:from>
      <xdr:col>1</xdr:col>
      <xdr:colOff>38160</xdr:colOff>
      <xdr:row>39</xdr:row>
      <xdr:rowOff>140760</xdr:rowOff>
    </xdr:from>
    <xdr:to>
      <xdr:col>1</xdr:col>
      <xdr:colOff>1208880</xdr:colOff>
      <xdr:row>39</xdr:row>
      <xdr:rowOff>1319040</xdr:rowOff>
    </xdr:to>
    <xdr:pic>
      <xdr:nvPicPr>
        <xdr:cNvPr id="1145" name="图片 89" descr="1(3)"/>
        <xdr:cNvPicPr/>
      </xdr:nvPicPr>
      <xdr:blipFill>
        <a:blip r:embed="rId42"/>
        <a:stretch/>
      </xdr:blipFill>
      <xdr:spPr>
        <a:xfrm>
          <a:off x="4039920" y="31716000"/>
          <a:ext cx="1170720" cy="1178280"/>
        </a:xfrm>
        <a:prstGeom prst="rect">
          <a:avLst/>
        </a:prstGeom>
        <a:noFill/>
        <a:ln w="9525">
          <a:noFill/>
        </a:ln>
      </xdr:spPr>
    </xdr:pic>
    <xdr:clientData/>
  </xdr:twoCellAnchor>
  <xdr:twoCellAnchor editAs="oneCell">
    <xdr:from>
      <xdr:col>2</xdr:col>
      <xdr:colOff>38160</xdr:colOff>
      <xdr:row>39</xdr:row>
      <xdr:rowOff>146520</xdr:rowOff>
    </xdr:from>
    <xdr:to>
      <xdr:col>2</xdr:col>
      <xdr:colOff>1208880</xdr:colOff>
      <xdr:row>39</xdr:row>
      <xdr:rowOff>1313280</xdr:rowOff>
    </xdr:to>
    <xdr:pic>
      <xdr:nvPicPr>
        <xdr:cNvPr id="1146" name="图片 103" descr="8(3)"/>
        <xdr:cNvPicPr/>
      </xdr:nvPicPr>
      <xdr:blipFill>
        <a:blip r:embed="rId43"/>
        <a:stretch/>
      </xdr:blipFill>
      <xdr:spPr>
        <a:xfrm>
          <a:off x="5605920" y="31721760"/>
          <a:ext cx="1170720" cy="1166760"/>
        </a:xfrm>
        <a:prstGeom prst="rect">
          <a:avLst/>
        </a:prstGeom>
        <a:noFill/>
        <a:ln w="9525">
          <a:noFill/>
        </a:ln>
      </xdr:spPr>
    </xdr:pic>
    <xdr:clientData/>
  </xdr:twoCellAnchor>
  <xdr:twoCellAnchor editAs="oneCell">
    <xdr:from>
      <xdr:col>1</xdr:col>
      <xdr:colOff>38160</xdr:colOff>
      <xdr:row>57</xdr:row>
      <xdr:rowOff>143280</xdr:rowOff>
    </xdr:from>
    <xdr:to>
      <xdr:col>1</xdr:col>
      <xdr:colOff>1208880</xdr:colOff>
      <xdr:row>57</xdr:row>
      <xdr:rowOff>1316520</xdr:rowOff>
    </xdr:to>
    <xdr:pic>
      <xdr:nvPicPr>
        <xdr:cNvPr id="1147" name="图片 105" descr="1(1)"/>
        <xdr:cNvPicPr/>
      </xdr:nvPicPr>
      <xdr:blipFill>
        <a:blip r:embed="rId44"/>
        <a:stretch/>
      </xdr:blipFill>
      <xdr:spPr>
        <a:xfrm>
          <a:off x="4039920" y="45717120"/>
          <a:ext cx="1170720" cy="1173240"/>
        </a:xfrm>
        <a:prstGeom prst="rect">
          <a:avLst/>
        </a:prstGeom>
        <a:noFill/>
        <a:ln w="9525">
          <a:noFill/>
        </a:ln>
      </xdr:spPr>
    </xdr:pic>
    <xdr:clientData/>
  </xdr:twoCellAnchor>
  <xdr:twoCellAnchor editAs="oneCell">
    <xdr:from>
      <xdr:col>2</xdr:col>
      <xdr:colOff>38160</xdr:colOff>
      <xdr:row>57</xdr:row>
      <xdr:rowOff>143280</xdr:rowOff>
    </xdr:from>
    <xdr:to>
      <xdr:col>2</xdr:col>
      <xdr:colOff>1208880</xdr:colOff>
      <xdr:row>57</xdr:row>
      <xdr:rowOff>1316520</xdr:rowOff>
    </xdr:to>
    <xdr:pic>
      <xdr:nvPicPr>
        <xdr:cNvPr id="1148" name="图片 106" descr="8(1)"/>
        <xdr:cNvPicPr/>
      </xdr:nvPicPr>
      <xdr:blipFill>
        <a:blip r:embed="rId45"/>
        <a:stretch/>
      </xdr:blipFill>
      <xdr:spPr>
        <a:xfrm>
          <a:off x="5605920" y="45717120"/>
          <a:ext cx="1170720" cy="1173240"/>
        </a:xfrm>
        <a:prstGeom prst="rect">
          <a:avLst/>
        </a:prstGeom>
        <a:noFill/>
        <a:ln w="9525">
          <a:noFill/>
        </a:ln>
      </xdr:spPr>
    </xdr:pic>
    <xdr:clientData/>
  </xdr:twoCellAnchor>
  <xdr:twoCellAnchor editAs="oneCell">
    <xdr:from>
      <xdr:col>1</xdr:col>
      <xdr:colOff>38160</xdr:colOff>
      <xdr:row>26</xdr:row>
      <xdr:rowOff>146880</xdr:rowOff>
    </xdr:from>
    <xdr:to>
      <xdr:col>1</xdr:col>
      <xdr:colOff>1208880</xdr:colOff>
      <xdr:row>26</xdr:row>
      <xdr:rowOff>1313280</xdr:rowOff>
    </xdr:to>
    <xdr:pic>
      <xdr:nvPicPr>
        <xdr:cNvPr id="1149" name="图片 20" descr="3"/>
        <xdr:cNvPicPr/>
      </xdr:nvPicPr>
      <xdr:blipFill>
        <a:blip r:embed="rId46"/>
        <a:stretch/>
      </xdr:blipFill>
      <xdr:spPr>
        <a:xfrm>
          <a:off x="4039920" y="21949560"/>
          <a:ext cx="1170720" cy="1166400"/>
        </a:xfrm>
        <a:prstGeom prst="rect">
          <a:avLst/>
        </a:prstGeom>
        <a:noFill/>
        <a:ln w="9525">
          <a:noFill/>
        </a:ln>
      </xdr:spPr>
    </xdr:pic>
    <xdr:clientData/>
  </xdr:twoCellAnchor>
  <xdr:twoCellAnchor editAs="oneCell">
    <xdr:from>
      <xdr:col>2</xdr:col>
      <xdr:colOff>38160</xdr:colOff>
      <xdr:row>26</xdr:row>
      <xdr:rowOff>146880</xdr:rowOff>
    </xdr:from>
    <xdr:to>
      <xdr:col>2</xdr:col>
      <xdr:colOff>1208880</xdr:colOff>
      <xdr:row>26</xdr:row>
      <xdr:rowOff>1313280</xdr:rowOff>
    </xdr:to>
    <xdr:pic>
      <xdr:nvPicPr>
        <xdr:cNvPr id="1150" name="图片 23" descr="4"/>
        <xdr:cNvPicPr/>
      </xdr:nvPicPr>
      <xdr:blipFill>
        <a:blip r:embed="rId47"/>
        <a:stretch/>
      </xdr:blipFill>
      <xdr:spPr>
        <a:xfrm>
          <a:off x="5605920" y="21949560"/>
          <a:ext cx="1170720" cy="1166400"/>
        </a:xfrm>
        <a:prstGeom prst="rect">
          <a:avLst/>
        </a:prstGeom>
        <a:noFill/>
        <a:ln w="9525">
          <a:noFill/>
        </a:ln>
      </xdr:spPr>
    </xdr:pic>
    <xdr:clientData/>
  </xdr:twoCellAnchor>
  <xdr:twoCellAnchor editAs="oneCell">
    <xdr:from>
      <xdr:col>1</xdr:col>
      <xdr:colOff>38160</xdr:colOff>
      <xdr:row>13</xdr:row>
      <xdr:rowOff>146160</xdr:rowOff>
    </xdr:from>
    <xdr:to>
      <xdr:col>1</xdr:col>
      <xdr:colOff>1208880</xdr:colOff>
      <xdr:row>13</xdr:row>
      <xdr:rowOff>1313640</xdr:rowOff>
    </xdr:to>
    <xdr:pic>
      <xdr:nvPicPr>
        <xdr:cNvPr id="1151" name="图片 4" descr="4"/>
        <xdr:cNvPicPr/>
      </xdr:nvPicPr>
      <xdr:blipFill>
        <a:blip r:embed="rId48"/>
        <a:stretch/>
      </xdr:blipFill>
      <xdr:spPr>
        <a:xfrm>
          <a:off x="4039920" y="10779120"/>
          <a:ext cx="1170720" cy="1167480"/>
        </a:xfrm>
        <a:prstGeom prst="rect">
          <a:avLst/>
        </a:prstGeom>
        <a:noFill/>
        <a:ln w="9525">
          <a:noFill/>
        </a:ln>
      </xdr:spPr>
    </xdr:pic>
    <xdr:clientData/>
  </xdr:twoCellAnchor>
  <xdr:twoCellAnchor editAs="oneCell">
    <xdr:from>
      <xdr:col>1</xdr:col>
      <xdr:colOff>38160</xdr:colOff>
      <xdr:row>12</xdr:row>
      <xdr:rowOff>140400</xdr:rowOff>
    </xdr:from>
    <xdr:to>
      <xdr:col>1</xdr:col>
      <xdr:colOff>1208880</xdr:colOff>
      <xdr:row>12</xdr:row>
      <xdr:rowOff>1319400</xdr:rowOff>
    </xdr:to>
    <xdr:pic>
      <xdr:nvPicPr>
        <xdr:cNvPr id="1152" name="图片 84" descr="4"/>
        <xdr:cNvPicPr/>
      </xdr:nvPicPr>
      <xdr:blipFill>
        <a:blip r:embed="rId49"/>
        <a:stretch/>
      </xdr:blipFill>
      <xdr:spPr>
        <a:xfrm>
          <a:off x="4039920" y="9312840"/>
          <a:ext cx="1170720" cy="1179000"/>
        </a:xfrm>
        <a:prstGeom prst="rect">
          <a:avLst/>
        </a:prstGeom>
        <a:noFill/>
        <a:ln w="9525">
          <a:noFill/>
        </a:ln>
      </xdr:spPr>
    </xdr:pic>
    <xdr:clientData/>
  </xdr:twoCellAnchor>
  <xdr:twoCellAnchor editAs="oneCell">
    <xdr:from>
      <xdr:col>2</xdr:col>
      <xdr:colOff>38160</xdr:colOff>
      <xdr:row>12</xdr:row>
      <xdr:rowOff>144000</xdr:rowOff>
    </xdr:from>
    <xdr:to>
      <xdr:col>2</xdr:col>
      <xdr:colOff>1208880</xdr:colOff>
      <xdr:row>12</xdr:row>
      <xdr:rowOff>1316160</xdr:rowOff>
    </xdr:to>
    <xdr:pic>
      <xdr:nvPicPr>
        <xdr:cNvPr id="1153" name="图片 117" descr="12"/>
        <xdr:cNvPicPr/>
      </xdr:nvPicPr>
      <xdr:blipFill>
        <a:blip r:embed="rId50"/>
        <a:stretch/>
      </xdr:blipFill>
      <xdr:spPr>
        <a:xfrm>
          <a:off x="5605920" y="9316440"/>
          <a:ext cx="1170720" cy="1172160"/>
        </a:xfrm>
        <a:prstGeom prst="rect">
          <a:avLst/>
        </a:prstGeom>
        <a:noFill/>
        <a:ln w="9525">
          <a:noFill/>
        </a:ln>
      </xdr:spPr>
    </xdr:pic>
    <xdr:clientData/>
  </xdr:twoCellAnchor>
  <xdr:twoCellAnchor editAs="oneCell">
    <xdr:from>
      <xdr:col>2</xdr:col>
      <xdr:colOff>38160</xdr:colOff>
      <xdr:row>13</xdr:row>
      <xdr:rowOff>143640</xdr:rowOff>
    </xdr:from>
    <xdr:to>
      <xdr:col>2</xdr:col>
      <xdr:colOff>1208880</xdr:colOff>
      <xdr:row>13</xdr:row>
      <xdr:rowOff>1316160</xdr:rowOff>
    </xdr:to>
    <xdr:pic>
      <xdr:nvPicPr>
        <xdr:cNvPr id="1154" name="图片 1" descr="13"/>
        <xdr:cNvPicPr/>
      </xdr:nvPicPr>
      <xdr:blipFill>
        <a:blip r:embed="rId51"/>
        <a:stretch/>
      </xdr:blipFill>
      <xdr:spPr>
        <a:xfrm>
          <a:off x="5605920" y="10776600"/>
          <a:ext cx="1170720" cy="1172520"/>
        </a:xfrm>
        <a:prstGeom prst="rect">
          <a:avLst/>
        </a:prstGeom>
        <a:noFill/>
        <a:ln w="9525">
          <a:noFill/>
        </a:ln>
      </xdr:spPr>
    </xdr:pic>
    <xdr:clientData/>
  </xdr:twoCellAnchor>
  <xdr:twoCellAnchor editAs="oneCell">
    <xdr:from>
      <xdr:col>2</xdr:col>
      <xdr:colOff>38160</xdr:colOff>
      <xdr:row>14</xdr:row>
      <xdr:rowOff>143280</xdr:rowOff>
    </xdr:from>
    <xdr:to>
      <xdr:col>2</xdr:col>
      <xdr:colOff>1208880</xdr:colOff>
      <xdr:row>14</xdr:row>
      <xdr:rowOff>1316520</xdr:rowOff>
    </xdr:to>
    <xdr:pic>
      <xdr:nvPicPr>
        <xdr:cNvPr id="1155" name="图片 91" descr="10"/>
        <xdr:cNvPicPr/>
      </xdr:nvPicPr>
      <xdr:blipFill>
        <a:blip r:embed="rId52"/>
        <a:stretch/>
      </xdr:blipFill>
      <xdr:spPr>
        <a:xfrm>
          <a:off x="5605920" y="12236760"/>
          <a:ext cx="1170720" cy="1173240"/>
        </a:xfrm>
        <a:prstGeom prst="rect">
          <a:avLst/>
        </a:prstGeom>
        <a:noFill/>
        <a:ln w="9525">
          <a:noFill/>
        </a:ln>
      </xdr:spPr>
    </xdr:pic>
    <xdr:clientData/>
  </xdr:twoCellAnchor>
  <xdr:twoCellAnchor editAs="oneCell">
    <xdr:from>
      <xdr:col>1</xdr:col>
      <xdr:colOff>38160</xdr:colOff>
      <xdr:row>32</xdr:row>
      <xdr:rowOff>172080</xdr:rowOff>
    </xdr:from>
    <xdr:to>
      <xdr:col>1</xdr:col>
      <xdr:colOff>1208880</xdr:colOff>
      <xdr:row>33</xdr:row>
      <xdr:rowOff>588960</xdr:rowOff>
    </xdr:to>
    <xdr:pic>
      <xdr:nvPicPr>
        <xdr:cNvPr id="1156" name="图片 25" descr="3(1)"/>
        <xdr:cNvPicPr/>
      </xdr:nvPicPr>
      <xdr:blipFill>
        <a:blip r:embed="rId53"/>
        <a:stretch/>
      </xdr:blipFill>
      <xdr:spPr>
        <a:xfrm>
          <a:off x="4039920" y="25714800"/>
          <a:ext cx="1170720" cy="1179000"/>
        </a:xfrm>
        <a:prstGeom prst="rect">
          <a:avLst/>
        </a:prstGeom>
        <a:noFill/>
        <a:ln w="9525">
          <a:noFill/>
        </a:ln>
      </xdr:spPr>
    </xdr:pic>
    <xdr:clientData/>
  </xdr:twoCellAnchor>
  <xdr:twoCellAnchor editAs="oneCell">
    <xdr:from>
      <xdr:col>1</xdr:col>
      <xdr:colOff>38160</xdr:colOff>
      <xdr:row>34</xdr:row>
      <xdr:rowOff>175680</xdr:rowOff>
    </xdr:from>
    <xdr:to>
      <xdr:col>1</xdr:col>
      <xdr:colOff>1208880</xdr:colOff>
      <xdr:row>35</xdr:row>
      <xdr:rowOff>586080</xdr:rowOff>
    </xdr:to>
    <xdr:pic>
      <xdr:nvPicPr>
        <xdr:cNvPr id="1157" name="图片 29" descr="3(2)"/>
        <xdr:cNvPicPr/>
      </xdr:nvPicPr>
      <xdr:blipFill>
        <a:blip r:embed="rId54"/>
        <a:stretch/>
      </xdr:blipFill>
      <xdr:spPr>
        <a:xfrm>
          <a:off x="4039920" y="27242640"/>
          <a:ext cx="1170720" cy="1172160"/>
        </a:xfrm>
        <a:prstGeom prst="rect">
          <a:avLst/>
        </a:prstGeom>
        <a:noFill/>
        <a:ln w="9525">
          <a:noFill/>
        </a:ln>
      </xdr:spPr>
    </xdr:pic>
    <xdr:clientData/>
  </xdr:twoCellAnchor>
  <xdr:twoCellAnchor editAs="oneCell">
    <xdr:from>
      <xdr:col>1</xdr:col>
      <xdr:colOff>38160</xdr:colOff>
      <xdr:row>53</xdr:row>
      <xdr:rowOff>176400</xdr:rowOff>
    </xdr:from>
    <xdr:to>
      <xdr:col>1</xdr:col>
      <xdr:colOff>1208880</xdr:colOff>
      <xdr:row>54</xdr:row>
      <xdr:rowOff>585000</xdr:rowOff>
    </xdr:to>
    <xdr:pic>
      <xdr:nvPicPr>
        <xdr:cNvPr id="1158" name="图片 38" descr="3(3)"/>
        <xdr:cNvPicPr/>
      </xdr:nvPicPr>
      <xdr:blipFill>
        <a:blip r:embed="rId55"/>
        <a:stretch/>
      </xdr:blipFill>
      <xdr:spPr>
        <a:xfrm>
          <a:off x="4039920" y="42702480"/>
          <a:ext cx="1170720" cy="1170360"/>
        </a:xfrm>
        <a:prstGeom prst="rect">
          <a:avLst/>
        </a:prstGeom>
        <a:noFill/>
        <a:ln w="9525">
          <a:noFill/>
        </a:ln>
      </xdr:spPr>
    </xdr:pic>
    <xdr:clientData/>
  </xdr:twoCellAnchor>
  <xdr:twoCellAnchor editAs="oneCell">
    <xdr:from>
      <xdr:col>1</xdr:col>
      <xdr:colOff>38160</xdr:colOff>
      <xdr:row>36</xdr:row>
      <xdr:rowOff>176400</xdr:rowOff>
    </xdr:from>
    <xdr:to>
      <xdr:col>1</xdr:col>
      <xdr:colOff>1208880</xdr:colOff>
      <xdr:row>37</xdr:row>
      <xdr:rowOff>584640</xdr:rowOff>
    </xdr:to>
    <xdr:pic>
      <xdr:nvPicPr>
        <xdr:cNvPr id="1159" name="图片 39" descr="3(4)"/>
        <xdr:cNvPicPr/>
      </xdr:nvPicPr>
      <xdr:blipFill>
        <a:blip r:embed="rId56"/>
        <a:stretch/>
      </xdr:blipFill>
      <xdr:spPr>
        <a:xfrm>
          <a:off x="4039920" y="28767240"/>
          <a:ext cx="1170720" cy="1170360"/>
        </a:xfrm>
        <a:prstGeom prst="rect">
          <a:avLst/>
        </a:prstGeom>
        <a:noFill/>
        <a:ln w="9525">
          <a:noFill/>
        </a:ln>
      </xdr:spPr>
    </xdr:pic>
    <xdr:clientData/>
  </xdr:twoCellAnchor>
  <xdr:twoCellAnchor editAs="oneCell">
    <xdr:from>
      <xdr:col>1</xdr:col>
      <xdr:colOff>38160</xdr:colOff>
      <xdr:row>55</xdr:row>
      <xdr:rowOff>176760</xdr:rowOff>
    </xdr:from>
    <xdr:to>
      <xdr:col>1</xdr:col>
      <xdr:colOff>1208880</xdr:colOff>
      <xdr:row>56</xdr:row>
      <xdr:rowOff>584280</xdr:rowOff>
    </xdr:to>
    <xdr:pic>
      <xdr:nvPicPr>
        <xdr:cNvPr id="1160" name="图片 48" descr="3(5)"/>
        <xdr:cNvPicPr/>
      </xdr:nvPicPr>
      <xdr:blipFill>
        <a:blip r:embed="rId57"/>
        <a:stretch/>
      </xdr:blipFill>
      <xdr:spPr>
        <a:xfrm>
          <a:off x="4039920" y="44226720"/>
          <a:ext cx="1170720" cy="1169640"/>
        </a:xfrm>
        <a:prstGeom prst="rect">
          <a:avLst/>
        </a:prstGeom>
        <a:noFill/>
        <a:ln w="9525">
          <a:noFill/>
        </a:ln>
      </xdr:spPr>
    </xdr:pic>
    <xdr:clientData/>
  </xdr:twoCellAnchor>
  <xdr:twoCellAnchor editAs="oneCell">
    <xdr:from>
      <xdr:col>1</xdr:col>
      <xdr:colOff>38160</xdr:colOff>
      <xdr:row>51</xdr:row>
      <xdr:rowOff>174960</xdr:rowOff>
    </xdr:from>
    <xdr:to>
      <xdr:col>1</xdr:col>
      <xdr:colOff>1208880</xdr:colOff>
      <xdr:row>52</xdr:row>
      <xdr:rowOff>586080</xdr:rowOff>
    </xdr:to>
    <xdr:pic>
      <xdr:nvPicPr>
        <xdr:cNvPr id="1161" name="图片 49" descr="3"/>
        <xdr:cNvPicPr/>
      </xdr:nvPicPr>
      <xdr:blipFill>
        <a:blip r:embed="rId58"/>
        <a:stretch/>
      </xdr:blipFill>
      <xdr:spPr>
        <a:xfrm>
          <a:off x="4039920" y="41176800"/>
          <a:ext cx="1170720" cy="1173240"/>
        </a:xfrm>
        <a:prstGeom prst="rect">
          <a:avLst/>
        </a:prstGeom>
        <a:noFill/>
        <a:ln w="9525">
          <a:noFill/>
        </a:ln>
      </xdr:spPr>
    </xdr:pic>
    <xdr:clientData/>
  </xdr:twoCellAnchor>
  <xdr:twoCellAnchor editAs="oneCell">
    <xdr:from>
      <xdr:col>2</xdr:col>
      <xdr:colOff>38160</xdr:colOff>
      <xdr:row>32</xdr:row>
      <xdr:rowOff>176040</xdr:rowOff>
    </xdr:from>
    <xdr:to>
      <xdr:col>2</xdr:col>
      <xdr:colOff>1208880</xdr:colOff>
      <xdr:row>33</xdr:row>
      <xdr:rowOff>585360</xdr:rowOff>
    </xdr:to>
    <xdr:pic>
      <xdr:nvPicPr>
        <xdr:cNvPr id="1162" name="图片 51" descr="10(1)"/>
        <xdr:cNvPicPr/>
      </xdr:nvPicPr>
      <xdr:blipFill>
        <a:blip r:embed="rId59"/>
        <a:stretch/>
      </xdr:blipFill>
      <xdr:spPr>
        <a:xfrm>
          <a:off x="5605920" y="25718760"/>
          <a:ext cx="1170720" cy="1171440"/>
        </a:xfrm>
        <a:prstGeom prst="rect">
          <a:avLst/>
        </a:prstGeom>
        <a:noFill/>
        <a:ln w="9525">
          <a:noFill/>
        </a:ln>
      </xdr:spPr>
    </xdr:pic>
    <xdr:clientData/>
  </xdr:twoCellAnchor>
  <xdr:twoCellAnchor editAs="oneCell">
    <xdr:from>
      <xdr:col>2</xdr:col>
      <xdr:colOff>38160</xdr:colOff>
      <xdr:row>53</xdr:row>
      <xdr:rowOff>176040</xdr:rowOff>
    </xdr:from>
    <xdr:to>
      <xdr:col>2</xdr:col>
      <xdr:colOff>1208880</xdr:colOff>
      <xdr:row>54</xdr:row>
      <xdr:rowOff>585000</xdr:rowOff>
    </xdr:to>
    <xdr:pic>
      <xdr:nvPicPr>
        <xdr:cNvPr id="1163" name="图片 57" descr="10(2)"/>
        <xdr:cNvPicPr/>
      </xdr:nvPicPr>
      <xdr:blipFill>
        <a:blip r:embed="rId60"/>
        <a:stretch/>
      </xdr:blipFill>
      <xdr:spPr>
        <a:xfrm>
          <a:off x="5605920" y="42702120"/>
          <a:ext cx="1170720" cy="1170720"/>
        </a:xfrm>
        <a:prstGeom prst="rect">
          <a:avLst/>
        </a:prstGeom>
        <a:noFill/>
        <a:ln w="9525">
          <a:noFill/>
        </a:ln>
      </xdr:spPr>
    </xdr:pic>
    <xdr:clientData/>
  </xdr:twoCellAnchor>
  <xdr:twoCellAnchor editAs="oneCell">
    <xdr:from>
      <xdr:col>2</xdr:col>
      <xdr:colOff>38160</xdr:colOff>
      <xdr:row>34</xdr:row>
      <xdr:rowOff>177120</xdr:rowOff>
    </xdr:from>
    <xdr:to>
      <xdr:col>2</xdr:col>
      <xdr:colOff>1208880</xdr:colOff>
      <xdr:row>35</xdr:row>
      <xdr:rowOff>584640</xdr:rowOff>
    </xdr:to>
    <xdr:pic>
      <xdr:nvPicPr>
        <xdr:cNvPr id="1164" name="图片 65" descr="10(3)"/>
        <xdr:cNvPicPr/>
      </xdr:nvPicPr>
      <xdr:blipFill>
        <a:blip r:embed="rId61"/>
        <a:stretch/>
      </xdr:blipFill>
      <xdr:spPr>
        <a:xfrm>
          <a:off x="5605920" y="27244080"/>
          <a:ext cx="1170720" cy="1169280"/>
        </a:xfrm>
        <a:prstGeom prst="rect">
          <a:avLst/>
        </a:prstGeom>
        <a:noFill/>
        <a:ln w="9525">
          <a:noFill/>
        </a:ln>
      </xdr:spPr>
    </xdr:pic>
    <xdr:clientData/>
  </xdr:twoCellAnchor>
  <xdr:twoCellAnchor editAs="oneCell">
    <xdr:from>
      <xdr:col>2</xdr:col>
      <xdr:colOff>38160</xdr:colOff>
      <xdr:row>36</xdr:row>
      <xdr:rowOff>176400</xdr:rowOff>
    </xdr:from>
    <xdr:to>
      <xdr:col>2</xdr:col>
      <xdr:colOff>1208880</xdr:colOff>
      <xdr:row>37</xdr:row>
      <xdr:rowOff>584640</xdr:rowOff>
    </xdr:to>
    <xdr:pic>
      <xdr:nvPicPr>
        <xdr:cNvPr id="1165" name="图片 79" descr="10(4)"/>
        <xdr:cNvPicPr/>
      </xdr:nvPicPr>
      <xdr:blipFill>
        <a:blip r:embed="rId62"/>
        <a:stretch/>
      </xdr:blipFill>
      <xdr:spPr>
        <a:xfrm>
          <a:off x="5605920" y="28767240"/>
          <a:ext cx="1170720" cy="1170360"/>
        </a:xfrm>
        <a:prstGeom prst="rect">
          <a:avLst/>
        </a:prstGeom>
        <a:noFill/>
        <a:ln w="9525">
          <a:noFill/>
        </a:ln>
      </xdr:spPr>
    </xdr:pic>
    <xdr:clientData/>
  </xdr:twoCellAnchor>
  <xdr:twoCellAnchor editAs="oneCell">
    <xdr:from>
      <xdr:col>2</xdr:col>
      <xdr:colOff>38160</xdr:colOff>
      <xdr:row>55</xdr:row>
      <xdr:rowOff>174960</xdr:rowOff>
    </xdr:from>
    <xdr:to>
      <xdr:col>2</xdr:col>
      <xdr:colOff>1208880</xdr:colOff>
      <xdr:row>56</xdr:row>
      <xdr:rowOff>586080</xdr:rowOff>
    </xdr:to>
    <xdr:pic>
      <xdr:nvPicPr>
        <xdr:cNvPr id="1166" name="图片 88" descr="10(5)"/>
        <xdr:cNvPicPr/>
      </xdr:nvPicPr>
      <xdr:blipFill>
        <a:blip r:embed="rId63"/>
        <a:stretch/>
      </xdr:blipFill>
      <xdr:spPr>
        <a:xfrm>
          <a:off x="5605920" y="44224920"/>
          <a:ext cx="1170720" cy="1173240"/>
        </a:xfrm>
        <a:prstGeom prst="rect">
          <a:avLst/>
        </a:prstGeom>
        <a:noFill/>
        <a:ln w="9525">
          <a:noFill/>
        </a:ln>
      </xdr:spPr>
    </xdr:pic>
    <xdr:clientData/>
  </xdr:twoCellAnchor>
  <xdr:twoCellAnchor editAs="oneCell">
    <xdr:from>
      <xdr:col>2</xdr:col>
      <xdr:colOff>38160</xdr:colOff>
      <xdr:row>51</xdr:row>
      <xdr:rowOff>176760</xdr:rowOff>
    </xdr:from>
    <xdr:to>
      <xdr:col>2</xdr:col>
      <xdr:colOff>1208880</xdr:colOff>
      <xdr:row>52</xdr:row>
      <xdr:rowOff>584280</xdr:rowOff>
    </xdr:to>
    <xdr:pic>
      <xdr:nvPicPr>
        <xdr:cNvPr id="1167" name="图片 93" descr="10"/>
        <xdr:cNvPicPr/>
      </xdr:nvPicPr>
      <xdr:blipFill>
        <a:blip r:embed="rId64"/>
        <a:stretch/>
      </xdr:blipFill>
      <xdr:spPr>
        <a:xfrm>
          <a:off x="5605920" y="41178600"/>
          <a:ext cx="1170720" cy="1169640"/>
        </a:xfrm>
        <a:prstGeom prst="rect">
          <a:avLst/>
        </a:prstGeom>
        <a:noFill/>
        <a:ln w="9525">
          <a:noFill/>
        </a:ln>
      </xdr:spPr>
    </xdr:pic>
    <xdr:clientData/>
  </xdr:twoCellAnchor>
  <xdr:twoCellAnchor editAs="oneCell">
    <xdr:from>
      <xdr:col>1</xdr:col>
      <xdr:colOff>38160</xdr:colOff>
      <xdr:row>17</xdr:row>
      <xdr:rowOff>140400</xdr:rowOff>
    </xdr:from>
    <xdr:to>
      <xdr:col>1</xdr:col>
      <xdr:colOff>1208880</xdr:colOff>
      <xdr:row>17</xdr:row>
      <xdr:rowOff>1319400</xdr:rowOff>
    </xdr:to>
    <xdr:pic>
      <xdr:nvPicPr>
        <xdr:cNvPr id="1168" name="图片 6" descr="1"/>
        <xdr:cNvPicPr/>
      </xdr:nvPicPr>
      <xdr:blipFill>
        <a:blip r:embed="rId65"/>
        <a:stretch/>
      </xdr:blipFill>
      <xdr:spPr>
        <a:xfrm>
          <a:off x="4039920" y="14104080"/>
          <a:ext cx="1170720" cy="1179000"/>
        </a:xfrm>
        <a:prstGeom prst="rect">
          <a:avLst/>
        </a:prstGeom>
        <a:noFill/>
        <a:ln w="9525">
          <a:noFill/>
        </a:ln>
      </xdr:spPr>
    </xdr:pic>
    <xdr:clientData/>
  </xdr:twoCellAnchor>
  <xdr:twoCellAnchor editAs="oneCell">
    <xdr:from>
      <xdr:col>2</xdr:col>
      <xdr:colOff>38160</xdr:colOff>
      <xdr:row>17</xdr:row>
      <xdr:rowOff>146880</xdr:rowOff>
    </xdr:from>
    <xdr:to>
      <xdr:col>2</xdr:col>
      <xdr:colOff>1208880</xdr:colOff>
      <xdr:row>17</xdr:row>
      <xdr:rowOff>1313280</xdr:rowOff>
    </xdr:to>
    <xdr:pic>
      <xdr:nvPicPr>
        <xdr:cNvPr id="1169" name="图片 22" descr="8"/>
        <xdr:cNvPicPr/>
      </xdr:nvPicPr>
      <xdr:blipFill>
        <a:blip r:embed="rId66"/>
        <a:stretch/>
      </xdr:blipFill>
      <xdr:spPr>
        <a:xfrm>
          <a:off x="5605920" y="14110560"/>
          <a:ext cx="1170720" cy="1166400"/>
        </a:xfrm>
        <a:prstGeom prst="rect">
          <a:avLst/>
        </a:prstGeom>
        <a:noFill/>
        <a:ln w="9525">
          <a:noFill/>
        </a:ln>
      </xdr:spPr>
    </xdr:pic>
    <xdr:clientData/>
  </xdr:twoCellAnchor>
  <xdr:twoCellAnchor editAs="oneCell">
    <xdr:from>
      <xdr:col>1</xdr:col>
      <xdr:colOff>38160</xdr:colOff>
      <xdr:row>11</xdr:row>
      <xdr:rowOff>143280</xdr:rowOff>
    </xdr:from>
    <xdr:to>
      <xdr:col>1</xdr:col>
      <xdr:colOff>1208880</xdr:colOff>
      <xdr:row>11</xdr:row>
      <xdr:rowOff>1316520</xdr:rowOff>
    </xdr:to>
    <xdr:pic>
      <xdr:nvPicPr>
        <xdr:cNvPr id="1170" name="图片 26" descr="1"/>
        <xdr:cNvPicPr/>
      </xdr:nvPicPr>
      <xdr:blipFill>
        <a:blip r:embed="rId67"/>
        <a:stretch/>
      </xdr:blipFill>
      <xdr:spPr>
        <a:xfrm>
          <a:off x="4039920" y="7855200"/>
          <a:ext cx="1170720" cy="1173240"/>
        </a:xfrm>
        <a:prstGeom prst="rect">
          <a:avLst/>
        </a:prstGeom>
        <a:noFill/>
        <a:ln w="9525">
          <a:noFill/>
        </a:ln>
      </xdr:spPr>
    </xdr:pic>
    <xdr:clientData/>
  </xdr:twoCellAnchor>
  <xdr:twoCellAnchor editAs="oneCell">
    <xdr:from>
      <xdr:col>2</xdr:col>
      <xdr:colOff>38160</xdr:colOff>
      <xdr:row>11</xdr:row>
      <xdr:rowOff>144000</xdr:rowOff>
    </xdr:from>
    <xdr:to>
      <xdr:col>2</xdr:col>
      <xdr:colOff>1208880</xdr:colOff>
      <xdr:row>11</xdr:row>
      <xdr:rowOff>1315440</xdr:rowOff>
    </xdr:to>
    <xdr:pic>
      <xdr:nvPicPr>
        <xdr:cNvPr id="1171" name="图片 28" descr="9"/>
        <xdr:cNvPicPr/>
      </xdr:nvPicPr>
      <xdr:blipFill>
        <a:blip r:embed="rId68"/>
        <a:stretch/>
      </xdr:blipFill>
      <xdr:spPr>
        <a:xfrm>
          <a:off x="5605920" y="7855920"/>
          <a:ext cx="1170720" cy="1171440"/>
        </a:xfrm>
        <a:prstGeom prst="rect">
          <a:avLst/>
        </a:prstGeom>
        <a:noFill/>
        <a:ln w="9525">
          <a:noFill/>
        </a:ln>
      </xdr:spPr>
    </xdr:pic>
    <xdr:clientData/>
  </xdr:twoCellAnchor>
  <xdr:twoCellAnchor editAs="oneCell">
    <xdr:from>
      <xdr:col>1</xdr:col>
      <xdr:colOff>38160</xdr:colOff>
      <xdr:row>25</xdr:row>
      <xdr:rowOff>146160</xdr:rowOff>
    </xdr:from>
    <xdr:to>
      <xdr:col>1</xdr:col>
      <xdr:colOff>1208880</xdr:colOff>
      <xdr:row>25</xdr:row>
      <xdr:rowOff>1313640</xdr:rowOff>
    </xdr:to>
    <xdr:pic>
      <xdr:nvPicPr>
        <xdr:cNvPr id="1172" name="图片 14" descr="5"/>
        <xdr:cNvPicPr/>
      </xdr:nvPicPr>
      <xdr:blipFill>
        <a:blip r:embed="rId69"/>
        <a:stretch/>
      </xdr:blipFill>
      <xdr:spPr>
        <a:xfrm>
          <a:off x="4039920" y="20488320"/>
          <a:ext cx="1170720" cy="1167480"/>
        </a:xfrm>
        <a:prstGeom prst="rect">
          <a:avLst/>
        </a:prstGeom>
        <a:noFill/>
        <a:ln w="9525">
          <a:noFill/>
        </a:ln>
      </xdr:spPr>
    </xdr:pic>
    <xdr:clientData/>
  </xdr:twoCellAnchor>
  <xdr:twoCellAnchor editAs="oneCell">
    <xdr:from>
      <xdr:col>2</xdr:col>
      <xdr:colOff>38160</xdr:colOff>
      <xdr:row>25</xdr:row>
      <xdr:rowOff>146160</xdr:rowOff>
    </xdr:from>
    <xdr:to>
      <xdr:col>2</xdr:col>
      <xdr:colOff>1208880</xdr:colOff>
      <xdr:row>25</xdr:row>
      <xdr:rowOff>1313640</xdr:rowOff>
    </xdr:to>
    <xdr:pic>
      <xdr:nvPicPr>
        <xdr:cNvPr id="1173" name="图片 30" descr="15"/>
        <xdr:cNvPicPr/>
      </xdr:nvPicPr>
      <xdr:blipFill>
        <a:blip r:embed="rId70"/>
        <a:stretch/>
      </xdr:blipFill>
      <xdr:spPr>
        <a:xfrm>
          <a:off x="5605920" y="20488320"/>
          <a:ext cx="1170720" cy="1167480"/>
        </a:xfrm>
        <a:prstGeom prst="rect">
          <a:avLst/>
        </a:prstGeom>
        <a:noFill/>
        <a:ln w="9525">
          <a:noFill/>
        </a:ln>
      </xdr:spPr>
    </xdr:pic>
    <xdr:clientData/>
  </xdr:twoCellAnchor>
  <xdr:twoCellAnchor editAs="oneCell">
    <xdr:from>
      <xdr:col>2</xdr:col>
      <xdr:colOff>38160</xdr:colOff>
      <xdr:row>23</xdr:row>
      <xdr:rowOff>171720</xdr:rowOff>
    </xdr:from>
    <xdr:to>
      <xdr:col>2</xdr:col>
      <xdr:colOff>1208880</xdr:colOff>
      <xdr:row>24</xdr:row>
      <xdr:rowOff>589680</xdr:rowOff>
    </xdr:to>
    <xdr:pic>
      <xdr:nvPicPr>
        <xdr:cNvPr id="1174" name="图片 24" descr="11"/>
        <xdr:cNvPicPr/>
      </xdr:nvPicPr>
      <xdr:blipFill>
        <a:blip r:embed="rId71"/>
        <a:stretch/>
      </xdr:blipFill>
      <xdr:spPr>
        <a:xfrm>
          <a:off x="5605920" y="18990000"/>
          <a:ext cx="1170720" cy="1180080"/>
        </a:xfrm>
        <a:prstGeom prst="rect">
          <a:avLst/>
        </a:prstGeom>
        <a:noFill/>
        <a:ln w="9525">
          <a:noFill/>
        </a:ln>
      </xdr:spPr>
    </xdr:pic>
    <xdr:clientData/>
  </xdr:twoCellAnchor>
  <xdr:twoCellAnchor editAs="oneCell">
    <xdr:from>
      <xdr:col>1</xdr:col>
      <xdr:colOff>38160</xdr:colOff>
      <xdr:row>23</xdr:row>
      <xdr:rowOff>174240</xdr:rowOff>
    </xdr:from>
    <xdr:to>
      <xdr:col>1</xdr:col>
      <xdr:colOff>1208880</xdr:colOff>
      <xdr:row>24</xdr:row>
      <xdr:rowOff>587160</xdr:rowOff>
    </xdr:to>
    <xdr:pic>
      <xdr:nvPicPr>
        <xdr:cNvPr id="1175" name="图片 40" descr="3"/>
        <xdr:cNvPicPr/>
      </xdr:nvPicPr>
      <xdr:blipFill>
        <a:blip r:embed="rId72"/>
        <a:stretch/>
      </xdr:blipFill>
      <xdr:spPr>
        <a:xfrm>
          <a:off x="4039920" y="18992520"/>
          <a:ext cx="1170720" cy="1175040"/>
        </a:xfrm>
        <a:prstGeom prst="rect">
          <a:avLst/>
        </a:prstGeom>
        <a:noFill/>
        <a:ln w="9525">
          <a:noFill/>
        </a:ln>
      </xdr:spPr>
    </xdr:pic>
    <xdr:clientData/>
  </xdr:twoCellAnchor>
  <xdr:twoCellAnchor editAs="oneCell">
    <xdr:from>
      <xdr:col>2</xdr:col>
      <xdr:colOff>38160</xdr:colOff>
      <xdr:row>79</xdr:row>
      <xdr:rowOff>146520</xdr:rowOff>
    </xdr:from>
    <xdr:to>
      <xdr:col>2</xdr:col>
      <xdr:colOff>1208880</xdr:colOff>
      <xdr:row>79</xdr:row>
      <xdr:rowOff>1313280</xdr:rowOff>
    </xdr:to>
    <xdr:pic>
      <xdr:nvPicPr>
        <xdr:cNvPr id="1176" name="图片 42" descr="18"/>
        <xdr:cNvPicPr/>
      </xdr:nvPicPr>
      <xdr:blipFill>
        <a:blip r:embed="rId73"/>
        <a:stretch/>
      </xdr:blipFill>
      <xdr:spPr>
        <a:xfrm>
          <a:off x="5605920" y="63881640"/>
          <a:ext cx="1170720" cy="1166760"/>
        </a:xfrm>
        <a:prstGeom prst="rect">
          <a:avLst/>
        </a:prstGeom>
        <a:noFill/>
        <a:ln w="9525">
          <a:noFill/>
        </a:ln>
      </xdr:spPr>
    </xdr:pic>
    <xdr:clientData/>
  </xdr:twoCellAnchor>
  <xdr:twoCellAnchor editAs="oneCell">
    <xdr:from>
      <xdr:col>1</xdr:col>
      <xdr:colOff>38160</xdr:colOff>
      <xdr:row>79</xdr:row>
      <xdr:rowOff>143280</xdr:rowOff>
    </xdr:from>
    <xdr:to>
      <xdr:col>1</xdr:col>
      <xdr:colOff>1208880</xdr:colOff>
      <xdr:row>79</xdr:row>
      <xdr:rowOff>1316520</xdr:rowOff>
    </xdr:to>
    <xdr:pic>
      <xdr:nvPicPr>
        <xdr:cNvPr id="1177" name="图片 43" descr="6"/>
        <xdr:cNvPicPr/>
      </xdr:nvPicPr>
      <xdr:blipFill>
        <a:blip r:embed="rId74"/>
        <a:stretch/>
      </xdr:blipFill>
      <xdr:spPr>
        <a:xfrm>
          <a:off x="4039920" y="63878400"/>
          <a:ext cx="1170720" cy="1173240"/>
        </a:xfrm>
        <a:prstGeom prst="rect">
          <a:avLst/>
        </a:prstGeom>
        <a:noFill/>
        <a:ln w="9525">
          <a:noFill/>
        </a:ln>
      </xdr:spPr>
    </xdr:pic>
    <xdr:clientData/>
  </xdr:twoCellAnchor>
  <xdr:twoCellAnchor editAs="oneCell">
    <xdr:from>
      <xdr:col>1</xdr:col>
      <xdr:colOff>38160</xdr:colOff>
      <xdr:row>62</xdr:row>
      <xdr:rowOff>143280</xdr:rowOff>
    </xdr:from>
    <xdr:to>
      <xdr:col>1</xdr:col>
      <xdr:colOff>1208880</xdr:colOff>
      <xdr:row>62</xdr:row>
      <xdr:rowOff>1316520</xdr:rowOff>
    </xdr:to>
    <xdr:pic>
      <xdr:nvPicPr>
        <xdr:cNvPr id="1178" name="图片 11" descr="2"/>
        <xdr:cNvPicPr/>
      </xdr:nvPicPr>
      <xdr:blipFill>
        <a:blip r:embed="rId75"/>
        <a:stretch/>
      </xdr:blipFill>
      <xdr:spPr>
        <a:xfrm>
          <a:off x="4039920" y="50225760"/>
          <a:ext cx="1170720" cy="1173240"/>
        </a:xfrm>
        <a:prstGeom prst="rect">
          <a:avLst/>
        </a:prstGeom>
        <a:noFill/>
        <a:ln w="9525">
          <a:noFill/>
        </a:ln>
      </xdr:spPr>
    </xdr:pic>
    <xdr:clientData/>
  </xdr:twoCellAnchor>
  <xdr:twoCellAnchor editAs="oneCell">
    <xdr:from>
      <xdr:col>2</xdr:col>
      <xdr:colOff>38160</xdr:colOff>
      <xdr:row>62</xdr:row>
      <xdr:rowOff>146520</xdr:rowOff>
    </xdr:from>
    <xdr:to>
      <xdr:col>2</xdr:col>
      <xdr:colOff>1208880</xdr:colOff>
      <xdr:row>62</xdr:row>
      <xdr:rowOff>1313280</xdr:rowOff>
    </xdr:to>
    <xdr:pic>
      <xdr:nvPicPr>
        <xdr:cNvPr id="1179" name="图片 13" descr="9"/>
        <xdr:cNvPicPr/>
      </xdr:nvPicPr>
      <xdr:blipFill>
        <a:blip r:embed="rId76"/>
        <a:stretch/>
      </xdr:blipFill>
      <xdr:spPr>
        <a:xfrm>
          <a:off x="5605920" y="50229000"/>
          <a:ext cx="1170720" cy="1166760"/>
        </a:xfrm>
        <a:prstGeom prst="rect">
          <a:avLst/>
        </a:prstGeom>
        <a:noFill/>
        <a:ln w="9525">
          <a:noFill/>
        </a:ln>
      </xdr:spPr>
    </xdr:pic>
    <xdr:clientData/>
  </xdr:twoCellAnchor>
  <xdr:twoCellAnchor editAs="oneCell">
    <xdr:from>
      <xdr:col>1</xdr:col>
      <xdr:colOff>38160</xdr:colOff>
      <xdr:row>40</xdr:row>
      <xdr:rowOff>140400</xdr:rowOff>
    </xdr:from>
    <xdr:to>
      <xdr:col>1</xdr:col>
      <xdr:colOff>1208880</xdr:colOff>
      <xdr:row>40</xdr:row>
      <xdr:rowOff>1319400</xdr:rowOff>
    </xdr:to>
    <xdr:pic>
      <xdr:nvPicPr>
        <xdr:cNvPr id="1180" name="图片 18" descr="1"/>
        <xdr:cNvPicPr/>
      </xdr:nvPicPr>
      <xdr:blipFill>
        <a:blip r:embed="rId77"/>
        <a:stretch/>
      </xdr:blipFill>
      <xdr:spPr>
        <a:xfrm>
          <a:off x="4039920" y="33176160"/>
          <a:ext cx="1170720" cy="1179000"/>
        </a:xfrm>
        <a:prstGeom prst="rect">
          <a:avLst/>
        </a:prstGeom>
        <a:noFill/>
        <a:ln w="9525">
          <a:noFill/>
        </a:ln>
      </xdr:spPr>
    </xdr:pic>
    <xdr:clientData/>
  </xdr:twoCellAnchor>
  <xdr:twoCellAnchor editAs="oneCell">
    <xdr:from>
      <xdr:col>2</xdr:col>
      <xdr:colOff>38160</xdr:colOff>
      <xdr:row>40</xdr:row>
      <xdr:rowOff>143280</xdr:rowOff>
    </xdr:from>
    <xdr:to>
      <xdr:col>2</xdr:col>
      <xdr:colOff>1208880</xdr:colOff>
      <xdr:row>40</xdr:row>
      <xdr:rowOff>1316520</xdr:rowOff>
    </xdr:to>
    <xdr:pic>
      <xdr:nvPicPr>
        <xdr:cNvPr id="1181" name="图片 21" descr="2"/>
        <xdr:cNvPicPr/>
      </xdr:nvPicPr>
      <xdr:blipFill>
        <a:blip r:embed="rId78"/>
        <a:stretch/>
      </xdr:blipFill>
      <xdr:spPr>
        <a:xfrm>
          <a:off x="5605920" y="33179040"/>
          <a:ext cx="1170720" cy="1173240"/>
        </a:xfrm>
        <a:prstGeom prst="rect">
          <a:avLst/>
        </a:prstGeom>
        <a:noFill/>
        <a:ln w="9525">
          <a:noFill/>
        </a:ln>
      </xdr:spPr>
    </xdr:pic>
    <xdr:clientData/>
  </xdr:twoCellAnchor>
  <xdr:twoCellAnchor editAs="oneCell">
    <xdr:from>
      <xdr:col>2</xdr:col>
      <xdr:colOff>38160</xdr:colOff>
      <xdr:row>7</xdr:row>
      <xdr:rowOff>144000</xdr:rowOff>
    </xdr:from>
    <xdr:to>
      <xdr:col>2</xdr:col>
      <xdr:colOff>1208880</xdr:colOff>
      <xdr:row>7</xdr:row>
      <xdr:rowOff>1315440</xdr:rowOff>
    </xdr:to>
    <xdr:pic>
      <xdr:nvPicPr>
        <xdr:cNvPr id="1182" name="图片 31" descr="11"/>
        <xdr:cNvPicPr/>
      </xdr:nvPicPr>
      <xdr:blipFill>
        <a:blip r:embed="rId79"/>
        <a:stretch/>
      </xdr:blipFill>
      <xdr:spPr>
        <a:xfrm>
          <a:off x="5605920" y="4525560"/>
          <a:ext cx="1170720" cy="1171440"/>
        </a:xfrm>
        <a:prstGeom prst="rect">
          <a:avLst/>
        </a:prstGeom>
        <a:noFill/>
        <a:ln w="9525">
          <a:noFill/>
        </a:ln>
      </xdr:spPr>
    </xdr:pic>
    <xdr:clientData/>
  </xdr:twoCellAnchor>
  <xdr:twoCellAnchor editAs="oneCell">
    <xdr:from>
      <xdr:col>1</xdr:col>
      <xdr:colOff>38160</xdr:colOff>
      <xdr:row>7</xdr:row>
      <xdr:rowOff>146160</xdr:rowOff>
    </xdr:from>
    <xdr:to>
      <xdr:col>1</xdr:col>
      <xdr:colOff>1208880</xdr:colOff>
      <xdr:row>7</xdr:row>
      <xdr:rowOff>1313280</xdr:rowOff>
    </xdr:to>
    <xdr:pic>
      <xdr:nvPicPr>
        <xdr:cNvPr id="1183" name="图片 8" descr="C:/Users/Ray/AppData/Local/Temp/picturecompress_20210720164231/output_48.jpgoutput_48"/>
        <xdr:cNvPicPr/>
      </xdr:nvPicPr>
      <xdr:blipFill>
        <a:blip r:embed="rId80"/>
        <a:stretch/>
      </xdr:blipFill>
      <xdr:spPr>
        <a:xfrm>
          <a:off x="4039920" y="4527720"/>
          <a:ext cx="1170720" cy="1167120"/>
        </a:xfrm>
        <a:prstGeom prst="rect">
          <a:avLst/>
        </a:prstGeom>
        <a:noFill/>
        <a:ln w="9525">
          <a:noFill/>
        </a:ln>
      </xdr:spPr>
    </xdr:pic>
    <xdr:clientData/>
  </xdr:twoCellAnchor>
  <xdr:twoCellAnchor editAs="oneCell">
    <xdr:from>
      <xdr:col>1</xdr:col>
      <xdr:colOff>38160</xdr:colOff>
      <xdr:row>47</xdr:row>
      <xdr:rowOff>173880</xdr:rowOff>
    </xdr:from>
    <xdr:to>
      <xdr:col>1</xdr:col>
      <xdr:colOff>1208880</xdr:colOff>
      <xdr:row>48</xdr:row>
      <xdr:rowOff>587160</xdr:rowOff>
    </xdr:to>
    <xdr:pic>
      <xdr:nvPicPr>
        <xdr:cNvPr id="1184" name="图片 1" descr="3"/>
        <xdr:cNvPicPr/>
      </xdr:nvPicPr>
      <xdr:blipFill>
        <a:blip r:embed="rId81"/>
        <a:stretch/>
      </xdr:blipFill>
      <xdr:spPr>
        <a:xfrm>
          <a:off x="4039920" y="39242160"/>
          <a:ext cx="1170720" cy="1175400"/>
        </a:xfrm>
        <a:prstGeom prst="rect">
          <a:avLst/>
        </a:prstGeom>
        <a:noFill/>
        <a:ln w="0">
          <a:noFill/>
        </a:ln>
      </xdr:spPr>
    </xdr:pic>
    <xdr:clientData/>
  </xdr:twoCellAnchor>
  <xdr:twoCellAnchor editAs="oneCell">
    <xdr:from>
      <xdr:col>2</xdr:col>
      <xdr:colOff>38160</xdr:colOff>
      <xdr:row>47</xdr:row>
      <xdr:rowOff>174600</xdr:rowOff>
    </xdr:from>
    <xdr:to>
      <xdr:col>2</xdr:col>
      <xdr:colOff>1208880</xdr:colOff>
      <xdr:row>48</xdr:row>
      <xdr:rowOff>586080</xdr:rowOff>
    </xdr:to>
    <xdr:pic>
      <xdr:nvPicPr>
        <xdr:cNvPr id="1185" name="图片 2" descr="10"/>
        <xdr:cNvPicPr/>
      </xdr:nvPicPr>
      <xdr:blipFill>
        <a:blip r:embed="rId82"/>
        <a:stretch/>
      </xdr:blipFill>
      <xdr:spPr>
        <a:xfrm>
          <a:off x="5605920" y="39242880"/>
          <a:ext cx="1170720" cy="1173600"/>
        </a:xfrm>
        <a:prstGeom prst="rect">
          <a:avLst/>
        </a:prstGeom>
        <a:noFill/>
        <a:ln w="0">
          <a:noFill/>
        </a:ln>
      </xdr:spPr>
    </xdr:pic>
    <xdr:clientData/>
  </xdr:twoCellAnchor>
  <xdr:twoCellAnchor editAs="oneCell">
    <xdr:from>
      <xdr:col>1</xdr:col>
      <xdr:colOff>38160</xdr:colOff>
      <xdr:row>21</xdr:row>
      <xdr:rowOff>172080</xdr:rowOff>
    </xdr:from>
    <xdr:to>
      <xdr:col>1</xdr:col>
      <xdr:colOff>1208880</xdr:colOff>
      <xdr:row>22</xdr:row>
      <xdr:rowOff>589320</xdr:rowOff>
    </xdr:to>
    <xdr:pic>
      <xdr:nvPicPr>
        <xdr:cNvPr id="1186" name="图片 3" descr="BO39_04"/>
        <xdr:cNvPicPr/>
      </xdr:nvPicPr>
      <xdr:blipFill>
        <a:blip r:embed="rId83"/>
        <a:stretch/>
      </xdr:blipFill>
      <xdr:spPr>
        <a:xfrm>
          <a:off x="4039920" y="17466480"/>
          <a:ext cx="1170720" cy="1179000"/>
        </a:xfrm>
        <a:prstGeom prst="rect">
          <a:avLst/>
        </a:prstGeom>
        <a:noFill/>
        <a:ln w="0">
          <a:noFill/>
        </a:ln>
      </xdr:spPr>
    </xdr:pic>
    <xdr:clientData/>
  </xdr:twoCellAnchor>
  <xdr:twoCellAnchor editAs="oneCell">
    <xdr:from>
      <xdr:col>2</xdr:col>
      <xdr:colOff>38160</xdr:colOff>
      <xdr:row>21</xdr:row>
      <xdr:rowOff>174960</xdr:rowOff>
    </xdr:from>
    <xdr:to>
      <xdr:col>2</xdr:col>
      <xdr:colOff>1208880</xdr:colOff>
      <xdr:row>22</xdr:row>
      <xdr:rowOff>586440</xdr:rowOff>
    </xdr:to>
    <xdr:pic>
      <xdr:nvPicPr>
        <xdr:cNvPr id="1187" name="图片 4" descr="BO39_10"/>
        <xdr:cNvPicPr/>
      </xdr:nvPicPr>
      <xdr:blipFill>
        <a:blip r:embed="rId84"/>
        <a:stretch/>
      </xdr:blipFill>
      <xdr:spPr>
        <a:xfrm>
          <a:off x="5605920" y="17469360"/>
          <a:ext cx="1170720" cy="1173240"/>
        </a:xfrm>
        <a:prstGeom prst="rect">
          <a:avLst/>
        </a:prstGeom>
        <a:noFill/>
        <a:ln w="0">
          <a:noFill/>
        </a:ln>
      </xdr:spPr>
    </xdr:pic>
    <xdr:clientData/>
  </xdr:twoCellAnchor>
  <xdr:twoCellAnchor editAs="oneCell">
    <xdr:from>
      <xdr:col>1</xdr:col>
      <xdr:colOff>38160</xdr:colOff>
      <xdr:row>38</xdr:row>
      <xdr:rowOff>142200</xdr:rowOff>
    </xdr:from>
    <xdr:to>
      <xdr:col>1</xdr:col>
      <xdr:colOff>1208880</xdr:colOff>
      <xdr:row>38</xdr:row>
      <xdr:rowOff>1317600</xdr:rowOff>
    </xdr:to>
    <xdr:pic>
      <xdr:nvPicPr>
        <xdr:cNvPr id="1188" name="图片 10" descr="1"/>
        <xdr:cNvPicPr/>
      </xdr:nvPicPr>
      <xdr:blipFill>
        <a:blip r:embed="rId85"/>
        <a:stretch/>
      </xdr:blipFill>
      <xdr:spPr>
        <a:xfrm>
          <a:off x="4039920" y="30256920"/>
          <a:ext cx="1170720" cy="1175400"/>
        </a:xfrm>
        <a:prstGeom prst="rect">
          <a:avLst/>
        </a:prstGeom>
        <a:noFill/>
        <a:ln w="0">
          <a:noFill/>
        </a:ln>
      </xdr:spPr>
    </xdr:pic>
    <xdr:clientData/>
  </xdr:twoCellAnchor>
  <xdr:twoCellAnchor editAs="oneCell">
    <xdr:from>
      <xdr:col>2</xdr:col>
      <xdr:colOff>38160</xdr:colOff>
      <xdr:row>38</xdr:row>
      <xdr:rowOff>144360</xdr:rowOff>
    </xdr:from>
    <xdr:to>
      <xdr:col>2</xdr:col>
      <xdr:colOff>1208880</xdr:colOff>
      <xdr:row>38</xdr:row>
      <xdr:rowOff>1315080</xdr:rowOff>
    </xdr:to>
    <xdr:pic>
      <xdr:nvPicPr>
        <xdr:cNvPr id="1189" name="图片 11" descr="8"/>
        <xdr:cNvPicPr/>
      </xdr:nvPicPr>
      <xdr:blipFill>
        <a:blip r:embed="rId86"/>
        <a:stretch/>
      </xdr:blipFill>
      <xdr:spPr>
        <a:xfrm>
          <a:off x="5605920" y="30259080"/>
          <a:ext cx="1170720" cy="1170720"/>
        </a:xfrm>
        <a:prstGeom prst="rect">
          <a:avLst/>
        </a:prstGeom>
        <a:noFill/>
        <a:ln w="0">
          <a:noFill/>
        </a:ln>
      </xdr:spPr>
    </xdr:pic>
    <xdr:clientData/>
  </xdr:twoCellAnchor>
  <xdr:twoCellAnchor editAs="oneCell">
    <xdr:from>
      <xdr:col>1</xdr:col>
      <xdr:colOff>38160</xdr:colOff>
      <xdr:row>10</xdr:row>
      <xdr:rowOff>142920</xdr:rowOff>
    </xdr:from>
    <xdr:to>
      <xdr:col>1</xdr:col>
      <xdr:colOff>1208880</xdr:colOff>
      <xdr:row>10</xdr:row>
      <xdr:rowOff>1317240</xdr:rowOff>
    </xdr:to>
    <xdr:pic>
      <xdr:nvPicPr>
        <xdr:cNvPr id="1190" name="图片 5" descr="1"/>
        <xdr:cNvPicPr/>
      </xdr:nvPicPr>
      <xdr:blipFill>
        <a:blip r:embed="rId87"/>
        <a:stretch/>
      </xdr:blipFill>
      <xdr:spPr>
        <a:xfrm>
          <a:off x="4039920" y="6394320"/>
          <a:ext cx="1170720" cy="1174320"/>
        </a:xfrm>
        <a:prstGeom prst="rect">
          <a:avLst/>
        </a:prstGeom>
        <a:noFill/>
        <a:ln w="0">
          <a:noFill/>
        </a:ln>
      </xdr:spPr>
    </xdr:pic>
    <xdr:clientData/>
  </xdr:twoCellAnchor>
  <xdr:twoCellAnchor editAs="oneCell">
    <xdr:from>
      <xdr:col>2</xdr:col>
      <xdr:colOff>38160</xdr:colOff>
      <xdr:row>10</xdr:row>
      <xdr:rowOff>144000</xdr:rowOff>
    </xdr:from>
    <xdr:to>
      <xdr:col>2</xdr:col>
      <xdr:colOff>1208880</xdr:colOff>
      <xdr:row>10</xdr:row>
      <xdr:rowOff>1315440</xdr:rowOff>
    </xdr:to>
    <xdr:pic>
      <xdr:nvPicPr>
        <xdr:cNvPr id="1191" name="图片 6" descr="8"/>
        <xdr:cNvPicPr/>
      </xdr:nvPicPr>
      <xdr:blipFill>
        <a:blip r:embed="rId88"/>
        <a:stretch/>
      </xdr:blipFill>
      <xdr:spPr>
        <a:xfrm>
          <a:off x="5605920" y="6395400"/>
          <a:ext cx="1170720" cy="1171440"/>
        </a:xfrm>
        <a:prstGeom prst="rect">
          <a:avLst/>
        </a:prstGeom>
        <a:noFill/>
        <a:ln w="0">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38160</xdr:colOff>
      <xdr:row>37</xdr:row>
      <xdr:rowOff>698040</xdr:rowOff>
    </xdr:from>
    <xdr:to>
      <xdr:col>2</xdr:col>
      <xdr:colOff>1208880</xdr:colOff>
      <xdr:row>39</xdr:row>
      <xdr:rowOff>483840</xdr:rowOff>
    </xdr:to>
    <xdr:pic>
      <xdr:nvPicPr>
        <xdr:cNvPr id="1192" name="图片 25" descr="13"/>
        <xdr:cNvPicPr/>
      </xdr:nvPicPr>
      <xdr:blipFill>
        <a:blip r:embed="rId1"/>
        <a:stretch/>
      </xdr:blipFill>
      <xdr:spPr>
        <a:xfrm>
          <a:off x="5605920" y="41261760"/>
          <a:ext cx="1170720" cy="1182960"/>
        </a:xfrm>
        <a:prstGeom prst="rect">
          <a:avLst/>
        </a:prstGeom>
        <a:noFill/>
        <a:ln w="9525">
          <a:noFill/>
        </a:ln>
      </xdr:spPr>
    </xdr:pic>
    <xdr:clientData/>
  </xdr:twoCellAnchor>
  <xdr:twoCellAnchor editAs="oneCell">
    <xdr:from>
      <xdr:col>1</xdr:col>
      <xdr:colOff>38160</xdr:colOff>
      <xdr:row>37</xdr:row>
      <xdr:rowOff>698040</xdr:rowOff>
    </xdr:from>
    <xdr:to>
      <xdr:col>1</xdr:col>
      <xdr:colOff>1208880</xdr:colOff>
      <xdr:row>39</xdr:row>
      <xdr:rowOff>487800</xdr:rowOff>
    </xdr:to>
    <xdr:pic>
      <xdr:nvPicPr>
        <xdr:cNvPr id="1193" name="图片 27" descr="2"/>
        <xdr:cNvPicPr/>
      </xdr:nvPicPr>
      <xdr:blipFill>
        <a:blip r:embed="rId2"/>
        <a:stretch/>
      </xdr:blipFill>
      <xdr:spPr>
        <a:xfrm>
          <a:off x="4039920" y="41261760"/>
          <a:ext cx="1170720" cy="1186920"/>
        </a:xfrm>
        <a:prstGeom prst="rect">
          <a:avLst/>
        </a:prstGeom>
        <a:noFill/>
        <a:ln w="9525">
          <a:noFill/>
        </a:ln>
      </xdr:spPr>
    </xdr:pic>
    <xdr:clientData/>
  </xdr:twoCellAnchor>
  <xdr:twoCellAnchor editAs="oneCell">
    <xdr:from>
      <xdr:col>1</xdr:col>
      <xdr:colOff>38160</xdr:colOff>
      <xdr:row>9</xdr:row>
      <xdr:rowOff>144360</xdr:rowOff>
    </xdr:from>
    <xdr:to>
      <xdr:col>1</xdr:col>
      <xdr:colOff>1208880</xdr:colOff>
      <xdr:row>9</xdr:row>
      <xdr:rowOff>1315080</xdr:rowOff>
    </xdr:to>
    <xdr:pic>
      <xdr:nvPicPr>
        <xdr:cNvPr id="1194" name="图片 4" descr="3"/>
        <xdr:cNvPicPr/>
      </xdr:nvPicPr>
      <xdr:blipFill>
        <a:blip r:embed="rId3"/>
        <a:stretch/>
      </xdr:blipFill>
      <xdr:spPr>
        <a:xfrm>
          <a:off x="4039920" y="6507000"/>
          <a:ext cx="1170720" cy="1170720"/>
        </a:xfrm>
        <a:prstGeom prst="rect">
          <a:avLst/>
        </a:prstGeom>
        <a:noFill/>
        <a:ln w="9525">
          <a:noFill/>
        </a:ln>
      </xdr:spPr>
    </xdr:pic>
    <xdr:clientData/>
  </xdr:twoCellAnchor>
  <xdr:twoCellAnchor editAs="oneCell">
    <xdr:from>
      <xdr:col>1</xdr:col>
      <xdr:colOff>38160</xdr:colOff>
      <xdr:row>8</xdr:row>
      <xdr:rowOff>141840</xdr:rowOff>
    </xdr:from>
    <xdr:to>
      <xdr:col>1</xdr:col>
      <xdr:colOff>1208880</xdr:colOff>
      <xdr:row>8</xdr:row>
      <xdr:rowOff>1317960</xdr:rowOff>
    </xdr:to>
    <xdr:pic>
      <xdr:nvPicPr>
        <xdr:cNvPr id="1195" name="图片 7" descr="3"/>
        <xdr:cNvPicPr/>
      </xdr:nvPicPr>
      <xdr:blipFill>
        <a:blip r:embed="rId4"/>
        <a:stretch/>
      </xdr:blipFill>
      <xdr:spPr>
        <a:xfrm>
          <a:off x="4039920" y="5043960"/>
          <a:ext cx="1170720" cy="1176120"/>
        </a:xfrm>
        <a:prstGeom prst="rect">
          <a:avLst/>
        </a:prstGeom>
        <a:noFill/>
        <a:ln w="9525">
          <a:noFill/>
        </a:ln>
      </xdr:spPr>
    </xdr:pic>
    <xdr:clientData/>
  </xdr:twoCellAnchor>
  <xdr:twoCellAnchor editAs="oneCell">
    <xdr:from>
      <xdr:col>2</xdr:col>
      <xdr:colOff>38160</xdr:colOff>
      <xdr:row>9</xdr:row>
      <xdr:rowOff>144000</xdr:rowOff>
    </xdr:from>
    <xdr:to>
      <xdr:col>2</xdr:col>
      <xdr:colOff>1208880</xdr:colOff>
      <xdr:row>9</xdr:row>
      <xdr:rowOff>1316160</xdr:rowOff>
    </xdr:to>
    <xdr:pic>
      <xdr:nvPicPr>
        <xdr:cNvPr id="1196" name="图片 11" descr="10"/>
        <xdr:cNvPicPr/>
      </xdr:nvPicPr>
      <xdr:blipFill>
        <a:blip r:embed="rId5"/>
        <a:stretch/>
      </xdr:blipFill>
      <xdr:spPr>
        <a:xfrm>
          <a:off x="5605920" y="6506640"/>
          <a:ext cx="1170720" cy="1172160"/>
        </a:xfrm>
        <a:prstGeom prst="rect">
          <a:avLst/>
        </a:prstGeom>
        <a:noFill/>
        <a:ln w="9525">
          <a:noFill/>
        </a:ln>
      </xdr:spPr>
    </xdr:pic>
    <xdr:clientData/>
  </xdr:twoCellAnchor>
  <xdr:twoCellAnchor editAs="oneCell">
    <xdr:from>
      <xdr:col>1</xdr:col>
      <xdr:colOff>38160</xdr:colOff>
      <xdr:row>10</xdr:row>
      <xdr:rowOff>144000</xdr:rowOff>
    </xdr:from>
    <xdr:to>
      <xdr:col>1</xdr:col>
      <xdr:colOff>1208880</xdr:colOff>
      <xdr:row>10</xdr:row>
      <xdr:rowOff>1316160</xdr:rowOff>
    </xdr:to>
    <xdr:pic>
      <xdr:nvPicPr>
        <xdr:cNvPr id="1197" name="图片 13" descr="3"/>
        <xdr:cNvPicPr/>
      </xdr:nvPicPr>
      <xdr:blipFill>
        <a:blip r:embed="rId6"/>
        <a:stretch/>
      </xdr:blipFill>
      <xdr:spPr>
        <a:xfrm>
          <a:off x="4039920" y="7967160"/>
          <a:ext cx="1170720" cy="1172160"/>
        </a:xfrm>
        <a:prstGeom prst="rect">
          <a:avLst/>
        </a:prstGeom>
        <a:noFill/>
        <a:ln w="9525">
          <a:noFill/>
        </a:ln>
      </xdr:spPr>
    </xdr:pic>
    <xdr:clientData/>
  </xdr:twoCellAnchor>
  <xdr:twoCellAnchor editAs="oneCell">
    <xdr:from>
      <xdr:col>2</xdr:col>
      <xdr:colOff>38160</xdr:colOff>
      <xdr:row>10</xdr:row>
      <xdr:rowOff>143280</xdr:rowOff>
    </xdr:from>
    <xdr:to>
      <xdr:col>2</xdr:col>
      <xdr:colOff>1208880</xdr:colOff>
      <xdr:row>10</xdr:row>
      <xdr:rowOff>1316520</xdr:rowOff>
    </xdr:to>
    <xdr:pic>
      <xdr:nvPicPr>
        <xdr:cNvPr id="1198" name="图片 23" descr="10"/>
        <xdr:cNvPicPr/>
      </xdr:nvPicPr>
      <xdr:blipFill>
        <a:blip r:embed="rId7"/>
        <a:stretch/>
      </xdr:blipFill>
      <xdr:spPr>
        <a:xfrm>
          <a:off x="5605920" y="7966440"/>
          <a:ext cx="1170720" cy="1173240"/>
        </a:xfrm>
        <a:prstGeom prst="rect">
          <a:avLst/>
        </a:prstGeom>
        <a:noFill/>
        <a:ln w="9525">
          <a:noFill/>
        </a:ln>
      </xdr:spPr>
    </xdr:pic>
    <xdr:clientData/>
  </xdr:twoCellAnchor>
  <xdr:twoCellAnchor editAs="oneCell">
    <xdr:from>
      <xdr:col>2</xdr:col>
      <xdr:colOff>38160</xdr:colOff>
      <xdr:row>8</xdr:row>
      <xdr:rowOff>141120</xdr:rowOff>
    </xdr:from>
    <xdr:to>
      <xdr:col>2</xdr:col>
      <xdr:colOff>1208880</xdr:colOff>
      <xdr:row>8</xdr:row>
      <xdr:rowOff>1318680</xdr:rowOff>
    </xdr:to>
    <xdr:pic>
      <xdr:nvPicPr>
        <xdr:cNvPr id="1199" name="图片 28" descr="10"/>
        <xdr:cNvPicPr/>
      </xdr:nvPicPr>
      <xdr:blipFill>
        <a:blip r:embed="rId8"/>
        <a:stretch/>
      </xdr:blipFill>
      <xdr:spPr>
        <a:xfrm>
          <a:off x="5605920" y="5043240"/>
          <a:ext cx="1170720" cy="1177560"/>
        </a:xfrm>
        <a:prstGeom prst="rect">
          <a:avLst/>
        </a:prstGeom>
        <a:noFill/>
        <a:ln w="9525">
          <a:noFill/>
        </a:ln>
      </xdr:spPr>
    </xdr:pic>
    <xdr:clientData/>
  </xdr:twoCellAnchor>
  <xdr:twoCellAnchor editAs="oneCell">
    <xdr:from>
      <xdr:col>1</xdr:col>
      <xdr:colOff>38160</xdr:colOff>
      <xdr:row>16</xdr:row>
      <xdr:rowOff>143640</xdr:rowOff>
    </xdr:from>
    <xdr:to>
      <xdr:col>1</xdr:col>
      <xdr:colOff>1208880</xdr:colOff>
      <xdr:row>16</xdr:row>
      <xdr:rowOff>1316160</xdr:rowOff>
    </xdr:to>
    <xdr:pic>
      <xdr:nvPicPr>
        <xdr:cNvPr id="1200" name="图片 1" descr="1"/>
        <xdr:cNvPicPr/>
      </xdr:nvPicPr>
      <xdr:blipFill>
        <a:blip r:embed="rId9"/>
        <a:stretch/>
      </xdr:blipFill>
      <xdr:spPr>
        <a:xfrm>
          <a:off x="4039920" y="14227920"/>
          <a:ext cx="1170720" cy="1172520"/>
        </a:xfrm>
        <a:prstGeom prst="rect">
          <a:avLst/>
        </a:prstGeom>
        <a:noFill/>
        <a:ln w="9525">
          <a:noFill/>
        </a:ln>
      </xdr:spPr>
    </xdr:pic>
    <xdr:clientData/>
  </xdr:twoCellAnchor>
  <xdr:twoCellAnchor editAs="oneCell">
    <xdr:from>
      <xdr:col>2</xdr:col>
      <xdr:colOff>38160</xdr:colOff>
      <xdr:row>16</xdr:row>
      <xdr:rowOff>143640</xdr:rowOff>
    </xdr:from>
    <xdr:to>
      <xdr:col>2</xdr:col>
      <xdr:colOff>1208880</xdr:colOff>
      <xdr:row>16</xdr:row>
      <xdr:rowOff>1316160</xdr:rowOff>
    </xdr:to>
    <xdr:pic>
      <xdr:nvPicPr>
        <xdr:cNvPr id="1201" name="图片 9" descr="2"/>
        <xdr:cNvPicPr/>
      </xdr:nvPicPr>
      <xdr:blipFill>
        <a:blip r:embed="rId10"/>
        <a:stretch/>
      </xdr:blipFill>
      <xdr:spPr>
        <a:xfrm>
          <a:off x="5605920" y="14227920"/>
          <a:ext cx="1170720" cy="1172520"/>
        </a:xfrm>
        <a:prstGeom prst="rect">
          <a:avLst/>
        </a:prstGeom>
        <a:noFill/>
        <a:ln w="9525">
          <a:noFill/>
        </a:ln>
      </xdr:spPr>
    </xdr:pic>
    <xdr:clientData/>
  </xdr:twoCellAnchor>
  <xdr:twoCellAnchor editAs="oneCell">
    <xdr:from>
      <xdr:col>1</xdr:col>
      <xdr:colOff>38160</xdr:colOff>
      <xdr:row>15</xdr:row>
      <xdr:rowOff>138960</xdr:rowOff>
    </xdr:from>
    <xdr:to>
      <xdr:col>1</xdr:col>
      <xdr:colOff>1208880</xdr:colOff>
      <xdr:row>15</xdr:row>
      <xdr:rowOff>1320840</xdr:rowOff>
    </xdr:to>
    <xdr:pic>
      <xdr:nvPicPr>
        <xdr:cNvPr id="1202" name="图片 12" descr="1"/>
        <xdr:cNvPicPr/>
      </xdr:nvPicPr>
      <xdr:blipFill>
        <a:blip r:embed="rId11"/>
        <a:stretch/>
      </xdr:blipFill>
      <xdr:spPr>
        <a:xfrm>
          <a:off x="4039920" y="12762720"/>
          <a:ext cx="1170720" cy="1181880"/>
        </a:xfrm>
        <a:prstGeom prst="rect">
          <a:avLst/>
        </a:prstGeom>
        <a:noFill/>
        <a:ln w="9525">
          <a:noFill/>
        </a:ln>
      </xdr:spPr>
    </xdr:pic>
    <xdr:clientData/>
  </xdr:twoCellAnchor>
  <xdr:twoCellAnchor editAs="oneCell">
    <xdr:from>
      <xdr:col>2</xdr:col>
      <xdr:colOff>38160</xdr:colOff>
      <xdr:row>15</xdr:row>
      <xdr:rowOff>140760</xdr:rowOff>
    </xdr:from>
    <xdr:to>
      <xdr:col>2</xdr:col>
      <xdr:colOff>1208880</xdr:colOff>
      <xdr:row>15</xdr:row>
      <xdr:rowOff>1319040</xdr:rowOff>
    </xdr:to>
    <xdr:pic>
      <xdr:nvPicPr>
        <xdr:cNvPr id="1203" name="图片 17" descr="9"/>
        <xdr:cNvPicPr/>
      </xdr:nvPicPr>
      <xdr:blipFill>
        <a:blip r:embed="rId12"/>
        <a:stretch/>
      </xdr:blipFill>
      <xdr:spPr>
        <a:xfrm>
          <a:off x="5605920" y="12764520"/>
          <a:ext cx="1170720" cy="1178280"/>
        </a:xfrm>
        <a:prstGeom prst="rect">
          <a:avLst/>
        </a:prstGeom>
        <a:noFill/>
        <a:ln w="9525">
          <a:noFill/>
        </a:ln>
      </xdr:spPr>
    </xdr:pic>
    <xdr:clientData/>
  </xdr:twoCellAnchor>
  <xdr:twoCellAnchor editAs="oneCell">
    <xdr:from>
      <xdr:col>1</xdr:col>
      <xdr:colOff>38160</xdr:colOff>
      <xdr:row>17</xdr:row>
      <xdr:rowOff>168480</xdr:rowOff>
    </xdr:from>
    <xdr:to>
      <xdr:col>1</xdr:col>
      <xdr:colOff>1208880</xdr:colOff>
      <xdr:row>18</xdr:row>
      <xdr:rowOff>592920</xdr:rowOff>
    </xdr:to>
    <xdr:pic>
      <xdr:nvPicPr>
        <xdr:cNvPr id="1204" name="图片 18" descr="3"/>
        <xdr:cNvPicPr/>
      </xdr:nvPicPr>
      <xdr:blipFill>
        <a:blip r:embed="rId13"/>
        <a:stretch/>
      </xdr:blipFill>
      <xdr:spPr>
        <a:xfrm>
          <a:off x="4039920" y="15713280"/>
          <a:ext cx="1170720" cy="1186560"/>
        </a:xfrm>
        <a:prstGeom prst="rect">
          <a:avLst/>
        </a:prstGeom>
        <a:noFill/>
        <a:ln w="9525">
          <a:noFill/>
        </a:ln>
      </xdr:spPr>
    </xdr:pic>
    <xdr:clientData/>
  </xdr:twoCellAnchor>
  <xdr:twoCellAnchor editAs="oneCell">
    <xdr:from>
      <xdr:col>2</xdr:col>
      <xdr:colOff>38160</xdr:colOff>
      <xdr:row>17</xdr:row>
      <xdr:rowOff>169560</xdr:rowOff>
    </xdr:from>
    <xdr:to>
      <xdr:col>2</xdr:col>
      <xdr:colOff>1208880</xdr:colOff>
      <xdr:row>18</xdr:row>
      <xdr:rowOff>591480</xdr:rowOff>
    </xdr:to>
    <xdr:pic>
      <xdr:nvPicPr>
        <xdr:cNvPr id="1205" name="图片 21" descr="11"/>
        <xdr:cNvPicPr/>
      </xdr:nvPicPr>
      <xdr:blipFill>
        <a:blip r:embed="rId14"/>
        <a:stretch/>
      </xdr:blipFill>
      <xdr:spPr>
        <a:xfrm>
          <a:off x="5605920" y="15714360"/>
          <a:ext cx="1170720" cy="1184040"/>
        </a:xfrm>
        <a:prstGeom prst="rect">
          <a:avLst/>
        </a:prstGeom>
        <a:noFill/>
        <a:ln w="9525">
          <a:noFill/>
        </a:ln>
      </xdr:spPr>
    </xdr:pic>
    <xdr:clientData/>
  </xdr:twoCellAnchor>
  <xdr:twoCellAnchor editAs="oneCell">
    <xdr:from>
      <xdr:col>1</xdr:col>
      <xdr:colOff>38160</xdr:colOff>
      <xdr:row>19</xdr:row>
      <xdr:rowOff>172080</xdr:rowOff>
    </xdr:from>
    <xdr:to>
      <xdr:col>1</xdr:col>
      <xdr:colOff>1208880</xdr:colOff>
      <xdr:row>20</xdr:row>
      <xdr:rowOff>588960</xdr:rowOff>
    </xdr:to>
    <xdr:pic>
      <xdr:nvPicPr>
        <xdr:cNvPr id="1206" name="图片 30" descr="3"/>
        <xdr:cNvPicPr/>
      </xdr:nvPicPr>
      <xdr:blipFill>
        <a:blip r:embed="rId15"/>
        <a:stretch/>
      </xdr:blipFill>
      <xdr:spPr>
        <a:xfrm>
          <a:off x="4039920" y="17240760"/>
          <a:ext cx="1170720" cy="1179000"/>
        </a:xfrm>
        <a:prstGeom prst="rect">
          <a:avLst/>
        </a:prstGeom>
        <a:noFill/>
        <a:ln w="9525">
          <a:noFill/>
        </a:ln>
      </xdr:spPr>
    </xdr:pic>
    <xdr:clientData/>
  </xdr:twoCellAnchor>
  <xdr:twoCellAnchor editAs="oneCell">
    <xdr:from>
      <xdr:col>2</xdr:col>
      <xdr:colOff>38160</xdr:colOff>
      <xdr:row>19</xdr:row>
      <xdr:rowOff>174960</xdr:rowOff>
    </xdr:from>
    <xdr:to>
      <xdr:col>2</xdr:col>
      <xdr:colOff>1208880</xdr:colOff>
      <xdr:row>20</xdr:row>
      <xdr:rowOff>586080</xdr:rowOff>
    </xdr:to>
    <xdr:pic>
      <xdr:nvPicPr>
        <xdr:cNvPr id="1207" name="图片 33" descr="11"/>
        <xdr:cNvPicPr/>
      </xdr:nvPicPr>
      <xdr:blipFill>
        <a:blip r:embed="rId16"/>
        <a:stretch/>
      </xdr:blipFill>
      <xdr:spPr>
        <a:xfrm>
          <a:off x="5605920" y="17243640"/>
          <a:ext cx="1170720" cy="1173240"/>
        </a:xfrm>
        <a:prstGeom prst="rect">
          <a:avLst/>
        </a:prstGeom>
        <a:noFill/>
        <a:ln w="9525">
          <a:noFill/>
        </a:ln>
      </xdr:spPr>
    </xdr:pic>
    <xdr:clientData/>
  </xdr:twoCellAnchor>
  <xdr:twoCellAnchor editAs="oneCell">
    <xdr:from>
      <xdr:col>1</xdr:col>
      <xdr:colOff>38160</xdr:colOff>
      <xdr:row>24</xdr:row>
      <xdr:rowOff>142560</xdr:rowOff>
    </xdr:from>
    <xdr:to>
      <xdr:col>1</xdr:col>
      <xdr:colOff>1208880</xdr:colOff>
      <xdr:row>24</xdr:row>
      <xdr:rowOff>1317600</xdr:rowOff>
    </xdr:to>
    <xdr:pic>
      <xdr:nvPicPr>
        <xdr:cNvPr id="1208" name="图片 34" descr="1"/>
        <xdr:cNvPicPr/>
      </xdr:nvPicPr>
      <xdr:blipFill>
        <a:blip r:embed="rId17"/>
        <a:stretch/>
      </xdr:blipFill>
      <xdr:spPr>
        <a:xfrm>
          <a:off x="4039920" y="23117040"/>
          <a:ext cx="1170720" cy="1175040"/>
        </a:xfrm>
        <a:prstGeom prst="rect">
          <a:avLst/>
        </a:prstGeom>
        <a:noFill/>
        <a:ln w="9525">
          <a:noFill/>
        </a:ln>
      </xdr:spPr>
    </xdr:pic>
    <xdr:clientData/>
  </xdr:twoCellAnchor>
  <xdr:twoCellAnchor editAs="oneCell">
    <xdr:from>
      <xdr:col>1</xdr:col>
      <xdr:colOff>38160</xdr:colOff>
      <xdr:row>23</xdr:row>
      <xdr:rowOff>142560</xdr:rowOff>
    </xdr:from>
    <xdr:to>
      <xdr:col>1</xdr:col>
      <xdr:colOff>1208880</xdr:colOff>
      <xdr:row>23</xdr:row>
      <xdr:rowOff>1317600</xdr:rowOff>
    </xdr:to>
    <xdr:pic>
      <xdr:nvPicPr>
        <xdr:cNvPr id="1209" name="图片 35" descr="2(1)"/>
        <xdr:cNvPicPr/>
      </xdr:nvPicPr>
      <xdr:blipFill>
        <a:blip r:embed="rId18"/>
        <a:stretch/>
      </xdr:blipFill>
      <xdr:spPr>
        <a:xfrm>
          <a:off x="4039920" y="21656520"/>
          <a:ext cx="1170720" cy="1175040"/>
        </a:xfrm>
        <a:prstGeom prst="rect">
          <a:avLst/>
        </a:prstGeom>
        <a:noFill/>
        <a:ln w="9525">
          <a:noFill/>
        </a:ln>
      </xdr:spPr>
    </xdr:pic>
    <xdr:clientData/>
  </xdr:twoCellAnchor>
  <xdr:twoCellAnchor editAs="oneCell">
    <xdr:from>
      <xdr:col>1</xdr:col>
      <xdr:colOff>38160</xdr:colOff>
      <xdr:row>25</xdr:row>
      <xdr:rowOff>142200</xdr:rowOff>
    </xdr:from>
    <xdr:to>
      <xdr:col>1</xdr:col>
      <xdr:colOff>1208880</xdr:colOff>
      <xdr:row>25</xdr:row>
      <xdr:rowOff>1317600</xdr:rowOff>
    </xdr:to>
    <xdr:pic>
      <xdr:nvPicPr>
        <xdr:cNvPr id="1210" name="图片 36" descr="2(2)"/>
        <xdr:cNvPicPr/>
      </xdr:nvPicPr>
      <xdr:blipFill>
        <a:blip r:embed="rId19"/>
        <a:stretch/>
      </xdr:blipFill>
      <xdr:spPr>
        <a:xfrm>
          <a:off x="4039920" y="24576840"/>
          <a:ext cx="1170720" cy="1175400"/>
        </a:xfrm>
        <a:prstGeom prst="rect">
          <a:avLst/>
        </a:prstGeom>
        <a:noFill/>
        <a:ln w="9525">
          <a:noFill/>
        </a:ln>
      </xdr:spPr>
    </xdr:pic>
    <xdr:clientData/>
  </xdr:twoCellAnchor>
  <xdr:twoCellAnchor editAs="oneCell">
    <xdr:from>
      <xdr:col>1</xdr:col>
      <xdr:colOff>38160</xdr:colOff>
      <xdr:row>22</xdr:row>
      <xdr:rowOff>142200</xdr:rowOff>
    </xdr:from>
    <xdr:to>
      <xdr:col>1</xdr:col>
      <xdr:colOff>1208880</xdr:colOff>
      <xdr:row>22</xdr:row>
      <xdr:rowOff>1317600</xdr:rowOff>
    </xdr:to>
    <xdr:pic>
      <xdr:nvPicPr>
        <xdr:cNvPr id="1211" name="图片 37" descr="3(2)"/>
        <xdr:cNvPicPr/>
      </xdr:nvPicPr>
      <xdr:blipFill>
        <a:blip r:embed="rId20"/>
        <a:stretch/>
      </xdr:blipFill>
      <xdr:spPr>
        <a:xfrm>
          <a:off x="4039920" y="20195640"/>
          <a:ext cx="1170720" cy="1175400"/>
        </a:xfrm>
        <a:prstGeom prst="rect">
          <a:avLst/>
        </a:prstGeom>
        <a:noFill/>
        <a:ln w="9525">
          <a:noFill/>
        </a:ln>
      </xdr:spPr>
    </xdr:pic>
    <xdr:clientData/>
  </xdr:twoCellAnchor>
  <xdr:twoCellAnchor editAs="oneCell">
    <xdr:from>
      <xdr:col>2</xdr:col>
      <xdr:colOff>38160</xdr:colOff>
      <xdr:row>22</xdr:row>
      <xdr:rowOff>144000</xdr:rowOff>
    </xdr:from>
    <xdr:to>
      <xdr:col>2</xdr:col>
      <xdr:colOff>1208880</xdr:colOff>
      <xdr:row>22</xdr:row>
      <xdr:rowOff>1315440</xdr:rowOff>
    </xdr:to>
    <xdr:pic>
      <xdr:nvPicPr>
        <xdr:cNvPr id="1212" name="图片 38" descr="10"/>
        <xdr:cNvPicPr/>
      </xdr:nvPicPr>
      <xdr:blipFill>
        <a:blip r:embed="rId21"/>
        <a:stretch/>
      </xdr:blipFill>
      <xdr:spPr>
        <a:xfrm>
          <a:off x="5605920" y="20197440"/>
          <a:ext cx="1170720" cy="1171440"/>
        </a:xfrm>
        <a:prstGeom prst="rect">
          <a:avLst/>
        </a:prstGeom>
        <a:noFill/>
        <a:ln w="9525">
          <a:noFill/>
        </a:ln>
      </xdr:spPr>
    </xdr:pic>
    <xdr:clientData/>
  </xdr:twoCellAnchor>
  <xdr:twoCellAnchor editAs="oneCell">
    <xdr:from>
      <xdr:col>2</xdr:col>
      <xdr:colOff>38160</xdr:colOff>
      <xdr:row>23</xdr:row>
      <xdr:rowOff>144000</xdr:rowOff>
    </xdr:from>
    <xdr:to>
      <xdr:col>2</xdr:col>
      <xdr:colOff>1208880</xdr:colOff>
      <xdr:row>23</xdr:row>
      <xdr:rowOff>1316160</xdr:rowOff>
    </xdr:to>
    <xdr:pic>
      <xdr:nvPicPr>
        <xdr:cNvPr id="1213" name="图片 39" descr="11(3)"/>
        <xdr:cNvPicPr/>
      </xdr:nvPicPr>
      <xdr:blipFill>
        <a:blip r:embed="rId22"/>
        <a:stretch/>
      </xdr:blipFill>
      <xdr:spPr>
        <a:xfrm>
          <a:off x="5605920" y="21657960"/>
          <a:ext cx="1170720" cy="1172160"/>
        </a:xfrm>
        <a:prstGeom prst="rect">
          <a:avLst/>
        </a:prstGeom>
        <a:noFill/>
        <a:ln w="9525">
          <a:noFill/>
        </a:ln>
      </xdr:spPr>
    </xdr:pic>
    <xdr:clientData/>
  </xdr:twoCellAnchor>
  <xdr:twoCellAnchor editAs="oneCell">
    <xdr:from>
      <xdr:col>2</xdr:col>
      <xdr:colOff>38160</xdr:colOff>
      <xdr:row>26</xdr:row>
      <xdr:rowOff>140760</xdr:rowOff>
    </xdr:from>
    <xdr:to>
      <xdr:col>2</xdr:col>
      <xdr:colOff>1208880</xdr:colOff>
      <xdr:row>26</xdr:row>
      <xdr:rowOff>1319040</xdr:rowOff>
    </xdr:to>
    <xdr:pic>
      <xdr:nvPicPr>
        <xdr:cNvPr id="1214" name="图片 40" descr="11(4)"/>
        <xdr:cNvPicPr/>
      </xdr:nvPicPr>
      <xdr:blipFill>
        <a:blip r:embed="rId23"/>
        <a:stretch/>
      </xdr:blipFill>
      <xdr:spPr>
        <a:xfrm>
          <a:off x="5605920" y="26035920"/>
          <a:ext cx="1170720" cy="1178280"/>
        </a:xfrm>
        <a:prstGeom prst="rect">
          <a:avLst/>
        </a:prstGeom>
        <a:noFill/>
        <a:ln w="9525">
          <a:noFill/>
        </a:ln>
      </xdr:spPr>
    </xdr:pic>
    <xdr:clientData/>
  </xdr:twoCellAnchor>
  <xdr:twoCellAnchor editAs="oneCell">
    <xdr:from>
      <xdr:col>2</xdr:col>
      <xdr:colOff>38160</xdr:colOff>
      <xdr:row>25</xdr:row>
      <xdr:rowOff>143640</xdr:rowOff>
    </xdr:from>
    <xdr:to>
      <xdr:col>2</xdr:col>
      <xdr:colOff>1208880</xdr:colOff>
      <xdr:row>25</xdr:row>
      <xdr:rowOff>1316160</xdr:rowOff>
    </xdr:to>
    <xdr:pic>
      <xdr:nvPicPr>
        <xdr:cNvPr id="1215" name="图片 41" descr="11(5)"/>
        <xdr:cNvPicPr/>
      </xdr:nvPicPr>
      <xdr:blipFill>
        <a:blip r:embed="rId24"/>
        <a:stretch/>
      </xdr:blipFill>
      <xdr:spPr>
        <a:xfrm>
          <a:off x="5605920" y="24578280"/>
          <a:ext cx="1170720" cy="1172520"/>
        </a:xfrm>
        <a:prstGeom prst="rect">
          <a:avLst/>
        </a:prstGeom>
        <a:noFill/>
        <a:ln w="9525">
          <a:noFill/>
        </a:ln>
      </xdr:spPr>
    </xdr:pic>
    <xdr:clientData/>
  </xdr:twoCellAnchor>
  <xdr:twoCellAnchor editAs="oneCell">
    <xdr:from>
      <xdr:col>2</xdr:col>
      <xdr:colOff>38160</xdr:colOff>
      <xdr:row>24</xdr:row>
      <xdr:rowOff>144000</xdr:rowOff>
    </xdr:from>
    <xdr:to>
      <xdr:col>2</xdr:col>
      <xdr:colOff>1208880</xdr:colOff>
      <xdr:row>24</xdr:row>
      <xdr:rowOff>1316160</xdr:rowOff>
    </xdr:to>
    <xdr:pic>
      <xdr:nvPicPr>
        <xdr:cNvPr id="1216" name="图片 42" descr="11(6)"/>
        <xdr:cNvPicPr/>
      </xdr:nvPicPr>
      <xdr:blipFill>
        <a:blip r:embed="rId25"/>
        <a:stretch/>
      </xdr:blipFill>
      <xdr:spPr>
        <a:xfrm>
          <a:off x="5605920" y="23118480"/>
          <a:ext cx="1170720" cy="1172160"/>
        </a:xfrm>
        <a:prstGeom prst="rect">
          <a:avLst/>
        </a:prstGeom>
        <a:noFill/>
        <a:ln w="9525">
          <a:noFill/>
        </a:ln>
      </xdr:spPr>
    </xdr:pic>
    <xdr:clientData/>
  </xdr:twoCellAnchor>
  <xdr:twoCellAnchor editAs="oneCell">
    <xdr:from>
      <xdr:col>2</xdr:col>
      <xdr:colOff>38160</xdr:colOff>
      <xdr:row>27</xdr:row>
      <xdr:rowOff>140760</xdr:rowOff>
    </xdr:from>
    <xdr:to>
      <xdr:col>2</xdr:col>
      <xdr:colOff>1208880</xdr:colOff>
      <xdr:row>27</xdr:row>
      <xdr:rowOff>1319040</xdr:rowOff>
    </xdr:to>
    <xdr:pic>
      <xdr:nvPicPr>
        <xdr:cNvPr id="1217" name="图片 43" descr="13"/>
        <xdr:cNvPicPr/>
      </xdr:nvPicPr>
      <xdr:blipFill>
        <a:blip r:embed="rId26"/>
        <a:stretch/>
      </xdr:blipFill>
      <xdr:spPr>
        <a:xfrm>
          <a:off x="5605920" y="27496440"/>
          <a:ext cx="1170720" cy="1178280"/>
        </a:xfrm>
        <a:prstGeom prst="rect">
          <a:avLst/>
        </a:prstGeom>
        <a:noFill/>
        <a:ln w="9525">
          <a:noFill/>
        </a:ln>
      </xdr:spPr>
    </xdr:pic>
    <xdr:clientData/>
  </xdr:twoCellAnchor>
  <xdr:twoCellAnchor editAs="oneCell">
    <xdr:from>
      <xdr:col>1</xdr:col>
      <xdr:colOff>38160</xdr:colOff>
      <xdr:row>26</xdr:row>
      <xdr:rowOff>141480</xdr:rowOff>
    </xdr:from>
    <xdr:to>
      <xdr:col>1</xdr:col>
      <xdr:colOff>1208880</xdr:colOff>
      <xdr:row>26</xdr:row>
      <xdr:rowOff>1317960</xdr:rowOff>
    </xdr:to>
    <xdr:pic>
      <xdr:nvPicPr>
        <xdr:cNvPr id="1218" name="图片 44" descr="1(1)"/>
        <xdr:cNvPicPr/>
      </xdr:nvPicPr>
      <xdr:blipFill>
        <a:blip r:embed="rId27"/>
        <a:stretch/>
      </xdr:blipFill>
      <xdr:spPr>
        <a:xfrm>
          <a:off x="4039920" y="26036640"/>
          <a:ext cx="1170720" cy="1176480"/>
        </a:xfrm>
        <a:prstGeom prst="rect">
          <a:avLst/>
        </a:prstGeom>
        <a:noFill/>
        <a:ln w="9525">
          <a:noFill/>
        </a:ln>
      </xdr:spPr>
    </xdr:pic>
    <xdr:clientData/>
  </xdr:twoCellAnchor>
  <xdr:twoCellAnchor editAs="oneCell">
    <xdr:from>
      <xdr:col>1</xdr:col>
      <xdr:colOff>38160</xdr:colOff>
      <xdr:row>27</xdr:row>
      <xdr:rowOff>141480</xdr:rowOff>
    </xdr:from>
    <xdr:to>
      <xdr:col>1</xdr:col>
      <xdr:colOff>1208880</xdr:colOff>
      <xdr:row>27</xdr:row>
      <xdr:rowOff>1317960</xdr:rowOff>
    </xdr:to>
    <xdr:pic>
      <xdr:nvPicPr>
        <xdr:cNvPr id="1219" name="图片 45" descr="1(2)"/>
        <xdr:cNvPicPr/>
      </xdr:nvPicPr>
      <xdr:blipFill>
        <a:blip r:embed="rId28"/>
        <a:stretch/>
      </xdr:blipFill>
      <xdr:spPr>
        <a:xfrm>
          <a:off x="4039920" y="27497160"/>
          <a:ext cx="1170720" cy="1176480"/>
        </a:xfrm>
        <a:prstGeom prst="rect">
          <a:avLst/>
        </a:prstGeom>
        <a:noFill/>
        <a:ln w="9525">
          <a:noFill/>
        </a:ln>
      </xdr:spPr>
    </xdr:pic>
    <xdr:clientData/>
  </xdr:twoCellAnchor>
  <xdr:twoCellAnchor editAs="oneCell">
    <xdr:from>
      <xdr:col>1</xdr:col>
      <xdr:colOff>38160</xdr:colOff>
      <xdr:row>21</xdr:row>
      <xdr:rowOff>138960</xdr:rowOff>
    </xdr:from>
    <xdr:to>
      <xdr:col>1</xdr:col>
      <xdr:colOff>1208880</xdr:colOff>
      <xdr:row>21</xdr:row>
      <xdr:rowOff>1320840</xdr:rowOff>
    </xdr:to>
    <xdr:pic>
      <xdr:nvPicPr>
        <xdr:cNvPr id="1220" name="图片 46" descr="1"/>
        <xdr:cNvPicPr/>
      </xdr:nvPicPr>
      <xdr:blipFill>
        <a:blip r:embed="rId29"/>
        <a:stretch/>
      </xdr:blipFill>
      <xdr:spPr>
        <a:xfrm>
          <a:off x="4039920" y="18731880"/>
          <a:ext cx="1170720" cy="1181880"/>
        </a:xfrm>
        <a:prstGeom prst="rect">
          <a:avLst/>
        </a:prstGeom>
        <a:noFill/>
        <a:ln w="9525">
          <a:noFill/>
        </a:ln>
      </xdr:spPr>
    </xdr:pic>
    <xdr:clientData/>
  </xdr:twoCellAnchor>
  <xdr:twoCellAnchor editAs="oneCell">
    <xdr:from>
      <xdr:col>2</xdr:col>
      <xdr:colOff>38160</xdr:colOff>
      <xdr:row>21</xdr:row>
      <xdr:rowOff>140760</xdr:rowOff>
    </xdr:from>
    <xdr:to>
      <xdr:col>2</xdr:col>
      <xdr:colOff>1208880</xdr:colOff>
      <xdr:row>21</xdr:row>
      <xdr:rowOff>1319040</xdr:rowOff>
    </xdr:to>
    <xdr:pic>
      <xdr:nvPicPr>
        <xdr:cNvPr id="1221" name="图片 47" descr="9"/>
        <xdr:cNvPicPr/>
      </xdr:nvPicPr>
      <xdr:blipFill>
        <a:blip r:embed="rId30"/>
        <a:stretch/>
      </xdr:blipFill>
      <xdr:spPr>
        <a:xfrm>
          <a:off x="5605920" y="18733680"/>
          <a:ext cx="1170720" cy="1178280"/>
        </a:xfrm>
        <a:prstGeom prst="rect">
          <a:avLst/>
        </a:prstGeom>
        <a:noFill/>
        <a:ln w="9525">
          <a:noFill/>
        </a:ln>
      </xdr:spPr>
    </xdr:pic>
    <xdr:clientData/>
  </xdr:twoCellAnchor>
  <xdr:twoCellAnchor editAs="oneCell">
    <xdr:from>
      <xdr:col>1</xdr:col>
      <xdr:colOff>38160</xdr:colOff>
      <xdr:row>28</xdr:row>
      <xdr:rowOff>170640</xdr:rowOff>
    </xdr:from>
    <xdr:to>
      <xdr:col>1</xdr:col>
      <xdr:colOff>1208880</xdr:colOff>
      <xdr:row>29</xdr:row>
      <xdr:rowOff>590400</xdr:rowOff>
    </xdr:to>
    <xdr:pic>
      <xdr:nvPicPr>
        <xdr:cNvPr id="1222" name="图片 48" descr="3"/>
        <xdr:cNvPicPr/>
      </xdr:nvPicPr>
      <xdr:blipFill>
        <a:blip r:embed="rId31"/>
        <a:stretch/>
      </xdr:blipFill>
      <xdr:spPr>
        <a:xfrm>
          <a:off x="4039920" y="28986840"/>
          <a:ext cx="1170720" cy="1181880"/>
        </a:xfrm>
        <a:prstGeom prst="rect">
          <a:avLst/>
        </a:prstGeom>
        <a:noFill/>
        <a:ln w="9525">
          <a:noFill/>
        </a:ln>
      </xdr:spPr>
    </xdr:pic>
    <xdr:clientData/>
  </xdr:twoCellAnchor>
  <xdr:twoCellAnchor editAs="oneCell">
    <xdr:from>
      <xdr:col>2</xdr:col>
      <xdr:colOff>38160</xdr:colOff>
      <xdr:row>28</xdr:row>
      <xdr:rowOff>168480</xdr:rowOff>
    </xdr:from>
    <xdr:to>
      <xdr:col>2</xdr:col>
      <xdr:colOff>1208880</xdr:colOff>
      <xdr:row>29</xdr:row>
      <xdr:rowOff>592560</xdr:rowOff>
    </xdr:to>
    <xdr:pic>
      <xdr:nvPicPr>
        <xdr:cNvPr id="1223" name="图片 49" descr="9"/>
        <xdr:cNvPicPr/>
      </xdr:nvPicPr>
      <xdr:blipFill>
        <a:blip r:embed="rId32"/>
        <a:stretch/>
      </xdr:blipFill>
      <xdr:spPr>
        <a:xfrm>
          <a:off x="5605920" y="28984680"/>
          <a:ext cx="1170720" cy="1186200"/>
        </a:xfrm>
        <a:prstGeom prst="rect">
          <a:avLst/>
        </a:prstGeom>
        <a:noFill/>
        <a:ln w="9525">
          <a:noFill/>
        </a:ln>
      </xdr:spPr>
    </xdr:pic>
    <xdr:clientData/>
  </xdr:twoCellAnchor>
  <xdr:twoCellAnchor editAs="oneCell">
    <xdr:from>
      <xdr:col>1</xdr:col>
      <xdr:colOff>38160</xdr:colOff>
      <xdr:row>36</xdr:row>
      <xdr:rowOff>136080</xdr:rowOff>
    </xdr:from>
    <xdr:to>
      <xdr:col>1</xdr:col>
      <xdr:colOff>1208880</xdr:colOff>
      <xdr:row>36</xdr:row>
      <xdr:rowOff>1323720</xdr:rowOff>
    </xdr:to>
    <xdr:pic>
      <xdr:nvPicPr>
        <xdr:cNvPr id="1224" name="图片 52" descr="1"/>
        <xdr:cNvPicPr/>
      </xdr:nvPicPr>
      <xdr:blipFill>
        <a:blip r:embed="rId33"/>
        <a:stretch/>
      </xdr:blipFill>
      <xdr:spPr>
        <a:xfrm>
          <a:off x="4039920" y="39239280"/>
          <a:ext cx="1170720" cy="1187640"/>
        </a:xfrm>
        <a:prstGeom prst="rect">
          <a:avLst/>
        </a:prstGeom>
        <a:noFill/>
        <a:ln w="9525">
          <a:noFill/>
        </a:ln>
      </xdr:spPr>
    </xdr:pic>
    <xdr:clientData/>
  </xdr:twoCellAnchor>
  <xdr:twoCellAnchor editAs="oneCell">
    <xdr:from>
      <xdr:col>2</xdr:col>
      <xdr:colOff>38160</xdr:colOff>
      <xdr:row>36</xdr:row>
      <xdr:rowOff>135720</xdr:rowOff>
    </xdr:from>
    <xdr:to>
      <xdr:col>2</xdr:col>
      <xdr:colOff>1208880</xdr:colOff>
      <xdr:row>36</xdr:row>
      <xdr:rowOff>1323720</xdr:rowOff>
    </xdr:to>
    <xdr:pic>
      <xdr:nvPicPr>
        <xdr:cNvPr id="1225" name="图片 53" descr="2"/>
        <xdr:cNvPicPr/>
      </xdr:nvPicPr>
      <xdr:blipFill>
        <a:blip r:embed="rId34"/>
        <a:stretch/>
      </xdr:blipFill>
      <xdr:spPr>
        <a:xfrm>
          <a:off x="5605920" y="39238920"/>
          <a:ext cx="1170720" cy="1188000"/>
        </a:xfrm>
        <a:prstGeom prst="rect">
          <a:avLst/>
        </a:prstGeom>
        <a:noFill/>
        <a:ln w="9525">
          <a:noFill/>
        </a:ln>
      </xdr:spPr>
    </xdr:pic>
    <xdr:clientData/>
  </xdr:twoCellAnchor>
  <xdr:twoCellAnchor editAs="oneCell">
    <xdr:from>
      <xdr:col>1</xdr:col>
      <xdr:colOff>38160</xdr:colOff>
      <xdr:row>31</xdr:row>
      <xdr:rowOff>142200</xdr:rowOff>
    </xdr:from>
    <xdr:to>
      <xdr:col>1</xdr:col>
      <xdr:colOff>1208880</xdr:colOff>
      <xdr:row>31</xdr:row>
      <xdr:rowOff>1317600</xdr:rowOff>
    </xdr:to>
    <xdr:pic>
      <xdr:nvPicPr>
        <xdr:cNvPr id="1226" name="图片 54" descr="1"/>
        <xdr:cNvPicPr/>
      </xdr:nvPicPr>
      <xdr:blipFill>
        <a:blip r:embed="rId35"/>
        <a:stretch/>
      </xdr:blipFill>
      <xdr:spPr>
        <a:xfrm>
          <a:off x="4039920" y="31943160"/>
          <a:ext cx="1170720" cy="1175400"/>
        </a:xfrm>
        <a:prstGeom prst="rect">
          <a:avLst/>
        </a:prstGeom>
        <a:noFill/>
        <a:ln w="9525">
          <a:noFill/>
        </a:ln>
      </xdr:spPr>
    </xdr:pic>
    <xdr:clientData/>
  </xdr:twoCellAnchor>
  <xdr:twoCellAnchor editAs="oneCell">
    <xdr:from>
      <xdr:col>2</xdr:col>
      <xdr:colOff>38160</xdr:colOff>
      <xdr:row>31</xdr:row>
      <xdr:rowOff>140760</xdr:rowOff>
    </xdr:from>
    <xdr:to>
      <xdr:col>2</xdr:col>
      <xdr:colOff>1208880</xdr:colOff>
      <xdr:row>31</xdr:row>
      <xdr:rowOff>1319040</xdr:rowOff>
    </xdr:to>
    <xdr:pic>
      <xdr:nvPicPr>
        <xdr:cNvPr id="1227" name="图片 55" descr="2"/>
        <xdr:cNvPicPr/>
      </xdr:nvPicPr>
      <xdr:blipFill>
        <a:blip r:embed="rId36"/>
        <a:stretch/>
      </xdr:blipFill>
      <xdr:spPr>
        <a:xfrm>
          <a:off x="5605920" y="31941720"/>
          <a:ext cx="1170720" cy="1178280"/>
        </a:xfrm>
        <a:prstGeom prst="rect">
          <a:avLst/>
        </a:prstGeom>
        <a:noFill/>
        <a:ln w="9525">
          <a:noFill/>
        </a:ln>
      </xdr:spPr>
    </xdr:pic>
    <xdr:clientData/>
  </xdr:twoCellAnchor>
  <xdr:twoCellAnchor editAs="oneCell">
    <xdr:from>
      <xdr:col>1</xdr:col>
      <xdr:colOff>38160</xdr:colOff>
      <xdr:row>32</xdr:row>
      <xdr:rowOff>145080</xdr:rowOff>
    </xdr:from>
    <xdr:to>
      <xdr:col>1</xdr:col>
      <xdr:colOff>1208880</xdr:colOff>
      <xdr:row>32</xdr:row>
      <xdr:rowOff>1314720</xdr:rowOff>
    </xdr:to>
    <xdr:pic>
      <xdr:nvPicPr>
        <xdr:cNvPr id="1228" name="图片 56" descr="3"/>
        <xdr:cNvPicPr/>
      </xdr:nvPicPr>
      <xdr:blipFill>
        <a:blip r:embed="rId37"/>
        <a:stretch/>
      </xdr:blipFill>
      <xdr:spPr>
        <a:xfrm>
          <a:off x="4039920" y="33406560"/>
          <a:ext cx="1170720" cy="1169640"/>
        </a:xfrm>
        <a:prstGeom prst="rect">
          <a:avLst/>
        </a:prstGeom>
        <a:noFill/>
        <a:ln w="9525">
          <a:noFill/>
        </a:ln>
      </xdr:spPr>
    </xdr:pic>
    <xdr:clientData/>
  </xdr:twoCellAnchor>
  <xdr:twoCellAnchor editAs="oneCell">
    <xdr:from>
      <xdr:col>2</xdr:col>
      <xdr:colOff>38160</xdr:colOff>
      <xdr:row>32</xdr:row>
      <xdr:rowOff>143640</xdr:rowOff>
    </xdr:from>
    <xdr:to>
      <xdr:col>2</xdr:col>
      <xdr:colOff>1208880</xdr:colOff>
      <xdr:row>32</xdr:row>
      <xdr:rowOff>1316160</xdr:rowOff>
    </xdr:to>
    <xdr:pic>
      <xdr:nvPicPr>
        <xdr:cNvPr id="1229" name="图片 57" descr="4"/>
        <xdr:cNvPicPr/>
      </xdr:nvPicPr>
      <xdr:blipFill>
        <a:blip r:embed="rId38"/>
        <a:stretch/>
      </xdr:blipFill>
      <xdr:spPr>
        <a:xfrm>
          <a:off x="5605920" y="33405120"/>
          <a:ext cx="1170720" cy="1172520"/>
        </a:xfrm>
        <a:prstGeom prst="rect">
          <a:avLst/>
        </a:prstGeom>
        <a:noFill/>
        <a:ln w="9525">
          <a:noFill/>
        </a:ln>
      </xdr:spPr>
    </xdr:pic>
    <xdr:clientData/>
  </xdr:twoCellAnchor>
  <xdr:twoCellAnchor editAs="oneCell">
    <xdr:from>
      <xdr:col>1</xdr:col>
      <xdr:colOff>38160</xdr:colOff>
      <xdr:row>33</xdr:row>
      <xdr:rowOff>145080</xdr:rowOff>
    </xdr:from>
    <xdr:to>
      <xdr:col>1</xdr:col>
      <xdr:colOff>1208880</xdr:colOff>
      <xdr:row>33</xdr:row>
      <xdr:rowOff>1314720</xdr:rowOff>
    </xdr:to>
    <xdr:pic>
      <xdr:nvPicPr>
        <xdr:cNvPr id="1230" name="图片 58" descr="1"/>
        <xdr:cNvPicPr/>
      </xdr:nvPicPr>
      <xdr:blipFill>
        <a:blip r:embed="rId39"/>
        <a:stretch/>
      </xdr:blipFill>
      <xdr:spPr>
        <a:xfrm>
          <a:off x="4039920" y="34866720"/>
          <a:ext cx="1170720" cy="1169640"/>
        </a:xfrm>
        <a:prstGeom prst="rect">
          <a:avLst/>
        </a:prstGeom>
        <a:noFill/>
        <a:ln w="9525">
          <a:noFill/>
        </a:ln>
      </xdr:spPr>
    </xdr:pic>
    <xdr:clientData/>
  </xdr:twoCellAnchor>
  <xdr:twoCellAnchor editAs="oneCell">
    <xdr:from>
      <xdr:col>2</xdr:col>
      <xdr:colOff>38160</xdr:colOff>
      <xdr:row>33</xdr:row>
      <xdr:rowOff>143640</xdr:rowOff>
    </xdr:from>
    <xdr:to>
      <xdr:col>2</xdr:col>
      <xdr:colOff>1208880</xdr:colOff>
      <xdr:row>33</xdr:row>
      <xdr:rowOff>1316160</xdr:rowOff>
    </xdr:to>
    <xdr:pic>
      <xdr:nvPicPr>
        <xdr:cNvPr id="1231" name="图片 59" descr="2"/>
        <xdr:cNvPicPr/>
      </xdr:nvPicPr>
      <xdr:blipFill>
        <a:blip r:embed="rId40"/>
        <a:stretch/>
      </xdr:blipFill>
      <xdr:spPr>
        <a:xfrm>
          <a:off x="5605920" y="34865280"/>
          <a:ext cx="1170720" cy="1172520"/>
        </a:xfrm>
        <a:prstGeom prst="rect">
          <a:avLst/>
        </a:prstGeom>
        <a:noFill/>
        <a:ln w="9525">
          <a:noFill/>
        </a:ln>
      </xdr:spPr>
    </xdr:pic>
    <xdr:clientData/>
  </xdr:twoCellAnchor>
  <xdr:twoCellAnchor editAs="oneCell">
    <xdr:from>
      <xdr:col>1</xdr:col>
      <xdr:colOff>38160</xdr:colOff>
      <xdr:row>34</xdr:row>
      <xdr:rowOff>145080</xdr:rowOff>
    </xdr:from>
    <xdr:to>
      <xdr:col>1</xdr:col>
      <xdr:colOff>1208880</xdr:colOff>
      <xdr:row>34</xdr:row>
      <xdr:rowOff>1314720</xdr:rowOff>
    </xdr:to>
    <xdr:pic>
      <xdr:nvPicPr>
        <xdr:cNvPr id="1232" name="图片 66" descr="3"/>
        <xdr:cNvPicPr/>
      </xdr:nvPicPr>
      <xdr:blipFill>
        <a:blip r:embed="rId41"/>
        <a:stretch/>
      </xdr:blipFill>
      <xdr:spPr>
        <a:xfrm>
          <a:off x="4039920" y="36327240"/>
          <a:ext cx="1170720" cy="1169640"/>
        </a:xfrm>
        <a:prstGeom prst="rect">
          <a:avLst/>
        </a:prstGeom>
        <a:noFill/>
        <a:ln w="9525">
          <a:noFill/>
        </a:ln>
      </xdr:spPr>
    </xdr:pic>
    <xdr:clientData/>
  </xdr:twoCellAnchor>
  <xdr:twoCellAnchor editAs="oneCell">
    <xdr:from>
      <xdr:col>2</xdr:col>
      <xdr:colOff>38160</xdr:colOff>
      <xdr:row>34</xdr:row>
      <xdr:rowOff>143640</xdr:rowOff>
    </xdr:from>
    <xdr:to>
      <xdr:col>2</xdr:col>
      <xdr:colOff>1208880</xdr:colOff>
      <xdr:row>34</xdr:row>
      <xdr:rowOff>1316160</xdr:rowOff>
    </xdr:to>
    <xdr:pic>
      <xdr:nvPicPr>
        <xdr:cNvPr id="1233" name="图片 72" descr="4"/>
        <xdr:cNvPicPr/>
      </xdr:nvPicPr>
      <xdr:blipFill>
        <a:blip r:embed="rId42"/>
        <a:stretch/>
      </xdr:blipFill>
      <xdr:spPr>
        <a:xfrm>
          <a:off x="5605920" y="36325800"/>
          <a:ext cx="1170720" cy="1172520"/>
        </a:xfrm>
        <a:prstGeom prst="rect">
          <a:avLst/>
        </a:prstGeom>
        <a:noFill/>
        <a:ln w="9525">
          <a:noFill/>
        </a:ln>
      </xdr:spPr>
    </xdr:pic>
    <xdr:clientData/>
  </xdr:twoCellAnchor>
  <xdr:twoCellAnchor editAs="oneCell">
    <xdr:from>
      <xdr:col>1</xdr:col>
      <xdr:colOff>38160</xdr:colOff>
      <xdr:row>35</xdr:row>
      <xdr:rowOff>145080</xdr:rowOff>
    </xdr:from>
    <xdr:to>
      <xdr:col>1</xdr:col>
      <xdr:colOff>1208880</xdr:colOff>
      <xdr:row>35</xdr:row>
      <xdr:rowOff>1314720</xdr:rowOff>
    </xdr:to>
    <xdr:pic>
      <xdr:nvPicPr>
        <xdr:cNvPr id="1234" name="图片 74" descr="5"/>
        <xdr:cNvPicPr/>
      </xdr:nvPicPr>
      <xdr:blipFill>
        <a:blip r:embed="rId43"/>
        <a:stretch/>
      </xdr:blipFill>
      <xdr:spPr>
        <a:xfrm>
          <a:off x="4039920" y="37787760"/>
          <a:ext cx="1170720" cy="1169640"/>
        </a:xfrm>
        <a:prstGeom prst="rect">
          <a:avLst/>
        </a:prstGeom>
        <a:noFill/>
        <a:ln w="9525">
          <a:noFill/>
        </a:ln>
      </xdr:spPr>
    </xdr:pic>
    <xdr:clientData/>
  </xdr:twoCellAnchor>
  <xdr:twoCellAnchor editAs="oneCell">
    <xdr:from>
      <xdr:col>2</xdr:col>
      <xdr:colOff>38160</xdr:colOff>
      <xdr:row>35</xdr:row>
      <xdr:rowOff>143640</xdr:rowOff>
    </xdr:from>
    <xdr:to>
      <xdr:col>2</xdr:col>
      <xdr:colOff>1208880</xdr:colOff>
      <xdr:row>35</xdr:row>
      <xdr:rowOff>1316160</xdr:rowOff>
    </xdr:to>
    <xdr:pic>
      <xdr:nvPicPr>
        <xdr:cNvPr id="1235" name="图片 75" descr="6"/>
        <xdr:cNvPicPr/>
      </xdr:nvPicPr>
      <xdr:blipFill>
        <a:blip r:embed="rId44"/>
        <a:stretch/>
      </xdr:blipFill>
      <xdr:spPr>
        <a:xfrm>
          <a:off x="5605920" y="37786320"/>
          <a:ext cx="1170720" cy="1172520"/>
        </a:xfrm>
        <a:prstGeom prst="rect">
          <a:avLst/>
        </a:prstGeom>
        <a:noFill/>
        <a:ln w="9525">
          <a:noFill/>
        </a:ln>
      </xdr:spPr>
    </xdr:pic>
    <xdr:clientData/>
  </xdr:twoCellAnchor>
  <xdr:twoCellAnchor editAs="oneCell">
    <xdr:from>
      <xdr:col>2</xdr:col>
      <xdr:colOff>38160</xdr:colOff>
      <xdr:row>30</xdr:row>
      <xdr:rowOff>143640</xdr:rowOff>
    </xdr:from>
    <xdr:to>
      <xdr:col>2</xdr:col>
      <xdr:colOff>1208880</xdr:colOff>
      <xdr:row>30</xdr:row>
      <xdr:rowOff>1316160</xdr:rowOff>
    </xdr:to>
    <xdr:pic>
      <xdr:nvPicPr>
        <xdr:cNvPr id="1236" name="图片 76" descr="9"/>
        <xdr:cNvPicPr/>
      </xdr:nvPicPr>
      <xdr:blipFill>
        <a:blip r:embed="rId45"/>
        <a:stretch/>
      </xdr:blipFill>
      <xdr:spPr>
        <a:xfrm>
          <a:off x="5605920" y="30484080"/>
          <a:ext cx="1170720" cy="1172520"/>
        </a:xfrm>
        <a:prstGeom prst="rect">
          <a:avLst/>
        </a:prstGeom>
        <a:noFill/>
        <a:ln w="9525">
          <a:noFill/>
        </a:ln>
      </xdr:spPr>
    </xdr:pic>
    <xdr:clientData/>
  </xdr:twoCellAnchor>
  <xdr:twoCellAnchor editAs="oneCell">
    <xdr:from>
      <xdr:col>1</xdr:col>
      <xdr:colOff>38160</xdr:colOff>
      <xdr:row>30</xdr:row>
      <xdr:rowOff>144360</xdr:rowOff>
    </xdr:from>
    <xdr:to>
      <xdr:col>1</xdr:col>
      <xdr:colOff>1208880</xdr:colOff>
      <xdr:row>30</xdr:row>
      <xdr:rowOff>1315080</xdr:rowOff>
    </xdr:to>
    <xdr:pic>
      <xdr:nvPicPr>
        <xdr:cNvPr id="1237" name="图片 77" descr="2"/>
        <xdr:cNvPicPr/>
      </xdr:nvPicPr>
      <xdr:blipFill>
        <a:blip r:embed="rId46"/>
        <a:stretch/>
      </xdr:blipFill>
      <xdr:spPr>
        <a:xfrm>
          <a:off x="4039920" y="30484800"/>
          <a:ext cx="1170720" cy="1170720"/>
        </a:xfrm>
        <a:prstGeom prst="rect">
          <a:avLst/>
        </a:prstGeom>
        <a:noFill/>
        <a:ln w="9525">
          <a:noFill/>
        </a:ln>
      </xdr:spPr>
    </xdr:pic>
    <xdr:clientData/>
  </xdr:twoCellAnchor>
  <xdr:twoCellAnchor editAs="oneCell">
    <xdr:from>
      <xdr:col>0</xdr:col>
      <xdr:colOff>190440</xdr:colOff>
      <xdr:row>4</xdr:row>
      <xdr:rowOff>894240</xdr:rowOff>
    </xdr:from>
    <xdr:to>
      <xdr:col>0</xdr:col>
      <xdr:colOff>1270440</xdr:colOff>
      <xdr:row>5</xdr:row>
      <xdr:rowOff>982800</xdr:rowOff>
    </xdr:to>
    <xdr:pic>
      <xdr:nvPicPr>
        <xdr:cNvPr id="1238" name="图片 3"/>
        <xdr:cNvPicPr/>
      </xdr:nvPicPr>
      <xdr:blipFill>
        <a:blip r:embed="rId47"/>
        <a:stretch/>
      </xdr:blipFill>
      <xdr:spPr>
        <a:xfrm>
          <a:off x="190440" y="2291400"/>
          <a:ext cx="1080000" cy="1078920"/>
        </a:xfrm>
        <a:prstGeom prst="rect">
          <a:avLst/>
        </a:prstGeom>
        <a:noFill/>
        <a:ln w="9525">
          <a:noFill/>
        </a:ln>
      </xdr:spPr>
    </xdr:pic>
    <xdr:clientData/>
  </xdr:twoCellAnchor>
  <xdr:twoCellAnchor editAs="oneCell">
    <xdr:from>
      <xdr:col>1</xdr:col>
      <xdr:colOff>38160</xdr:colOff>
      <xdr:row>4</xdr:row>
      <xdr:rowOff>401040</xdr:rowOff>
    </xdr:from>
    <xdr:to>
      <xdr:col>1</xdr:col>
      <xdr:colOff>1208880</xdr:colOff>
      <xdr:row>5</xdr:row>
      <xdr:rowOff>588960</xdr:rowOff>
    </xdr:to>
    <xdr:pic>
      <xdr:nvPicPr>
        <xdr:cNvPr id="1239" name="图片 5" descr="3"/>
        <xdr:cNvPicPr/>
      </xdr:nvPicPr>
      <xdr:blipFill>
        <a:blip r:embed="rId48"/>
        <a:stretch/>
      </xdr:blipFill>
      <xdr:spPr>
        <a:xfrm>
          <a:off x="4039920" y="1798200"/>
          <a:ext cx="1170720" cy="1178280"/>
        </a:xfrm>
        <a:prstGeom prst="rect">
          <a:avLst/>
        </a:prstGeom>
        <a:noFill/>
        <a:ln w="9525">
          <a:noFill/>
        </a:ln>
      </xdr:spPr>
    </xdr:pic>
    <xdr:clientData/>
  </xdr:twoCellAnchor>
  <xdr:twoCellAnchor editAs="oneCell">
    <xdr:from>
      <xdr:col>2</xdr:col>
      <xdr:colOff>38160</xdr:colOff>
      <xdr:row>4</xdr:row>
      <xdr:rowOff>403560</xdr:rowOff>
    </xdr:from>
    <xdr:to>
      <xdr:col>2</xdr:col>
      <xdr:colOff>1208880</xdr:colOff>
      <xdr:row>5</xdr:row>
      <xdr:rowOff>586440</xdr:rowOff>
    </xdr:to>
    <xdr:pic>
      <xdr:nvPicPr>
        <xdr:cNvPr id="1240" name="图片 6" descr="9"/>
        <xdr:cNvPicPr/>
      </xdr:nvPicPr>
      <xdr:blipFill>
        <a:blip r:embed="rId49"/>
        <a:stretch/>
      </xdr:blipFill>
      <xdr:spPr>
        <a:xfrm>
          <a:off x="5605920" y="1800720"/>
          <a:ext cx="1170720" cy="1173240"/>
        </a:xfrm>
        <a:prstGeom prst="rect">
          <a:avLst/>
        </a:prstGeom>
        <a:noFill/>
        <a:ln w="9525">
          <a:noFill/>
        </a:ln>
      </xdr:spPr>
    </xdr:pic>
    <xdr:clientData/>
  </xdr:twoCellAnchor>
  <xdr:twoCellAnchor editAs="oneCell">
    <xdr:from>
      <xdr:col>1</xdr:col>
      <xdr:colOff>38160</xdr:colOff>
      <xdr:row>14</xdr:row>
      <xdr:rowOff>141840</xdr:rowOff>
    </xdr:from>
    <xdr:to>
      <xdr:col>1</xdr:col>
      <xdr:colOff>1208880</xdr:colOff>
      <xdr:row>14</xdr:row>
      <xdr:rowOff>1317960</xdr:rowOff>
    </xdr:to>
    <xdr:pic>
      <xdr:nvPicPr>
        <xdr:cNvPr id="1241" name="图片 1" descr="1"/>
        <xdr:cNvPicPr/>
      </xdr:nvPicPr>
      <xdr:blipFill>
        <a:blip r:embed="rId50"/>
        <a:stretch/>
      </xdr:blipFill>
      <xdr:spPr>
        <a:xfrm>
          <a:off x="4039920" y="11305080"/>
          <a:ext cx="1170720" cy="1176120"/>
        </a:xfrm>
        <a:prstGeom prst="rect">
          <a:avLst/>
        </a:prstGeom>
        <a:noFill/>
        <a:ln w="0">
          <a:noFill/>
        </a:ln>
      </xdr:spPr>
    </xdr:pic>
    <xdr:clientData/>
  </xdr:twoCellAnchor>
  <xdr:twoCellAnchor editAs="oneCell">
    <xdr:from>
      <xdr:col>2</xdr:col>
      <xdr:colOff>38160</xdr:colOff>
      <xdr:row>14</xdr:row>
      <xdr:rowOff>144360</xdr:rowOff>
    </xdr:from>
    <xdr:to>
      <xdr:col>2</xdr:col>
      <xdr:colOff>1208880</xdr:colOff>
      <xdr:row>14</xdr:row>
      <xdr:rowOff>1315080</xdr:rowOff>
    </xdr:to>
    <xdr:pic>
      <xdr:nvPicPr>
        <xdr:cNvPr id="1242" name="图片 2" descr="8"/>
        <xdr:cNvPicPr/>
      </xdr:nvPicPr>
      <xdr:blipFill>
        <a:blip r:embed="rId51"/>
        <a:stretch/>
      </xdr:blipFill>
      <xdr:spPr>
        <a:xfrm>
          <a:off x="5605920" y="11307600"/>
          <a:ext cx="1170720" cy="1170720"/>
        </a:xfrm>
        <a:prstGeom prst="rect">
          <a:avLst/>
        </a:prstGeom>
        <a:noFill/>
        <a:ln w="0">
          <a:noFill/>
        </a:ln>
      </xdr:spPr>
    </xdr:pic>
    <xdr:clientData/>
  </xdr:twoCellAnchor>
  <xdr:twoCellAnchor editAs="oneCell">
    <xdr:from>
      <xdr:col>1</xdr:col>
      <xdr:colOff>38160</xdr:colOff>
      <xdr:row>6</xdr:row>
      <xdr:rowOff>173520</xdr:rowOff>
    </xdr:from>
    <xdr:to>
      <xdr:col>1</xdr:col>
      <xdr:colOff>1208880</xdr:colOff>
      <xdr:row>7</xdr:row>
      <xdr:rowOff>587520</xdr:rowOff>
    </xdr:to>
    <xdr:pic>
      <xdr:nvPicPr>
        <xdr:cNvPr id="1243" name="图片 4" descr="3"/>
        <xdr:cNvPicPr/>
      </xdr:nvPicPr>
      <xdr:blipFill>
        <a:blip r:embed="rId52"/>
        <a:stretch/>
      </xdr:blipFill>
      <xdr:spPr>
        <a:xfrm>
          <a:off x="4039920" y="3551760"/>
          <a:ext cx="1170720" cy="1176120"/>
        </a:xfrm>
        <a:prstGeom prst="rect">
          <a:avLst/>
        </a:prstGeom>
        <a:noFill/>
        <a:ln w="0">
          <a:noFill/>
        </a:ln>
      </xdr:spPr>
    </xdr:pic>
    <xdr:clientData/>
  </xdr:twoCellAnchor>
  <xdr:twoCellAnchor editAs="oneCell">
    <xdr:from>
      <xdr:col>2</xdr:col>
      <xdr:colOff>38160</xdr:colOff>
      <xdr:row>6</xdr:row>
      <xdr:rowOff>174960</xdr:rowOff>
    </xdr:from>
    <xdr:to>
      <xdr:col>2</xdr:col>
      <xdr:colOff>1208880</xdr:colOff>
      <xdr:row>7</xdr:row>
      <xdr:rowOff>586080</xdr:rowOff>
    </xdr:to>
    <xdr:pic>
      <xdr:nvPicPr>
        <xdr:cNvPr id="1244" name="图片 5" descr="9"/>
        <xdr:cNvPicPr/>
      </xdr:nvPicPr>
      <xdr:blipFill>
        <a:blip r:embed="rId53"/>
        <a:stretch/>
      </xdr:blipFill>
      <xdr:spPr>
        <a:xfrm>
          <a:off x="5605920" y="3553200"/>
          <a:ext cx="1170720" cy="1173240"/>
        </a:xfrm>
        <a:prstGeom prst="rect">
          <a:avLst/>
        </a:prstGeom>
        <a:noFill/>
        <a:ln w="0">
          <a:noFill/>
        </a:ln>
      </xdr:spPr>
    </xdr:pic>
    <xdr:clientData/>
  </xdr:twoCellAnchor>
  <xdr:twoCellAnchor editAs="oneCell">
    <xdr:from>
      <xdr:col>1</xdr:col>
      <xdr:colOff>38160</xdr:colOff>
      <xdr:row>13</xdr:row>
      <xdr:rowOff>141840</xdr:rowOff>
    </xdr:from>
    <xdr:to>
      <xdr:col>1</xdr:col>
      <xdr:colOff>1208880</xdr:colOff>
      <xdr:row>13</xdr:row>
      <xdr:rowOff>1317960</xdr:rowOff>
    </xdr:to>
    <xdr:pic>
      <xdr:nvPicPr>
        <xdr:cNvPr id="1245" name="图片 3" descr="1"/>
        <xdr:cNvPicPr/>
      </xdr:nvPicPr>
      <xdr:blipFill>
        <a:blip r:embed="rId54"/>
        <a:stretch/>
      </xdr:blipFill>
      <xdr:spPr>
        <a:xfrm>
          <a:off x="4039920" y="9844560"/>
          <a:ext cx="1170720" cy="1176120"/>
        </a:xfrm>
        <a:prstGeom prst="rect">
          <a:avLst/>
        </a:prstGeom>
        <a:noFill/>
        <a:ln w="0">
          <a:noFill/>
        </a:ln>
      </xdr:spPr>
    </xdr:pic>
    <xdr:clientData/>
  </xdr:twoCellAnchor>
  <xdr:twoCellAnchor editAs="oneCell">
    <xdr:from>
      <xdr:col>2</xdr:col>
      <xdr:colOff>38160</xdr:colOff>
      <xdr:row>13</xdr:row>
      <xdr:rowOff>144360</xdr:rowOff>
    </xdr:from>
    <xdr:to>
      <xdr:col>2</xdr:col>
      <xdr:colOff>1208880</xdr:colOff>
      <xdr:row>13</xdr:row>
      <xdr:rowOff>1315080</xdr:rowOff>
    </xdr:to>
    <xdr:pic>
      <xdr:nvPicPr>
        <xdr:cNvPr id="1246" name="图片 6" descr="8"/>
        <xdr:cNvPicPr/>
      </xdr:nvPicPr>
      <xdr:blipFill>
        <a:blip r:embed="rId55"/>
        <a:stretch/>
      </xdr:blipFill>
      <xdr:spPr>
        <a:xfrm>
          <a:off x="5605920" y="9847080"/>
          <a:ext cx="1170720" cy="1170720"/>
        </a:xfrm>
        <a:prstGeom prst="rect">
          <a:avLst/>
        </a:prstGeom>
        <a:noFill/>
        <a:ln w="0">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38160</xdr:colOff>
      <xdr:row>14</xdr:row>
      <xdr:rowOff>172440</xdr:rowOff>
    </xdr:from>
    <xdr:to>
      <xdr:col>1</xdr:col>
      <xdr:colOff>1208880</xdr:colOff>
      <xdr:row>15</xdr:row>
      <xdr:rowOff>588600</xdr:rowOff>
    </xdr:to>
    <xdr:pic>
      <xdr:nvPicPr>
        <xdr:cNvPr id="1247" name="图片 5" descr="3"/>
        <xdr:cNvPicPr/>
      </xdr:nvPicPr>
      <xdr:blipFill>
        <a:blip r:embed="rId1"/>
        <a:stretch/>
      </xdr:blipFill>
      <xdr:spPr>
        <a:xfrm>
          <a:off x="4039920" y="9189360"/>
          <a:ext cx="1170720" cy="1178280"/>
        </a:xfrm>
        <a:prstGeom prst="rect">
          <a:avLst/>
        </a:prstGeom>
        <a:noFill/>
        <a:ln w="9525">
          <a:noFill/>
        </a:ln>
      </xdr:spPr>
    </xdr:pic>
    <xdr:clientData/>
  </xdr:twoCellAnchor>
  <xdr:twoCellAnchor editAs="oneCell">
    <xdr:from>
      <xdr:col>2</xdr:col>
      <xdr:colOff>38160</xdr:colOff>
      <xdr:row>14</xdr:row>
      <xdr:rowOff>174960</xdr:rowOff>
    </xdr:from>
    <xdr:to>
      <xdr:col>2</xdr:col>
      <xdr:colOff>1208880</xdr:colOff>
      <xdr:row>15</xdr:row>
      <xdr:rowOff>586080</xdr:rowOff>
    </xdr:to>
    <xdr:pic>
      <xdr:nvPicPr>
        <xdr:cNvPr id="1248" name="图片 8" descr="11"/>
        <xdr:cNvPicPr/>
      </xdr:nvPicPr>
      <xdr:blipFill>
        <a:blip r:embed="rId2"/>
        <a:stretch/>
      </xdr:blipFill>
      <xdr:spPr>
        <a:xfrm>
          <a:off x="5605920" y="9191880"/>
          <a:ext cx="1170720" cy="1173240"/>
        </a:xfrm>
        <a:prstGeom prst="rect">
          <a:avLst/>
        </a:prstGeom>
        <a:noFill/>
        <a:ln w="9525">
          <a:noFill/>
        </a:ln>
      </xdr:spPr>
    </xdr:pic>
    <xdr:clientData/>
  </xdr:twoCellAnchor>
  <xdr:twoCellAnchor editAs="oneCell">
    <xdr:from>
      <xdr:col>1</xdr:col>
      <xdr:colOff>38160</xdr:colOff>
      <xdr:row>18</xdr:row>
      <xdr:rowOff>144000</xdr:rowOff>
    </xdr:from>
    <xdr:to>
      <xdr:col>1</xdr:col>
      <xdr:colOff>1208880</xdr:colOff>
      <xdr:row>18</xdr:row>
      <xdr:rowOff>1315440</xdr:rowOff>
    </xdr:to>
    <xdr:pic>
      <xdr:nvPicPr>
        <xdr:cNvPr id="1249" name="图片 1" descr="3(1)"/>
        <xdr:cNvPicPr/>
      </xdr:nvPicPr>
      <xdr:blipFill>
        <a:blip r:embed="rId3"/>
        <a:stretch/>
      </xdr:blipFill>
      <xdr:spPr>
        <a:xfrm>
          <a:off x="4039920" y="13605840"/>
          <a:ext cx="1170720" cy="1171440"/>
        </a:xfrm>
        <a:prstGeom prst="rect">
          <a:avLst/>
        </a:prstGeom>
        <a:noFill/>
        <a:ln w="9525">
          <a:noFill/>
        </a:ln>
      </xdr:spPr>
    </xdr:pic>
    <xdr:clientData/>
  </xdr:twoCellAnchor>
  <xdr:twoCellAnchor editAs="oneCell">
    <xdr:from>
      <xdr:col>2</xdr:col>
      <xdr:colOff>38160</xdr:colOff>
      <xdr:row>18</xdr:row>
      <xdr:rowOff>143640</xdr:rowOff>
    </xdr:from>
    <xdr:to>
      <xdr:col>2</xdr:col>
      <xdr:colOff>1208880</xdr:colOff>
      <xdr:row>18</xdr:row>
      <xdr:rowOff>1316160</xdr:rowOff>
    </xdr:to>
    <xdr:pic>
      <xdr:nvPicPr>
        <xdr:cNvPr id="1250" name="图片 2" descr="10"/>
        <xdr:cNvPicPr/>
      </xdr:nvPicPr>
      <xdr:blipFill>
        <a:blip r:embed="rId4"/>
        <a:stretch/>
      </xdr:blipFill>
      <xdr:spPr>
        <a:xfrm>
          <a:off x="5605920" y="13605480"/>
          <a:ext cx="1170720" cy="1172520"/>
        </a:xfrm>
        <a:prstGeom prst="rect">
          <a:avLst/>
        </a:prstGeom>
        <a:noFill/>
        <a:ln w="9525">
          <a:noFill/>
        </a:ln>
      </xdr:spPr>
    </xdr:pic>
    <xdr:clientData/>
  </xdr:twoCellAnchor>
  <xdr:twoCellAnchor editAs="oneCell">
    <xdr:from>
      <xdr:col>1</xdr:col>
      <xdr:colOff>38160</xdr:colOff>
      <xdr:row>17</xdr:row>
      <xdr:rowOff>140400</xdr:rowOff>
    </xdr:from>
    <xdr:to>
      <xdr:col>1</xdr:col>
      <xdr:colOff>1208880</xdr:colOff>
      <xdr:row>17</xdr:row>
      <xdr:rowOff>1319400</xdr:rowOff>
    </xdr:to>
    <xdr:pic>
      <xdr:nvPicPr>
        <xdr:cNvPr id="1251" name="图片 9" descr="3"/>
        <xdr:cNvPicPr/>
      </xdr:nvPicPr>
      <xdr:blipFill>
        <a:blip r:embed="rId5"/>
        <a:stretch/>
      </xdr:blipFill>
      <xdr:spPr>
        <a:xfrm>
          <a:off x="4039920" y="12142080"/>
          <a:ext cx="1170720" cy="1179000"/>
        </a:xfrm>
        <a:prstGeom prst="rect">
          <a:avLst/>
        </a:prstGeom>
        <a:noFill/>
        <a:ln w="9525">
          <a:noFill/>
        </a:ln>
      </xdr:spPr>
    </xdr:pic>
    <xdr:clientData/>
  </xdr:twoCellAnchor>
  <xdr:twoCellAnchor editAs="oneCell">
    <xdr:from>
      <xdr:col>2</xdr:col>
      <xdr:colOff>38160</xdr:colOff>
      <xdr:row>17</xdr:row>
      <xdr:rowOff>144000</xdr:rowOff>
    </xdr:from>
    <xdr:to>
      <xdr:col>2</xdr:col>
      <xdr:colOff>1208880</xdr:colOff>
      <xdr:row>17</xdr:row>
      <xdr:rowOff>1315440</xdr:rowOff>
    </xdr:to>
    <xdr:pic>
      <xdr:nvPicPr>
        <xdr:cNvPr id="1252" name="图片 10" descr="10"/>
        <xdr:cNvPicPr/>
      </xdr:nvPicPr>
      <xdr:blipFill>
        <a:blip r:embed="rId6"/>
        <a:stretch/>
      </xdr:blipFill>
      <xdr:spPr>
        <a:xfrm>
          <a:off x="5605920" y="12145680"/>
          <a:ext cx="1170720" cy="1171440"/>
        </a:xfrm>
        <a:prstGeom prst="rect">
          <a:avLst/>
        </a:prstGeom>
        <a:noFill/>
        <a:ln w="9525">
          <a:noFill/>
        </a:ln>
      </xdr:spPr>
    </xdr:pic>
    <xdr:clientData/>
  </xdr:twoCellAnchor>
  <xdr:twoCellAnchor editAs="oneCell">
    <xdr:from>
      <xdr:col>1</xdr:col>
      <xdr:colOff>38160</xdr:colOff>
      <xdr:row>16</xdr:row>
      <xdr:rowOff>139320</xdr:rowOff>
    </xdr:from>
    <xdr:to>
      <xdr:col>1</xdr:col>
      <xdr:colOff>1208880</xdr:colOff>
      <xdr:row>16</xdr:row>
      <xdr:rowOff>1320480</xdr:rowOff>
    </xdr:to>
    <xdr:pic>
      <xdr:nvPicPr>
        <xdr:cNvPr id="1253" name="图片 4" descr="3"/>
        <xdr:cNvPicPr/>
      </xdr:nvPicPr>
      <xdr:blipFill>
        <a:blip r:embed="rId7"/>
        <a:stretch/>
      </xdr:blipFill>
      <xdr:spPr>
        <a:xfrm>
          <a:off x="4039920" y="10680480"/>
          <a:ext cx="1170720" cy="1181160"/>
        </a:xfrm>
        <a:prstGeom prst="rect">
          <a:avLst/>
        </a:prstGeom>
        <a:noFill/>
        <a:ln w="9525">
          <a:noFill/>
        </a:ln>
      </xdr:spPr>
    </xdr:pic>
    <xdr:clientData/>
  </xdr:twoCellAnchor>
  <xdr:twoCellAnchor editAs="oneCell">
    <xdr:from>
      <xdr:col>2</xdr:col>
      <xdr:colOff>38160</xdr:colOff>
      <xdr:row>16</xdr:row>
      <xdr:rowOff>144360</xdr:rowOff>
    </xdr:from>
    <xdr:to>
      <xdr:col>2</xdr:col>
      <xdr:colOff>1208880</xdr:colOff>
      <xdr:row>16</xdr:row>
      <xdr:rowOff>1315080</xdr:rowOff>
    </xdr:to>
    <xdr:pic>
      <xdr:nvPicPr>
        <xdr:cNvPr id="1254" name="图片 3" descr="11"/>
        <xdr:cNvPicPr/>
      </xdr:nvPicPr>
      <xdr:blipFill>
        <a:blip r:embed="rId8"/>
        <a:stretch/>
      </xdr:blipFill>
      <xdr:spPr>
        <a:xfrm>
          <a:off x="5605920" y="10685520"/>
          <a:ext cx="1170720" cy="1170720"/>
        </a:xfrm>
        <a:prstGeom prst="rect">
          <a:avLst/>
        </a:prstGeom>
        <a:noFill/>
        <a:ln w="0">
          <a:noFill/>
        </a:ln>
      </xdr:spPr>
    </xdr:pic>
    <xdr:clientData/>
  </xdr:twoCellAnchor>
  <xdr:twoCellAnchor editAs="oneCell">
    <xdr:from>
      <xdr:col>2</xdr:col>
      <xdr:colOff>38160</xdr:colOff>
      <xdr:row>12</xdr:row>
      <xdr:rowOff>173880</xdr:rowOff>
    </xdr:from>
    <xdr:to>
      <xdr:col>2</xdr:col>
      <xdr:colOff>1208880</xdr:colOff>
      <xdr:row>13</xdr:row>
      <xdr:rowOff>587160</xdr:rowOff>
    </xdr:to>
    <xdr:pic>
      <xdr:nvPicPr>
        <xdr:cNvPr id="1255" name="图片 2" descr="9"/>
        <xdr:cNvPicPr/>
      </xdr:nvPicPr>
      <xdr:blipFill>
        <a:blip r:embed="rId9"/>
        <a:stretch/>
      </xdr:blipFill>
      <xdr:spPr>
        <a:xfrm>
          <a:off x="5605920" y="7666920"/>
          <a:ext cx="1170720" cy="1175400"/>
        </a:xfrm>
        <a:prstGeom prst="rect">
          <a:avLst/>
        </a:prstGeom>
        <a:noFill/>
        <a:ln w="0">
          <a:noFill/>
        </a:ln>
      </xdr:spPr>
    </xdr:pic>
    <xdr:clientData/>
  </xdr:twoCellAnchor>
  <xdr:twoCellAnchor editAs="oneCell">
    <xdr:from>
      <xdr:col>1</xdr:col>
      <xdr:colOff>38160</xdr:colOff>
      <xdr:row>12</xdr:row>
      <xdr:rowOff>174960</xdr:rowOff>
    </xdr:from>
    <xdr:to>
      <xdr:col>1</xdr:col>
      <xdr:colOff>1208880</xdr:colOff>
      <xdr:row>13</xdr:row>
      <xdr:rowOff>586080</xdr:rowOff>
    </xdr:to>
    <xdr:pic>
      <xdr:nvPicPr>
        <xdr:cNvPr id="1256" name="图片 4" descr="4"/>
        <xdr:cNvPicPr/>
      </xdr:nvPicPr>
      <xdr:blipFill>
        <a:blip r:embed="rId10"/>
        <a:stretch/>
      </xdr:blipFill>
      <xdr:spPr>
        <a:xfrm>
          <a:off x="4039920" y="7668000"/>
          <a:ext cx="1170720" cy="1173240"/>
        </a:xfrm>
        <a:prstGeom prst="rect">
          <a:avLst/>
        </a:prstGeom>
        <a:noFill/>
        <a:ln w="0">
          <a:noFill/>
        </a:ln>
      </xdr:spPr>
    </xdr:pic>
    <xdr:clientData/>
  </xdr:twoCellAnchor>
  <xdr:twoCellAnchor editAs="oneCell">
    <xdr:from>
      <xdr:col>2</xdr:col>
      <xdr:colOff>38160</xdr:colOff>
      <xdr:row>10</xdr:row>
      <xdr:rowOff>172800</xdr:rowOff>
    </xdr:from>
    <xdr:to>
      <xdr:col>2</xdr:col>
      <xdr:colOff>1208880</xdr:colOff>
      <xdr:row>11</xdr:row>
      <xdr:rowOff>588960</xdr:rowOff>
    </xdr:to>
    <xdr:pic>
      <xdr:nvPicPr>
        <xdr:cNvPr id="1257" name="图片 5" descr="12"/>
        <xdr:cNvPicPr/>
      </xdr:nvPicPr>
      <xdr:blipFill>
        <a:blip r:embed="rId11"/>
        <a:stretch/>
      </xdr:blipFill>
      <xdr:spPr>
        <a:xfrm>
          <a:off x="5605920" y="6141960"/>
          <a:ext cx="1170720" cy="1177920"/>
        </a:xfrm>
        <a:prstGeom prst="rect">
          <a:avLst/>
        </a:prstGeom>
        <a:noFill/>
        <a:ln w="0">
          <a:noFill/>
        </a:ln>
      </xdr:spPr>
    </xdr:pic>
    <xdr:clientData/>
  </xdr:twoCellAnchor>
  <xdr:twoCellAnchor editAs="oneCell">
    <xdr:from>
      <xdr:col>1</xdr:col>
      <xdr:colOff>38160</xdr:colOff>
      <xdr:row>10</xdr:row>
      <xdr:rowOff>173520</xdr:rowOff>
    </xdr:from>
    <xdr:to>
      <xdr:col>1</xdr:col>
      <xdr:colOff>1208880</xdr:colOff>
      <xdr:row>11</xdr:row>
      <xdr:rowOff>588240</xdr:rowOff>
    </xdr:to>
    <xdr:pic>
      <xdr:nvPicPr>
        <xdr:cNvPr id="1258" name="图片 6" descr="1"/>
        <xdr:cNvPicPr/>
      </xdr:nvPicPr>
      <xdr:blipFill>
        <a:blip r:embed="rId12"/>
        <a:stretch/>
      </xdr:blipFill>
      <xdr:spPr>
        <a:xfrm>
          <a:off x="4039920" y="6142680"/>
          <a:ext cx="1170720" cy="1176480"/>
        </a:xfrm>
        <a:prstGeom prst="rect">
          <a:avLst/>
        </a:prstGeom>
        <a:noFill/>
        <a:ln w="0">
          <a:noFill/>
        </a:ln>
      </xdr:spPr>
    </xdr:pic>
    <xdr:clientData/>
  </xdr:twoCellAnchor>
  <xdr:twoCellAnchor editAs="oneCell">
    <xdr:from>
      <xdr:col>1</xdr:col>
      <xdr:colOff>38160</xdr:colOff>
      <xdr:row>8</xdr:row>
      <xdr:rowOff>172800</xdr:rowOff>
    </xdr:from>
    <xdr:to>
      <xdr:col>1</xdr:col>
      <xdr:colOff>1208880</xdr:colOff>
      <xdr:row>9</xdr:row>
      <xdr:rowOff>588600</xdr:rowOff>
    </xdr:to>
    <xdr:pic>
      <xdr:nvPicPr>
        <xdr:cNvPr id="1259" name="图片 7" descr="2"/>
        <xdr:cNvPicPr/>
      </xdr:nvPicPr>
      <xdr:blipFill>
        <a:blip r:embed="rId13"/>
        <a:stretch/>
      </xdr:blipFill>
      <xdr:spPr>
        <a:xfrm>
          <a:off x="4039920" y="4617720"/>
          <a:ext cx="1170720" cy="1177920"/>
        </a:xfrm>
        <a:prstGeom prst="rect">
          <a:avLst/>
        </a:prstGeom>
        <a:noFill/>
        <a:ln w="0">
          <a:noFill/>
        </a:ln>
      </xdr:spPr>
    </xdr:pic>
    <xdr:clientData/>
  </xdr:twoCellAnchor>
  <xdr:twoCellAnchor editAs="oneCell">
    <xdr:from>
      <xdr:col>2</xdr:col>
      <xdr:colOff>38160</xdr:colOff>
      <xdr:row>8</xdr:row>
      <xdr:rowOff>174960</xdr:rowOff>
    </xdr:from>
    <xdr:to>
      <xdr:col>2</xdr:col>
      <xdr:colOff>1208880</xdr:colOff>
      <xdr:row>9</xdr:row>
      <xdr:rowOff>586080</xdr:rowOff>
    </xdr:to>
    <xdr:pic>
      <xdr:nvPicPr>
        <xdr:cNvPr id="1260" name="图片 8" descr="10"/>
        <xdr:cNvPicPr/>
      </xdr:nvPicPr>
      <xdr:blipFill>
        <a:blip r:embed="rId14"/>
        <a:stretch/>
      </xdr:blipFill>
      <xdr:spPr>
        <a:xfrm>
          <a:off x="5605920" y="4619880"/>
          <a:ext cx="1170720" cy="1173240"/>
        </a:xfrm>
        <a:prstGeom prst="rect">
          <a:avLst/>
        </a:prstGeom>
        <a:noFill/>
        <a:ln w="0">
          <a:noFill/>
        </a:ln>
      </xdr:spPr>
    </xdr:pic>
    <xdr:clientData/>
  </xdr:twoCellAnchor>
  <xdr:twoCellAnchor editAs="oneCell">
    <xdr:from>
      <xdr:col>1</xdr:col>
      <xdr:colOff>38160</xdr:colOff>
      <xdr:row>6</xdr:row>
      <xdr:rowOff>172080</xdr:rowOff>
    </xdr:from>
    <xdr:to>
      <xdr:col>1</xdr:col>
      <xdr:colOff>1208880</xdr:colOff>
      <xdr:row>7</xdr:row>
      <xdr:rowOff>588960</xdr:rowOff>
    </xdr:to>
    <xdr:pic>
      <xdr:nvPicPr>
        <xdr:cNvPr id="1261" name="图片 9" descr="2"/>
        <xdr:cNvPicPr/>
      </xdr:nvPicPr>
      <xdr:blipFill>
        <a:blip r:embed="rId15"/>
        <a:stretch/>
      </xdr:blipFill>
      <xdr:spPr>
        <a:xfrm>
          <a:off x="4039920" y="3093120"/>
          <a:ext cx="1170720" cy="1179000"/>
        </a:xfrm>
        <a:prstGeom prst="rect">
          <a:avLst/>
        </a:prstGeom>
        <a:noFill/>
        <a:ln w="0">
          <a:noFill/>
        </a:ln>
      </xdr:spPr>
    </xdr:pic>
    <xdr:clientData/>
  </xdr:twoCellAnchor>
  <xdr:twoCellAnchor editAs="oneCell">
    <xdr:from>
      <xdr:col>2</xdr:col>
      <xdr:colOff>38160</xdr:colOff>
      <xdr:row>6</xdr:row>
      <xdr:rowOff>174600</xdr:rowOff>
    </xdr:from>
    <xdr:to>
      <xdr:col>2</xdr:col>
      <xdr:colOff>1208880</xdr:colOff>
      <xdr:row>7</xdr:row>
      <xdr:rowOff>586800</xdr:rowOff>
    </xdr:to>
    <xdr:pic>
      <xdr:nvPicPr>
        <xdr:cNvPr id="1262" name="图片 10" descr="10"/>
        <xdr:cNvPicPr/>
      </xdr:nvPicPr>
      <xdr:blipFill>
        <a:blip r:embed="rId16"/>
        <a:stretch/>
      </xdr:blipFill>
      <xdr:spPr>
        <a:xfrm>
          <a:off x="5605920" y="3095640"/>
          <a:ext cx="1170720" cy="1174320"/>
        </a:xfrm>
        <a:prstGeom prst="rect">
          <a:avLst/>
        </a:prstGeom>
        <a:noFill/>
        <a:ln w="0">
          <a:noFill/>
        </a:ln>
      </xdr:spPr>
    </xdr:pic>
    <xdr:clientData/>
  </xdr:twoCellAnchor>
  <xdr:twoCellAnchor editAs="oneCell">
    <xdr:from>
      <xdr:col>1</xdr:col>
      <xdr:colOff>38160</xdr:colOff>
      <xdr:row>4</xdr:row>
      <xdr:rowOff>172440</xdr:rowOff>
    </xdr:from>
    <xdr:to>
      <xdr:col>1</xdr:col>
      <xdr:colOff>1208880</xdr:colOff>
      <xdr:row>5</xdr:row>
      <xdr:rowOff>588960</xdr:rowOff>
    </xdr:to>
    <xdr:pic>
      <xdr:nvPicPr>
        <xdr:cNvPr id="1263" name="图片 11" descr="2"/>
        <xdr:cNvPicPr/>
      </xdr:nvPicPr>
      <xdr:blipFill>
        <a:blip r:embed="rId17"/>
        <a:stretch/>
      </xdr:blipFill>
      <xdr:spPr>
        <a:xfrm>
          <a:off x="4039920" y="1569600"/>
          <a:ext cx="1170720" cy="1178280"/>
        </a:xfrm>
        <a:prstGeom prst="rect">
          <a:avLst/>
        </a:prstGeom>
        <a:noFill/>
        <a:ln w="0">
          <a:noFill/>
        </a:ln>
      </xdr:spPr>
    </xdr:pic>
    <xdr:clientData/>
  </xdr:twoCellAnchor>
  <xdr:twoCellAnchor editAs="oneCell">
    <xdr:from>
      <xdr:col>2</xdr:col>
      <xdr:colOff>38160</xdr:colOff>
      <xdr:row>4</xdr:row>
      <xdr:rowOff>174600</xdr:rowOff>
    </xdr:from>
    <xdr:to>
      <xdr:col>2</xdr:col>
      <xdr:colOff>1208880</xdr:colOff>
      <xdr:row>5</xdr:row>
      <xdr:rowOff>587160</xdr:rowOff>
    </xdr:to>
    <xdr:pic>
      <xdr:nvPicPr>
        <xdr:cNvPr id="1264" name="图片 13" descr="10"/>
        <xdr:cNvPicPr/>
      </xdr:nvPicPr>
      <xdr:blipFill>
        <a:blip r:embed="rId18"/>
        <a:stretch/>
      </xdr:blipFill>
      <xdr:spPr>
        <a:xfrm>
          <a:off x="5605920" y="1571760"/>
          <a:ext cx="1170720" cy="1174320"/>
        </a:xfrm>
        <a:prstGeom prst="rect">
          <a:avLst/>
        </a:prstGeom>
        <a:noFill/>
        <a:ln w="0">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38160</xdr:colOff>
      <xdr:row>31</xdr:row>
      <xdr:rowOff>144000</xdr:rowOff>
    </xdr:from>
    <xdr:to>
      <xdr:col>2</xdr:col>
      <xdr:colOff>1208880</xdr:colOff>
      <xdr:row>31</xdr:row>
      <xdr:rowOff>1315440</xdr:rowOff>
    </xdr:to>
    <xdr:pic>
      <xdr:nvPicPr>
        <xdr:cNvPr id="1265" name="图片 134" descr="C:/Users/Ray/AppData/Local/Temp/picturecompress_20211118150910/output_558.jpgoutput_558"/>
        <xdr:cNvPicPr/>
      </xdr:nvPicPr>
      <xdr:blipFill>
        <a:blip r:embed="rId1"/>
        <a:stretch/>
      </xdr:blipFill>
      <xdr:spPr>
        <a:xfrm>
          <a:off x="5605920" y="31478040"/>
          <a:ext cx="1170720" cy="1171440"/>
        </a:xfrm>
        <a:prstGeom prst="rect">
          <a:avLst/>
        </a:prstGeom>
        <a:noFill/>
        <a:ln w="9525">
          <a:noFill/>
        </a:ln>
      </xdr:spPr>
    </xdr:pic>
    <xdr:clientData/>
  </xdr:twoCellAnchor>
  <xdr:twoCellAnchor editAs="oneCell">
    <xdr:from>
      <xdr:col>1</xdr:col>
      <xdr:colOff>38160</xdr:colOff>
      <xdr:row>31</xdr:row>
      <xdr:rowOff>141120</xdr:rowOff>
    </xdr:from>
    <xdr:to>
      <xdr:col>1</xdr:col>
      <xdr:colOff>1208880</xdr:colOff>
      <xdr:row>31</xdr:row>
      <xdr:rowOff>1318320</xdr:rowOff>
    </xdr:to>
    <xdr:pic>
      <xdr:nvPicPr>
        <xdr:cNvPr id="1266" name="图片 133" descr="C:/Users/Ray/AppData/Local/Temp/picturecompress_20211118150910/output_574.jpgoutput_574"/>
        <xdr:cNvPicPr/>
      </xdr:nvPicPr>
      <xdr:blipFill>
        <a:blip r:embed="rId2"/>
        <a:stretch/>
      </xdr:blipFill>
      <xdr:spPr>
        <a:xfrm>
          <a:off x="4039920" y="31475160"/>
          <a:ext cx="1170720" cy="1177200"/>
        </a:xfrm>
        <a:prstGeom prst="rect">
          <a:avLst/>
        </a:prstGeom>
        <a:noFill/>
        <a:ln w="9525">
          <a:noFill/>
        </a:ln>
      </xdr:spPr>
    </xdr:pic>
    <xdr:clientData/>
  </xdr:twoCellAnchor>
  <xdr:twoCellAnchor editAs="oneCell">
    <xdr:from>
      <xdr:col>1</xdr:col>
      <xdr:colOff>38160</xdr:colOff>
      <xdr:row>24</xdr:row>
      <xdr:rowOff>169920</xdr:rowOff>
    </xdr:from>
    <xdr:to>
      <xdr:col>1</xdr:col>
      <xdr:colOff>1208880</xdr:colOff>
      <xdr:row>25</xdr:row>
      <xdr:rowOff>591120</xdr:rowOff>
    </xdr:to>
    <xdr:pic>
      <xdr:nvPicPr>
        <xdr:cNvPr id="1267" name="图片 310" descr="2(3)"/>
        <xdr:cNvPicPr/>
      </xdr:nvPicPr>
      <xdr:blipFill>
        <a:blip r:embed="rId3"/>
        <a:stretch/>
      </xdr:blipFill>
      <xdr:spPr>
        <a:xfrm>
          <a:off x="4039920" y="25471440"/>
          <a:ext cx="1170720" cy="1183320"/>
        </a:xfrm>
        <a:prstGeom prst="rect">
          <a:avLst/>
        </a:prstGeom>
        <a:noFill/>
        <a:ln w="9525">
          <a:noFill/>
        </a:ln>
      </xdr:spPr>
    </xdr:pic>
    <xdr:clientData/>
  </xdr:twoCellAnchor>
  <xdr:twoCellAnchor editAs="oneCell">
    <xdr:from>
      <xdr:col>1</xdr:col>
      <xdr:colOff>38160</xdr:colOff>
      <xdr:row>28</xdr:row>
      <xdr:rowOff>171000</xdr:rowOff>
    </xdr:from>
    <xdr:to>
      <xdr:col>1</xdr:col>
      <xdr:colOff>1208880</xdr:colOff>
      <xdr:row>29</xdr:row>
      <xdr:rowOff>590400</xdr:rowOff>
    </xdr:to>
    <xdr:pic>
      <xdr:nvPicPr>
        <xdr:cNvPr id="1268" name="图片 311" descr="2(4)"/>
        <xdr:cNvPicPr/>
      </xdr:nvPicPr>
      <xdr:blipFill>
        <a:blip r:embed="rId4"/>
        <a:stretch/>
      </xdr:blipFill>
      <xdr:spPr>
        <a:xfrm>
          <a:off x="4039920" y="28520640"/>
          <a:ext cx="1170720" cy="1181160"/>
        </a:xfrm>
        <a:prstGeom prst="rect">
          <a:avLst/>
        </a:prstGeom>
        <a:noFill/>
        <a:ln w="9525">
          <a:noFill/>
        </a:ln>
      </xdr:spPr>
    </xdr:pic>
    <xdr:clientData/>
  </xdr:twoCellAnchor>
  <xdr:twoCellAnchor editAs="oneCell">
    <xdr:from>
      <xdr:col>1</xdr:col>
      <xdr:colOff>38160</xdr:colOff>
      <xdr:row>26</xdr:row>
      <xdr:rowOff>169560</xdr:rowOff>
    </xdr:from>
    <xdr:to>
      <xdr:col>1</xdr:col>
      <xdr:colOff>1208880</xdr:colOff>
      <xdr:row>27</xdr:row>
      <xdr:rowOff>591480</xdr:rowOff>
    </xdr:to>
    <xdr:pic>
      <xdr:nvPicPr>
        <xdr:cNvPr id="1269" name="图片 313" descr="3(2)"/>
        <xdr:cNvPicPr/>
      </xdr:nvPicPr>
      <xdr:blipFill>
        <a:blip r:embed="rId5"/>
        <a:stretch/>
      </xdr:blipFill>
      <xdr:spPr>
        <a:xfrm>
          <a:off x="4039920" y="26994960"/>
          <a:ext cx="1170720" cy="1184040"/>
        </a:xfrm>
        <a:prstGeom prst="rect">
          <a:avLst/>
        </a:prstGeom>
        <a:noFill/>
        <a:ln w="9525">
          <a:noFill/>
        </a:ln>
      </xdr:spPr>
    </xdr:pic>
    <xdr:clientData/>
  </xdr:twoCellAnchor>
  <xdr:twoCellAnchor editAs="oneCell">
    <xdr:from>
      <xdr:col>2</xdr:col>
      <xdr:colOff>38160</xdr:colOff>
      <xdr:row>24</xdr:row>
      <xdr:rowOff>174240</xdr:rowOff>
    </xdr:from>
    <xdr:to>
      <xdr:col>2</xdr:col>
      <xdr:colOff>1208880</xdr:colOff>
      <xdr:row>25</xdr:row>
      <xdr:rowOff>587160</xdr:rowOff>
    </xdr:to>
    <xdr:pic>
      <xdr:nvPicPr>
        <xdr:cNvPr id="1270" name="图片 314" descr="9(5)"/>
        <xdr:cNvPicPr/>
      </xdr:nvPicPr>
      <xdr:blipFill>
        <a:blip r:embed="rId6"/>
        <a:stretch/>
      </xdr:blipFill>
      <xdr:spPr>
        <a:xfrm>
          <a:off x="5605920" y="25475760"/>
          <a:ext cx="1170720" cy="1175040"/>
        </a:xfrm>
        <a:prstGeom prst="rect">
          <a:avLst/>
        </a:prstGeom>
        <a:noFill/>
        <a:ln w="9525">
          <a:noFill/>
        </a:ln>
      </xdr:spPr>
    </xdr:pic>
    <xdr:clientData/>
  </xdr:twoCellAnchor>
  <xdr:twoCellAnchor editAs="oneCell">
    <xdr:from>
      <xdr:col>2</xdr:col>
      <xdr:colOff>38160</xdr:colOff>
      <xdr:row>26</xdr:row>
      <xdr:rowOff>173520</xdr:rowOff>
    </xdr:from>
    <xdr:to>
      <xdr:col>2</xdr:col>
      <xdr:colOff>1208880</xdr:colOff>
      <xdr:row>27</xdr:row>
      <xdr:rowOff>587520</xdr:rowOff>
    </xdr:to>
    <xdr:pic>
      <xdr:nvPicPr>
        <xdr:cNvPr id="1271" name="图片 315" descr="9(6)"/>
        <xdr:cNvPicPr/>
      </xdr:nvPicPr>
      <xdr:blipFill>
        <a:blip r:embed="rId7"/>
        <a:stretch/>
      </xdr:blipFill>
      <xdr:spPr>
        <a:xfrm>
          <a:off x="5605920" y="26998920"/>
          <a:ext cx="1170720" cy="1176120"/>
        </a:xfrm>
        <a:prstGeom prst="rect">
          <a:avLst/>
        </a:prstGeom>
        <a:noFill/>
        <a:ln w="9525">
          <a:noFill/>
        </a:ln>
      </xdr:spPr>
    </xdr:pic>
    <xdr:clientData/>
  </xdr:twoCellAnchor>
  <xdr:twoCellAnchor editAs="oneCell">
    <xdr:from>
      <xdr:col>2</xdr:col>
      <xdr:colOff>38160</xdr:colOff>
      <xdr:row>28</xdr:row>
      <xdr:rowOff>173880</xdr:rowOff>
    </xdr:from>
    <xdr:to>
      <xdr:col>2</xdr:col>
      <xdr:colOff>1208880</xdr:colOff>
      <xdr:row>29</xdr:row>
      <xdr:rowOff>587520</xdr:rowOff>
    </xdr:to>
    <xdr:pic>
      <xdr:nvPicPr>
        <xdr:cNvPr id="1272" name="图片 316" descr="9(7)"/>
        <xdr:cNvPicPr/>
      </xdr:nvPicPr>
      <xdr:blipFill>
        <a:blip r:embed="rId8"/>
        <a:stretch/>
      </xdr:blipFill>
      <xdr:spPr>
        <a:xfrm>
          <a:off x="5605920" y="28523520"/>
          <a:ext cx="1170720" cy="1175400"/>
        </a:xfrm>
        <a:prstGeom prst="rect">
          <a:avLst/>
        </a:prstGeom>
        <a:noFill/>
        <a:ln w="9525">
          <a:noFill/>
        </a:ln>
      </xdr:spPr>
    </xdr:pic>
    <xdr:clientData/>
  </xdr:twoCellAnchor>
  <xdr:twoCellAnchor editAs="oneCell">
    <xdr:from>
      <xdr:col>1</xdr:col>
      <xdr:colOff>38160</xdr:colOff>
      <xdr:row>57</xdr:row>
      <xdr:rowOff>141120</xdr:rowOff>
    </xdr:from>
    <xdr:to>
      <xdr:col>1</xdr:col>
      <xdr:colOff>1208880</xdr:colOff>
      <xdr:row>57</xdr:row>
      <xdr:rowOff>1318320</xdr:rowOff>
    </xdr:to>
    <xdr:pic>
      <xdr:nvPicPr>
        <xdr:cNvPr id="1273" name="图片 32" descr="85b9726549a1c20b8a21a71fd0eb78b"/>
        <xdr:cNvPicPr/>
      </xdr:nvPicPr>
      <xdr:blipFill>
        <a:blip r:embed="rId9"/>
        <a:stretch/>
      </xdr:blipFill>
      <xdr:spPr>
        <a:xfrm>
          <a:off x="4039920" y="61923600"/>
          <a:ext cx="1170720" cy="1177200"/>
        </a:xfrm>
        <a:prstGeom prst="rect">
          <a:avLst/>
        </a:prstGeom>
        <a:noFill/>
        <a:ln w="9525">
          <a:noFill/>
        </a:ln>
      </xdr:spPr>
    </xdr:pic>
    <xdr:clientData/>
  </xdr:twoCellAnchor>
  <xdr:twoCellAnchor editAs="oneCell">
    <xdr:from>
      <xdr:col>2</xdr:col>
      <xdr:colOff>38160</xdr:colOff>
      <xdr:row>57</xdr:row>
      <xdr:rowOff>141120</xdr:rowOff>
    </xdr:from>
    <xdr:to>
      <xdr:col>2</xdr:col>
      <xdr:colOff>1208880</xdr:colOff>
      <xdr:row>57</xdr:row>
      <xdr:rowOff>1318320</xdr:rowOff>
    </xdr:to>
    <xdr:pic>
      <xdr:nvPicPr>
        <xdr:cNvPr id="1274" name="图片 33" descr="e728a096436399b3f15a3bba602891a"/>
        <xdr:cNvPicPr/>
      </xdr:nvPicPr>
      <xdr:blipFill>
        <a:blip r:embed="rId10"/>
        <a:stretch/>
      </xdr:blipFill>
      <xdr:spPr>
        <a:xfrm>
          <a:off x="5605920" y="61923600"/>
          <a:ext cx="1170720" cy="1177200"/>
        </a:xfrm>
        <a:prstGeom prst="rect">
          <a:avLst/>
        </a:prstGeom>
        <a:noFill/>
        <a:ln w="9525">
          <a:noFill/>
        </a:ln>
      </xdr:spPr>
    </xdr:pic>
    <xdr:clientData/>
  </xdr:twoCellAnchor>
  <xdr:twoCellAnchor editAs="oneCell">
    <xdr:from>
      <xdr:col>1</xdr:col>
      <xdr:colOff>38160</xdr:colOff>
      <xdr:row>56</xdr:row>
      <xdr:rowOff>140400</xdr:rowOff>
    </xdr:from>
    <xdr:to>
      <xdr:col>1</xdr:col>
      <xdr:colOff>1208880</xdr:colOff>
      <xdr:row>56</xdr:row>
      <xdr:rowOff>1319400</xdr:rowOff>
    </xdr:to>
    <xdr:pic>
      <xdr:nvPicPr>
        <xdr:cNvPr id="1275" name="图片 331" descr="C:/Users/Ray/AppData/Local/Temp/picturecompress_20220804155403/output_1.jpgoutput_1"/>
        <xdr:cNvPicPr/>
      </xdr:nvPicPr>
      <xdr:blipFill>
        <a:blip r:embed="rId11"/>
        <a:stretch/>
      </xdr:blipFill>
      <xdr:spPr>
        <a:xfrm>
          <a:off x="4039920" y="60462360"/>
          <a:ext cx="1170720" cy="1179000"/>
        </a:xfrm>
        <a:prstGeom prst="rect">
          <a:avLst/>
        </a:prstGeom>
        <a:noFill/>
        <a:ln w="9525">
          <a:noFill/>
        </a:ln>
      </xdr:spPr>
    </xdr:pic>
    <xdr:clientData/>
  </xdr:twoCellAnchor>
  <xdr:twoCellAnchor editAs="oneCell">
    <xdr:from>
      <xdr:col>2</xdr:col>
      <xdr:colOff>38160</xdr:colOff>
      <xdr:row>56</xdr:row>
      <xdr:rowOff>143640</xdr:rowOff>
    </xdr:from>
    <xdr:to>
      <xdr:col>2</xdr:col>
      <xdr:colOff>1208880</xdr:colOff>
      <xdr:row>56</xdr:row>
      <xdr:rowOff>1316160</xdr:rowOff>
    </xdr:to>
    <xdr:pic>
      <xdr:nvPicPr>
        <xdr:cNvPr id="1276" name="图片 332" descr="C:/Users/Ray/AppData/Local/Temp/picturecompress_20220804155403/output_2.jpgoutput_2"/>
        <xdr:cNvPicPr/>
      </xdr:nvPicPr>
      <xdr:blipFill>
        <a:blip r:embed="rId12"/>
        <a:stretch/>
      </xdr:blipFill>
      <xdr:spPr>
        <a:xfrm>
          <a:off x="5605920" y="60465600"/>
          <a:ext cx="1170720" cy="1172520"/>
        </a:xfrm>
        <a:prstGeom prst="rect">
          <a:avLst/>
        </a:prstGeom>
        <a:noFill/>
        <a:ln w="9525">
          <a:noFill/>
        </a:ln>
      </xdr:spPr>
    </xdr:pic>
    <xdr:clientData/>
  </xdr:twoCellAnchor>
  <xdr:twoCellAnchor editAs="oneCell">
    <xdr:from>
      <xdr:col>1</xdr:col>
      <xdr:colOff>38160</xdr:colOff>
      <xdr:row>55</xdr:row>
      <xdr:rowOff>140760</xdr:rowOff>
    </xdr:from>
    <xdr:to>
      <xdr:col>1</xdr:col>
      <xdr:colOff>1208880</xdr:colOff>
      <xdr:row>55</xdr:row>
      <xdr:rowOff>1319040</xdr:rowOff>
    </xdr:to>
    <xdr:pic>
      <xdr:nvPicPr>
        <xdr:cNvPr id="1277" name="图片 346" descr="5"/>
        <xdr:cNvPicPr/>
      </xdr:nvPicPr>
      <xdr:blipFill>
        <a:blip r:embed="rId13"/>
        <a:stretch/>
      </xdr:blipFill>
      <xdr:spPr>
        <a:xfrm>
          <a:off x="4039920" y="59002200"/>
          <a:ext cx="1170720" cy="1178280"/>
        </a:xfrm>
        <a:prstGeom prst="rect">
          <a:avLst/>
        </a:prstGeom>
        <a:noFill/>
        <a:ln w="9525">
          <a:noFill/>
        </a:ln>
      </xdr:spPr>
    </xdr:pic>
    <xdr:clientData/>
  </xdr:twoCellAnchor>
  <xdr:twoCellAnchor editAs="oneCell">
    <xdr:from>
      <xdr:col>2</xdr:col>
      <xdr:colOff>38160</xdr:colOff>
      <xdr:row>55</xdr:row>
      <xdr:rowOff>141480</xdr:rowOff>
    </xdr:from>
    <xdr:to>
      <xdr:col>2</xdr:col>
      <xdr:colOff>1208880</xdr:colOff>
      <xdr:row>55</xdr:row>
      <xdr:rowOff>1318680</xdr:rowOff>
    </xdr:to>
    <xdr:pic>
      <xdr:nvPicPr>
        <xdr:cNvPr id="1278" name="图片 347" descr="9"/>
        <xdr:cNvPicPr/>
      </xdr:nvPicPr>
      <xdr:blipFill>
        <a:blip r:embed="rId14"/>
        <a:stretch/>
      </xdr:blipFill>
      <xdr:spPr>
        <a:xfrm>
          <a:off x="5605920" y="59002920"/>
          <a:ext cx="1170720" cy="1177200"/>
        </a:xfrm>
        <a:prstGeom prst="rect">
          <a:avLst/>
        </a:prstGeom>
        <a:noFill/>
        <a:ln w="9525">
          <a:noFill/>
        </a:ln>
      </xdr:spPr>
    </xdr:pic>
    <xdr:clientData/>
  </xdr:twoCellAnchor>
  <xdr:twoCellAnchor editAs="oneCell">
    <xdr:from>
      <xdr:col>1</xdr:col>
      <xdr:colOff>38160</xdr:colOff>
      <xdr:row>52</xdr:row>
      <xdr:rowOff>140400</xdr:rowOff>
    </xdr:from>
    <xdr:to>
      <xdr:col>1</xdr:col>
      <xdr:colOff>1208880</xdr:colOff>
      <xdr:row>52</xdr:row>
      <xdr:rowOff>1319400</xdr:rowOff>
    </xdr:to>
    <xdr:pic>
      <xdr:nvPicPr>
        <xdr:cNvPr id="1279" name="图片 350" descr="1_副本"/>
        <xdr:cNvPicPr/>
      </xdr:nvPicPr>
      <xdr:blipFill>
        <a:blip r:embed="rId15"/>
        <a:stretch/>
      </xdr:blipFill>
      <xdr:spPr>
        <a:xfrm>
          <a:off x="4039920" y="54620280"/>
          <a:ext cx="1170720" cy="1179000"/>
        </a:xfrm>
        <a:prstGeom prst="rect">
          <a:avLst/>
        </a:prstGeom>
        <a:noFill/>
        <a:ln w="9525">
          <a:noFill/>
        </a:ln>
      </xdr:spPr>
    </xdr:pic>
    <xdr:clientData/>
  </xdr:twoCellAnchor>
  <xdr:twoCellAnchor editAs="oneCell">
    <xdr:from>
      <xdr:col>1</xdr:col>
      <xdr:colOff>38160</xdr:colOff>
      <xdr:row>51</xdr:row>
      <xdr:rowOff>143280</xdr:rowOff>
    </xdr:from>
    <xdr:to>
      <xdr:col>1</xdr:col>
      <xdr:colOff>1208880</xdr:colOff>
      <xdr:row>51</xdr:row>
      <xdr:rowOff>1316520</xdr:rowOff>
    </xdr:to>
    <xdr:pic>
      <xdr:nvPicPr>
        <xdr:cNvPr id="1280" name="图片 5" descr="BC55-02"/>
        <xdr:cNvPicPr/>
      </xdr:nvPicPr>
      <xdr:blipFill>
        <a:blip r:embed="rId16"/>
        <a:stretch/>
      </xdr:blipFill>
      <xdr:spPr>
        <a:xfrm>
          <a:off x="4039920" y="53162640"/>
          <a:ext cx="1170720" cy="1173240"/>
        </a:xfrm>
        <a:prstGeom prst="rect">
          <a:avLst/>
        </a:prstGeom>
        <a:noFill/>
        <a:ln w="9525">
          <a:noFill/>
        </a:ln>
      </xdr:spPr>
    </xdr:pic>
    <xdr:clientData/>
  </xdr:twoCellAnchor>
  <xdr:twoCellAnchor editAs="oneCell">
    <xdr:from>
      <xdr:col>1</xdr:col>
      <xdr:colOff>38160</xdr:colOff>
      <xdr:row>50</xdr:row>
      <xdr:rowOff>143280</xdr:rowOff>
    </xdr:from>
    <xdr:to>
      <xdr:col>1</xdr:col>
      <xdr:colOff>1208880</xdr:colOff>
      <xdr:row>50</xdr:row>
      <xdr:rowOff>1316520</xdr:rowOff>
    </xdr:to>
    <xdr:pic>
      <xdr:nvPicPr>
        <xdr:cNvPr id="1281" name="图片 7" descr="BC56-01"/>
        <xdr:cNvPicPr/>
      </xdr:nvPicPr>
      <xdr:blipFill>
        <a:blip r:embed="rId17"/>
        <a:stretch/>
      </xdr:blipFill>
      <xdr:spPr>
        <a:xfrm>
          <a:off x="4039920" y="51702120"/>
          <a:ext cx="1170720" cy="1173240"/>
        </a:xfrm>
        <a:prstGeom prst="rect">
          <a:avLst/>
        </a:prstGeom>
        <a:noFill/>
        <a:ln w="9525">
          <a:noFill/>
        </a:ln>
      </xdr:spPr>
    </xdr:pic>
    <xdr:clientData/>
  </xdr:twoCellAnchor>
  <xdr:twoCellAnchor editAs="oneCell">
    <xdr:from>
      <xdr:col>2</xdr:col>
      <xdr:colOff>38160</xdr:colOff>
      <xdr:row>50</xdr:row>
      <xdr:rowOff>143280</xdr:rowOff>
    </xdr:from>
    <xdr:to>
      <xdr:col>2</xdr:col>
      <xdr:colOff>1208880</xdr:colOff>
      <xdr:row>50</xdr:row>
      <xdr:rowOff>1316520</xdr:rowOff>
    </xdr:to>
    <xdr:pic>
      <xdr:nvPicPr>
        <xdr:cNvPr id="1282" name="图片 11" descr="BC56-09"/>
        <xdr:cNvPicPr/>
      </xdr:nvPicPr>
      <xdr:blipFill>
        <a:blip r:embed="rId18"/>
        <a:stretch/>
      </xdr:blipFill>
      <xdr:spPr>
        <a:xfrm>
          <a:off x="5605920" y="51702120"/>
          <a:ext cx="1170720" cy="1173240"/>
        </a:xfrm>
        <a:prstGeom prst="rect">
          <a:avLst/>
        </a:prstGeom>
        <a:noFill/>
        <a:ln w="9525">
          <a:noFill/>
        </a:ln>
      </xdr:spPr>
    </xdr:pic>
    <xdr:clientData/>
  </xdr:twoCellAnchor>
  <xdr:twoCellAnchor editAs="oneCell">
    <xdr:from>
      <xdr:col>1</xdr:col>
      <xdr:colOff>38160</xdr:colOff>
      <xdr:row>54</xdr:row>
      <xdr:rowOff>143280</xdr:rowOff>
    </xdr:from>
    <xdr:to>
      <xdr:col>1</xdr:col>
      <xdr:colOff>1208880</xdr:colOff>
      <xdr:row>54</xdr:row>
      <xdr:rowOff>1316520</xdr:rowOff>
    </xdr:to>
    <xdr:pic>
      <xdr:nvPicPr>
        <xdr:cNvPr id="1283" name="图片 31" descr="1"/>
        <xdr:cNvPicPr/>
      </xdr:nvPicPr>
      <xdr:blipFill>
        <a:blip r:embed="rId19"/>
        <a:stretch/>
      </xdr:blipFill>
      <xdr:spPr>
        <a:xfrm>
          <a:off x="4039920" y="57544200"/>
          <a:ext cx="1170720" cy="1173240"/>
        </a:xfrm>
        <a:prstGeom prst="rect">
          <a:avLst/>
        </a:prstGeom>
        <a:noFill/>
        <a:ln w="9525">
          <a:noFill/>
        </a:ln>
      </xdr:spPr>
    </xdr:pic>
    <xdr:clientData/>
  </xdr:twoCellAnchor>
  <xdr:twoCellAnchor editAs="oneCell">
    <xdr:from>
      <xdr:col>2</xdr:col>
      <xdr:colOff>38160</xdr:colOff>
      <xdr:row>54</xdr:row>
      <xdr:rowOff>143280</xdr:rowOff>
    </xdr:from>
    <xdr:to>
      <xdr:col>2</xdr:col>
      <xdr:colOff>1208880</xdr:colOff>
      <xdr:row>54</xdr:row>
      <xdr:rowOff>1316520</xdr:rowOff>
    </xdr:to>
    <xdr:pic>
      <xdr:nvPicPr>
        <xdr:cNvPr id="1284" name="图片 32" descr="2"/>
        <xdr:cNvPicPr/>
      </xdr:nvPicPr>
      <xdr:blipFill>
        <a:blip r:embed="rId20"/>
        <a:stretch/>
      </xdr:blipFill>
      <xdr:spPr>
        <a:xfrm>
          <a:off x="5605920" y="57544200"/>
          <a:ext cx="1170720" cy="1173240"/>
        </a:xfrm>
        <a:prstGeom prst="rect">
          <a:avLst/>
        </a:prstGeom>
        <a:noFill/>
        <a:ln w="9525">
          <a:noFill/>
        </a:ln>
      </xdr:spPr>
    </xdr:pic>
    <xdr:clientData/>
  </xdr:twoCellAnchor>
  <xdr:twoCellAnchor editAs="oneCell">
    <xdr:from>
      <xdr:col>1</xdr:col>
      <xdr:colOff>38160</xdr:colOff>
      <xdr:row>53</xdr:row>
      <xdr:rowOff>143280</xdr:rowOff>
    </xdr:from>
    <xdr:to>
      <xdr:col>1</xdr:col>
      <xdr:colOff>1208880</xdr:colOff>
      <xdr:row>53</xdr:row>
      <xdr:rowOff>1316520</xdr:rowOff>
    </xdr:to>
    <xdr:pic>
      <xdr:nvPicPr>
        <xdr:cNvPr id="1285" name="图片 43" descr="3(2)"/>
        <xdr:cNvPicPr/>
      </xdr:nvPicPr>
      <xdr:blipFill>
        <a:blip r:embed="rId21"/>
        <a:stretch/>
      </xdr:blipFill>
      <xdr:spPr>
        <a:xfrm>
          <a:off x="4039920" y="56083680"/>
          <a:ext cx="1170720" cy="1173240"/>
        </a:xfrm>
        <a:prstGeom prst="rect">
          <a:avLst/>
        </a:prstGeom>
        <a:noFill/>
        <a:ln w="9525">
          <a:noFill/>
        </a:ln>
      </xdr:spPr>
    </xdr:pic>
    <xdr:clientData/>
  </xdr:twoCellAnchor>
  <xdr:twoCellAnchor editAs="oneCell">
    <xdr:from>
      <xdr:col>2</xdr:col>
      <xdr:colOff>38160</xdr:colOff>
      <xdr:row>53</xdr:row>
      <xdr:rowOff>146520</xdr:rowOff>
    </xdr:from>
    <xdr:to>
      <xdr:col>2</xdr:col>
      <xdr:colOff>1208880</xdr:colOff>
      <xdr:row>53</xdr:row>
      <xdr:rowOff>1313280</xdr:rowOff>
    </xdr:to>
    <xdr:pic>
      <xdr:nvPicPr>
        <xdr:cNvPr id="1286" name="图片 44" descr="9(1)"/>
        <xdr:cNvPicPr/>
      </xdr:nvPicPr>
      <xdr:blipFill>
        <a:blip r:embed="rId22"/>
        <a:stretch/>
      </xdr:blipFill>
      <xdr:spPr>
        <a:xfrm>
          <a:off x="5605920" y="56086920"/>
          <a:ext cx="1170720" cy="1166760"/>
        </a:xfrm>
        <a:prstGeom prst="rect">
          <a:avLst/>
        </a:prstGeom>
        <a:noFill/>
        <a:ln w="9525">
          <a:noFill/>
        </a:ln>
      </xdr:spPr>
    </xdr:pic>
    <xdr:clientData/>
  </xdr:twoCellAnchor>
  <xdr:twoCellAnchor editAs="oneCell">
    <xdr:from>
      <xdr:col>1</xdr:col>
      <xdr:colOff>38160</xdr:colOff>
      <xdr:row>49</xdr:row>
      <xdr:rowOff>143640</xdr:rowOff>
    </xdr:from>
    <xdr:to>
      <xdr:col>1</xdr:col>
      <xdr:colOff>1208880</xdr:colOff>
      <xdr:row>49</xdr:row>
      <xdr:rowOff>1316160</xdr:rowOff>
    </xdr:to>
    <xdr:pic>
      <xdr:nvPicPr>
        <xdr:cNvPr id="1287" name="图片 56" descr="1"/>
        <xdr:cNvPicPr/>
      </xdr:nvPicPr>
      <xdr:blipFill>
        <a:blip r:embed="rId23"/>
        <a:stretch/>
      </xdr:blipFill>
      <xdr:spPr>
        <a:xfrm>
          <a:off x="4039920" y="50241960"/>
          <a:ext cx="1170720" cy="1172520"/>
        </a:xfrm>
        <a:prstGeom prst="rect">
          <a:avLst/>
        </a:prstGeom>
        <a:noFill/>
        <a:ln w="9525">
          <a:noFill/>
        </a:ln>
      </xdr:spPr>
    </xdr:pic>
    <xdr:clientData/>
  </xdr:twoCellAnchor>
  <xdr:twoCellAnchor editAs="oneCell">
    <xdr:from>
      <xdr:col>2</xdr:col>
      <xdr:colOff>38160</xdr:colOff>
      <xdr:row>49</xdr:row>
      <xdr:rowOff>144000</xdr:rowOff>
    </xdr:from>
    <xdr:to>
      <xdr:col>2</xdr:col>
      <xdr:colOff>1208880</xdr:colOff>
      <xdr:row>49</xdr:row>
      <xdr:rowOff>1315440</xdr:rowOff>
    </xdr:to>
    <xdr:pic>
      <xdr:nvPicPr>
        <xdr:cNvPr id="1288" name="图片 57" descr="8"/>
        <xdr:cNvPicPr/>
      </xdr:nvPicPr>
      <xdr:blipFill>
        <a:blip r:embed="rId24"/>
        <a:stretch/>
      </xdr:blipFill>
      <xdr:spPr>
        <a:xfrm>
          <a:off x="5605920" y="50242320"/>
          <a:ext cx="1170720" cy="1171440"/>
        </a:xfrm>
        <a:prstGeom prst="rect">
          <a:avLst/>
        </a:prstGeom>
        <a:noFill/>
        <a:ln w="9525">
          <a:noFill/>
        </a:ln>
      </xdr:spPr>
    </xdr:pic>
    <xdr:clientData/>
  </xdr:twoCellAnchor>
  <xdr:twoCellAnchor editAs="oneCell">
    <xdr:from>
      <xdr:col>1</xdr:col>
      <xdr:colOff>38160</xdr:colOff>
      <xdr:row>19</xdr:row>
      <xdr:rowOff>140400</xdr:rowOff>
    </xdr:from>
    <xdr:to>
      <xdr:col>1</xdr:col>
      <xdr:colOff>1208880</xdr:colOff>
      <xdr:row>19</xdr:row>
      <xdr:rowOff>1319400</xdr:rowOff>
    </xdr:to>
    <xdr:pic>
      <xdr:nvPicPr>
        <xdr:cNvPr id="1289" name="图片 52" descr="2(2)"/>
        <xdr:cNvPicPr/>
      </xdr:nvPicPr>
      <xdr:blipFill>
        <a:blip r:embed="rId25"/>
        <a:stretch/>
      </xdr:blipFill>
      <xdr:spPr>
        <a:xfrm>
          <a:off x="4039920" y="18139320"/>
          <a:ext cx="1170720" cy="1179000"/>
        </a:xfrm>
        <a:prstGeom prst="rect">
          <a:avLst/>
        </a:prstGeom>
        <a:noFill/>
        <a:ln w="9525">
          <a:noFill/>
        </a:ln>
      </xdr:spPr>
    </xdr:pic>
    <xdr:clientData/>
  </xdr:twoCellAnchor>
  <xdr:twoCellAnchor editAs="oneCell">
    <xdr:from>
      <xdr:col>1</xdr:col>
      <xdr:colOff>38160</xdr:colOff>
      <xdr:row>20</xdr:row>
      <xdr:rowOff>146160</xdr:rowOff>
    </xdr:from>
    <xdr:to>
      <xdr:col>1</xdr:col>
      <xdr:colOff>1208880</xdr:colOff>
      <xdr:row>20</xdr:row>
      <xdr:rowOff>1313640</xdr:rowOff>
    </xdr:to>
    <xdr:pic>
      <xdr:nvPicPr>
        <xdr:cNvPr id="1290" name="图片 53" descr="2(3)"/>
        <xdr:cNvPicPr/>
      </xdr:nvPicPr>
      <xdr:blipFill>
        <a:blip r:embed="rId26"/>
        <a:stretch/>
      </xdr:blipFill>
      <xdr:spPr>
        <a:xfrm>
          <a:off x="4039920" y="19605600"/>
          <a:ext cx="1170720" cy="1167480"/>
        </a:xfrm>
        <a:prstGeom prst="rect">
          <a:avLst/>
        </a:prstGeom>
        <a:noFill/>
        <a:ln w="9525">
          <a:noFill/>
        </a:ln>
      </xdr:spPr>
    </xdr:pic>
    <xdr:clientData/>
  </xdr:twoCellAnchor>
  <xdr:twoCellAnchor editAs="oneCell">
    <xdr:from>
      <xdr:col>1</xdr:col>
      <xdr:colOff>38160</xdr:colOff>
      <xdr:row>21</xdr:row>
      <xdr:rowOff>143280</xdr:rowOff>
    </xdr:from>
    <xdr:to>
      <xdr:col>1</xdr:col>
      <xdr:colOff>1208880</xdr:colOff>
      <xdr:row>21</xdr:row>
      <xdr:rowOff>1316520</xdr:rowOff>
    </xdr:to>
    <xdr:pic>
      <xdr:nvPicPr>
        <xdr:cNvPr id="1291" name="图片 54" descr="2(4)"/>
        <xdr:cNvPicPr/>
      </xdr:nvPicPr>
      <xdr:blipFill>
        <a:blip r:embed="rId27"/>
        <a:stretch/>
      </xdr:blipFill>
      <xdr:spPr>
        <a:xfrm>
          <a:off x="4039920" y="21063240"/>
          <a:ext cx="1170720" cy="1173240"/>
        </a:xfrm>
        <a:prstGeom prst="rect">
          <a:avLst/>
        </a:prstGeom>
        <a:noFill/>
        <a:ln w="9525">
          <a:noFill/>
        </a:ln>
      </xdr:spPr>
    </xdr:pic>
    <xdr:clientData/>
  </xdr:twoCellAnchor>
  <xdr:twoCellAnchor editAs="oneCell">
    <xdr:from>
      <xdr:col>2</xdr:col>
      <xdr:colOff>38160</xdr:colOff>
      <xdr:row>20</xdr:row>
      <xdr:rowOff>143640</xdr:rowOff>
    </xdr:from>
    <xdr:to>
      <xdr:col>2</xdr:col>
      <xdr:colOff>1208880</xdr:colOff>
      <xdr:row>20</xdr:row>
      <xdr:rowOff>1316160</xdr:rowOff>
    </xdr:to>
    <xdr:pic>
      <xdr:nvPicPr>
        <xdr:cNvPr id="1292" name="图片 58" descr="9(6)"/>
        <xdr:cNvPicPr/>
      </xdr:nvPicPr>
      <xdr:blipFill>
        <a:blip r:embed="rId28"/>
        <a:stretch/>
      </xdr:blipFill>
      <xdr:spPr>
        <a:xfrm>
          <a:off x="5605920" y="19603080"/>
          <a:ext cx="1170720" cy="1172520"/>
        </a:xfrm>
        <a:prstGeom prst="rect">
          <a:avLst/>
        </a:prstGeom>
        <a:noFill/>
        <a:ln w="9525">
          <a:noFill/>
        </a:ln>
      </xdr:spPr>
    </xdr:pic>
    <xdr:clientData/>
  </xdr:twoCellAnchor>
  <xdr:twoCellAnchor editAs="oneCell">
    <xdr:from>
      <xdr:col>2</xdr:col>
      <xdr:colOff>38160</xdr:colOff>
      <xdr:row>19</xdr:row>
      <xdr:rowOff>143280</xdr:rowOff>
    </xdr:from>
    <xdr:to>
      <xdr:col>2</xdr:col>
      <xdr:colOff>1208880</xdr:colOff>
      <xdr:row>19</xdr:row>
      <xdr:rowOff>1316520</xdr:rowOff>
    </xdr:to>
    <xdr:pic>
      <xdr:nvPicPr>
        <xdr:cNvPr id="1293" name="图片 59" descr="9(5)"/>
        <xdr:cNvPicPr/>
      </xdr:nvPicPr>
      <xdr:blipFill>
        <a:blip r:embed="rId29"/>
        <a:stretch/>
      </xdr:blipFill>
      <xdr:spPr>
        <a:xfrm>
          <a:off x="5605920" y="18142200"/>
          <a:ext cx="1170720" cy="1173240"/>
        </a:xfrm>
        <a:prstGeom prst="rect">
          <a:avLst/>
        </a:prstGeom>
        <a:noFill/>
        <a:ln w="9525">
          <a:noFill/>
        </a:ln>
      </xdr:spPr>
    </xdr:pic>
    <xdr:clientData/>
  </xdr:twoCellAnchor>
  <xdr:twoCellAnchor editAs="oneCell">
    <xdr:from>
      <xdr:col>2</xdr:col>
      <xdr:colOff>38160</xdr:colOff>
      <xdr:row>21</xdr:row>
      <xdr:rowOff>144000</xdr:rowOff>
    </xdr:from>
    <xdr:to>
      <xdr:col>2</xdr:col>
      <xdr:colOff>1208880</xdr:colOff>
      <xdr:row>21</xdr:row>
      <xdr:rowOff>1315440</xdr:rowOff>
    </xdr:to>
    <xdr:pic>
      <xdr:nvPicPr>
        <xdr:cNvPr id="1294" name="图片 60" descr="9(7)"/>
        <xdr:cNvPicPr/>
      </xdr:nvPicPr>
      <xdr:blipFill>
        <a:blip r:embed="rId30"/>
        <a:stretch/>
      </xdr:blipFill>
      <xdr:spPr>
        <a:xfrm>
          <a:off x="5605920" y="21063960"/>
          <a:ext cx="1170720" cy="1171440"/>
        </a:xfrm>
        <a:prstGeom prst="rect">
          <a:avLst/>
        </a:prstGeom>
        <a:noFill/>
        <a:ln w="9525">
          <a:noFill/>
        </a:ln>
      </xdr:spPr>
    </xdr:pic>
    <xdr:clientData/>
  </xdr:twoCellAnchor>
  <xdr:twoCellAnchor editAs="oneCell">
    <xdr:from>
      <xdr:col>2</xdr:col>
      <xdr:colOff>38160</xdr:colOff>
      <xdr:row>51</xdr:row>
      <xdr:rowOff>145080</xdr:rowOff>
    </xdr:from>
    <xdr:to>
      <xdr:col>2</xdr:col>
      <xdr:colOff>1208880</xdr:colOff>
      <xdr:row>51</xdr:row>
      <xdr:rowOff>1314720</xdr:rowOff>
    </xdr:to>
    <xdr:pic>
      <xdr:nvPicPr>
        <xdr:cNvPr id="1295" name="图片 38" descr="BC55-09"/>
        <xdr:cNvPicPr/>
      </xdr:nvPicPr>
      <xdr:blipFill>
        <a:blip r:embed="rId31"/>
        <a:stretch/>
      </xdr:blipFill>
      <xdr:spPr>
        <a:xfrm>
          <a:off x="5605920" y="53164440"/>
          <a:ext cx="1170720" cy="1169640"/>
        </a:xfrm>
        <a:prstGeom prst="rect">
          <a:avLst/>
        </a:prstGeom>
        <a:noFill/>
        <a:ln w="9525">
          <a:noFill/>
        </a:ln>
      </xdr:spPr>
    </xdr:pic>
    <xdr:clientData/>
  </xdr:twoCellAnchor>
  <xdr:twoCellAnchor editAs="oneCell">
    <xdr:from>
      <xdr:col>2</xdr:col>
      <xdr:colOff>38160</xdr:colOff>
      <xdr:row>52</xdr:row>
      <xdr:rowOff>145080</xdr:rowOff>
    </xdr:from>
    <xdr:to>
      <xdr:col>2</xdr:col>
      <xdr:colOff>1208880</xdr:colOff>
      <xdr:row>52</xdr:row>
      <xdr:rowOff>1314720</xdr:rowOff>
    </xdr:to>
    <xdr:pic>
      <xdr:nvPicPr>
        <xdr:cNvPr id="1296" name="图片 42" descr="9"/>
        <xdr:cNvPicPr/>
      </xdr:nvPicPr>
      <xdr:blipFill>
        <a:blip r:embed="rId32"/>
        <a:stretch/>
      </xdr:blipFill>
      <xdr:spPr>
        <a:xfrm>
          <a:off x="5605920" y="54624960"/>
          <a:ext cx="1170720" cy="1169640"/>
        </a:xfrm>
        <a:prstGeom prst="rect">
          <a:avLst/>
        </a:prstGeom>
        <a:noFill/>
        <a:ln w="9525">
          <a:noFill/>
        </a:ln>
      </xdr:spPr>
    </xdr:pic>
    <xdr:clientData/>
  </xdr:twoCellAnchor>
  <xdr:twoCellAnchor editAs="oneCell">
    <xdr:from>
      <xdr:col>1</xdr:col>
      <xdr:colOff>38160</xdr:colOff>
      <xdr:row>35</xdr:row>
      <xdr:rowOff>146160</xdr:rowOff>
    </xdr:from>
    <xdr:to>
      <xdr:col>1</xdr:col>
      <xdr:colOff>1208880</xdr:colOff>
      <xdr:row>35</xdr:row>
      <xdr:rowOff>1313640</xdr:rowOff>
    </xdr:to>
    <xdr:pic>
      <xdr:nvPicPr>
        <xdr:cNvPr id="1297" name="图片 69" descr="1(1)"/>
        <xdr:cNvPicPr/>
      </xdr:nvPicPr>
      <xdr:blipFill>
        <a:blip r:embed="rId33"/>
        <a:stretch/>
      </xdr:blipFill>
      <xdr:spPr>
        <a:xfrm>
          <a:off x="4039920" y="34810920"/>
          <a:ext cx="1170720" cy="1167480"/>
        </a:xfrm>
        <a:prstGeom prst="rect">
          <a:avLst/>
        </a:prstGeom>
        <a:noFill/>
        <a:ln w="9525">
          <a:noFill/>
        </a:ln>
      </xdr:spPr>
    </xdr:pic>
    <xdr:clientData/>
  </xdr:twoCellAnchor>
  <xdr:twoCellAnchor editAs="oneCell">
    <xdr:from>
      <xdr:col>1</xdr:col>
      <xdr:colOff>38160</xdr:colOff>
      <xdr:row>34</xdr:row>
      <xdr:rowOff>143280</xdr:rowOff>
    </xdr:from>
    <xdr:to>
      <xdr:col>1</xdr:col>
      <xdr:colOff>1208880</xdr:colOff>
      <xdr:row>34</xdr:row>
      <xdr:rowOff>1316520</xdr:rowOff>
    </xdr:to>
    <xdr:pic>
      <xdr:nvPicPr>
        <xdr:cNvPr id="1298" name="图片 70" descr="1"/>
        <xdr:cNvPicPr/>
      </xdr:nvPicPr>
      <xdr:blipFill>
        <a:blip r:embed="rId34"/>
        <a:stretch/>
      </xdr:blipFill>
      <xdr:spPr>
        <a:xfrm>
          <a:off x="4039920" y="33347520"/>
          <a:ext cx="1170720" cy="1173240"/>
        </a:xfrm>
        <a:prstGeom prst="rect">
          <a:avLst/>
        </a:prstGeom>
        <a:noFill/>
        <a:ln w="9525">
          <a:noFill/>
        </a:ln>
      </xdr:spPr>
    </xdr:pic>
    <xdr:clientData/>
  </xdr:twoCellAnchor>
  <xdr:twoCellAnchor editAs="oneCell">
    <xdr:from>
      <xdr:col>2</xdr:col>
      <xdr:colOff>38160</xdr:colOff>
      <xdr:row>34</xdr:row>
      <xdr:rowOff>143640</xdr:rowOff>
    </xdr:from>
    <xdr:to>
      <xdr:col>2</xdr:col>
      <xdr:colOff>1208880</xdr:colOff>
      <xdr:row>34</xdr:row>
      <xdr:rowOff>1316160</xdr:rowOff>
    </xdr:to>
    <xdr:pic>
      <xdr:nvPicPr>
        <xdr:cNvPr id="1299" name="图片 71" descr="9"/>
        <xdr:cNvPicPr/>
      </xdr:nvPicPr>
      <xdr:blipFill>
        <a:blip r:embed="rId35"/>
        <a:stretch/>
      </xdr:blipFill>
      <xdr:spPr>
        <a:xfrm>
          <a:off x="5605920" y="33347880"/>
          <a:ext cx="1170720" cy="1172520"/>
        </a:xfrm>
        <a:prstGeom prst="rect">
          <a:avLst/>
        </a:prstGeom>
        <a:noFill/>
        <a:ln w="9525">
          <a:noFill/>
        </a:ln>
      </xdr:spPr>
    </xdr:pic>
    <xdr:clientData/>
  </xdr:twoCellAnchor>
  <xdr:twoCellAnchor editAs="oneCell">
    <xdr:from>
      <xdr:col>2</xdr:col>
      <xdr:colOff>38160</xdr:colOff>
      <xdr:row>35</xdr:row>
      <xdr:rowOff>143280</xdr:rowOff>
    </xdr:from>
    <xdr:to>
      <xdr:col>2</xdr:col>
      <xdr:colOff>1208880</xdr:colOff>
      <xdr:row>35</xdr:row>
      <xdr:rowOff>1316520</xdr:rowOff>
    </xdr:to>
    <xdr:pic>
      <xdr:nvPicPr>
        <xdr:cNvPr id="1300" name="图片 72" descr="9(1)"/>
        <xdr:cNvPicPr/>
      </xdr:nvPicPr>
      <xdr:blipFill>
        <a:blip r:embed="rId36"/>
        <a:stretch/>
      </xdr:blipFill>
      <xdr:spPr>
        <a:xfrm>
          <a:off x="5605920" y="34808040"/>
          <a:ext cx="1170720" cy="1173240"/>
        </a:xfrm>
        <a:prstGeom prst="rect">
          <a:avLst/>
        </a:prstGeom>
        <a:noFill/>
        <a:ln w="9525">
          <a:noFill/>
        </a:ln>
      </xdr:spPr>
    </xdr:pic>
    <xdr:clientData/>
  </xdr:twoCellAnchor>
  <xdr:twoCellAnchor editAs="oneCell">
    <xdr:from>
      <xdr:col>1</xdr:col>
      <xdr:colOff>38160</xdr:colOff>
      <xdr:row>48</xdr:row>
      <xdr:rowOff>145800</xdr:rowOff>
    </xdr:from>
    <xdr:to>
      <xdr:col>1</xdr:col>
      <xdr:colOff>1208880</xdr:colOff>
      <xdr:row>48</xdr:row>
      <xdr:rowOff>1313640</xdr:rowOff>
    </xdr:to>
    <xdr:pic>
      <xdr:nvPicPr>
        <xdr:cNvPr id="1301" name="图片 2" descr="1"/>
        <xdr:cNvPicPr/>
      </xdr:nvPicPr>
      <xdr:blipFill>
        <a:blip r:embed="rId37"/>
        <a:stretch/>
      </xdr:blipFill>
      <xdr:spPr>
        <a:xfrm>
          <a:off x="4039920" y="48783600"/>
          <a:ext cx="1170720" cy="1167840"/>
        </a:xfrm>
        <a:prstGeom prst="rect">
          <a:avLst/>
        </a:prstGeom>
        <a:noFill/>
        <a:ln w="9525">
          <a:noFill/>
        </a:ln>
      </xdr:spPr>
    </xdr:pic>
    <xdr:clientData/>
  </xdr:twoCellAnchor>
  <xdr:twoCellAnchor editAs="oneCell">
    <xdr:from>
      <xdr:col>2</xdr:col>
      <xdr:colOff>38160</xdr:colOff>
      <xdr:row>48</xdr:row>
      <xdr:rowOff>143280</xdr:rowOff>
    </xdr:from>
    <xdr:to>
      <xdr:col>2</xdr:col>
      <xdr:colOff>1208880</xdr:colOff>
      <xdr:row>48</xdr:row>
      <xdr:rowOff>1316520</xdr:rowOff>
    </xdr:to>
    <xdr:pic>
      <xdr:nvPicPr>
        <xdr:cNvPr id="1302" name="图片 3" descr="9"/>
        <xdr:cNvPicPr/>
      </xdr:nvPicPr>
      <xdr:blipFill>
        <a:blip r:embed="rId38"/>
        <a:stretch/>
      </xdr:blipFill>
      <xdr:spPr>
        <a:xfrm>
          <a:off x="5605920" y="48781080"/>
          <a:ext cx="1170720" cy="1173240"/>
        </a:xfrm>
        <a:prstGeom prst="rect">
          <a:avLst/>
        </a:prstGeom>
        <a:noFill/>
        <a:ln w="9525">
          <a:noFill/>
        </a:ln>
      </xdr:spPr>
    </xdr:pic>
    <xdr:clientData/>
  </xdr:twoCellAnchor>
  <xdr:twoCellAnchor editAs="oneCell">
    <xdr:from>
      <xdr:col>1</xdr:col>
      <xdr:colOff>38160</xdr:colOff>
      <xdr:row>11</xdr:row>
      <xdr:rowOff>138240</xdr:rowOff>
    </xdr:from>
    <xdr:to>
      <xdr:col>1</xdr:col>
      <xdr:colOff>1208880</xdr:colOff>
      <xdr:row>11</xdr:row>
      <xdr:rowOff>1321560</xdr:rowOff>
    </xdr:to>
    <xdr:pic>
      <xdr:nvPicPr>
        <xdr:cNvPr id="1303" name="图片 30" descr="2"/>
        <xdr:cNvPicPr/>
      </xdr:nvPicPr>
      <xdr:blipFill>
        <a:blip r:embed="rId39"/>
        <a:stretch/>
      </xdr:blipFill>
      <xdr:spPr>
        <a:xfrm>
          <a:off x="4039920" y="9247320"/>
          <a:ext cx="1170720" cy="1183320"/>
        </a:xfrm>
        <a:prstGeom prst="rect">
          <a:avLst/>
        </a:prstGeom>
        <a:noFill/>
        <a:ln w="9525">
          <a:noFill/>
        </a:ln>
      </xdr:spPr>
    </xdr:pic>
    <xdr:clientData/>
  </xdr:twoCellAnchor>
  <xdr:twoCellAnchor editAs="oneCell">
    <xdr:from>
      <xdr:col>2</xdr:col>
      <xdr:colOff>38160</xdr:colOff>
      <xdr:row>11</xdr:row>
      <xdr:rowOff>135360</xdr:rowOff>
    </xdr:from>
    <xdr:to>
      <xdr:col>2</xdr:col>
      <xdr:colOff>1208880</xdr:colOff>
      <xdr:row>11</xdr:row>
      <xdr:rowOff>1324440</xdr:rowOff>
    </xdr:to>
    <xdr:pic>
      <xdr:nvPicPr>
        <xdr:cNvPr id="1304" name="图片 84" descr="9(1)"/>
        <xdr:cNvPicPr/>
      </xdr:nvPicPr>
      <xdr:blipFill>
        <a:blip r:embed="rId40"/>
        <a:stretch/>
      </xdr:blipFill>
      <xdr:spPr>
        <a:xfrm>
          <a:off x="5605920" y="9244440"/>
          <a:ext cx="1170720" cy="1189080"/>
        </a:xfrm>
        <a:prstGeom prst="rect">
          <a:avLst/>
        </a:prstGeom>
        <a:noFill/>
        <a:ln w="9525">
          <a:noFill/>
        </a:ln>
      </xdr:spPr>
    </xdr:pic>
    <xdr:clientData/>
  </xdr:twoCellAnchor>
  <xdr:twoCellAnchor editAs="oneCell">
    <xdr:from>
      <xdr:col>1</xdr:col>
      <xdr:colOff>38160</xdr:colOff>
      <xdr:row>22</xdr:row>
      <xdr:rowOff>144000</xdr:rowOff>
    </xdr:from>
    <xdr:to>
      <xdr:col>1</xdr:col>
      <xdr:colOff>1208880</xdr:colOff>
      <xdr:row>22</xdr:row>
      <xdr:rowOff>1315440</xdr:rowOff>
    </xdr:to>
    <xdr:pic>
      <xdr:nvPicPr>
        <xdr:cNvPr id="1305" name="图片 8" descr="2"/>
        <xdr:cNvPicPr/>
      </xdr:nvPicPr>
      <xdr:blipFill>
        <a:blip r:embed="rId41"/>
        <a:stretch/>
      </xdr:blipFill>
      <xdr:spPr>
        <a:xfrm>
          <a:off x="4039920" y="22524480"/>
          <a:ext cx="1170720" cy="1171440"/>
        </a:xfrm>
        <a:prstGeom prst="rect">
          <a:avLst/>
        </a:prstGeom>
        <a:noFill/>
        <a:ln w="9525">
          <a:noFill/>
        </a:ln>
      </xdr:spPr>
    </xdr:pic>
    <xdr:clientData/>
  </xdr:twoCellAnchor>
  <xdr:twoCellAnchor editAs="oneCell">
    <xdr:from>
      <xdr:col>2</xdr:col>
      <xdr:colOff>38160</xdr:colOff>
      <xdr:row>22</xdr:row>
      <xdr:rowOff>143280</xdr:rowOff>
    </xdr:from>
    <xdr:to>
      <xdr:col>2</xdr:col>
      <xdr:colOff>1208880</xdr:colOff>
      <xdr:row>22</xdr:row>
      <xdr:rowOff>1316520</xdr:rowOff>
    </xdr:to>
    <xdr:pic>
      <xdr:nvPicPr>
        <xdr:cNvPr id="1306" name="图片 9" descr="10"/>
        <xdr:cNvPicPr/>
      </xdr:nvPicPr>
      <xdr:blipFill>
        <a:blip r:embed="rId42"/>
        <a:stretch/>
      </xdr:blipFill>
      <xdr:spPr>
        <a:xfrm>
          <a:off x="5605920" y="22523760"/>
          <a:ext cx="1170720" cy="1173240"/>
        </a:xfrm>
        <a:prstGeom prst="rect">
          <a:avLst/>
        </a:prstGeom>
        <a:noFill/>
        <a:ln w="9525">
          <a:noFill/>
        </a:ln>
      </xdr:spPr>
    </xdr:pic>
    <xdr:clientData/>
  </xdr:twoCellAnchor>
  <xdr:twoCellAnchor editAs="oneCell">
    <xdr:from>
      <xdr:col>1</xdr:col>
      <xdr:colOff>38160</xdr:colOff>
      <xdr:row>46</xdr:row>
      <xdr:rowOff>140760</xdr:rowOff>
    </xdr:from>
    <xdr:to>
      <xdr:col>1</xdr:col>
      <xdr:colOff>1208880</xdr:colOff>
      <xdr:row>46</xdr:row>
      <xdr:rowOff>1319040</xdr:rowOff>
    </xdr:to>
    <xdr:pic>
      <xdr:nvPicPr>
        <xdr:cNvPr id="1307" name="图片 12" descr="2"/>
        <xdr:cNvPicPr/>
      </xdr:nvPicPr>
      <xdr:blipFill>
        <a:blip r:embed="rId43"/>
        <a:stretch/>
      </xdr:blipFill>
      <xdr:spPr>
        <a:xfrm>
          <a:off x="4039920" y="45857520"/>
          <a:ext cx="1170720" cy="1178280"/>
        </a:xfrm>
        <a:prstGeom prst="rect">
          <a:avLst/>
        </a:prstGeom>
        <a:noFill/>
        <a:ln w="9525">
          <a:noFill/>
        </a:ln>
      </xdr:spPr>
    </xdr:pic>
    <xdr:clientData/>
  </xdr:twoCellAnchor>
  <xdr:twoCellAnchor editAs="oneCell">
    <xdr:from>
      <xdr:col>2</xdr:col>
      <xdr:colOff>38160</xdr:colOff>
      <xdr:row>46</xdr:row>
      <xdr:rowOff>143280</xdr:rowOff>
    </xdr:from>
    <xdr:to>
      <xdr:col>2</xdr:col>
      <xdr:colOff>1208880</xdr:colOff>
      <xdr:row>46</xdr:row>
      <xdr:rowOff>1316520</xdr:rowOff>
    </xdr:to>
    <xdr:pic>
      <xdr:nvPicPr>
        <xdr:cNvPr id="1308" name="图片 13" descr="9"/>
        <xdr:cNvPicPr/>
      </xdr:nvPicPr>
      <xdr:blipFill>
        <a:blip r:embed="rId44"/>
        <a:stretch/>
      </xdr:blipFill>
      <xdr:spPr>
        <a:xfrm>
          <a:off x="5605920" y="45860040"/>
          <a:ext cx="1170720" cy="1173240"/>
        </a:xfrm>
        <a:prstGeom prst="rect">
          <a:avLst/>
        </a:prstGeom>
        <a:noFill/>
        <a:ln w="9525">
          <a:noFill/>
        </a:ln>
      </xdr:spPr>
    </xdr:pic>
    <xdr:clientData/>
  </xdr:twoCellAnchor>
  <xdr:twoCellAnchor editAs="oneCell">
    <xdr:from>
      <xdr:col>1</xdr:col>
      <xdr:colOff>38160</xdr:colOff>
      <xdr:row>23</xdr:row>
      <xdr:rowOff>146160</xdr:rowOff>
    </xdr:from>
    <xdr:to>
      <xdr:col>1</xdr:col>
      <xdr:colOff>1208880</xdr:colOff>
      <xdr:row>23</xdr:row>
      <xdr:rowOff>1313640</xdr:rowOff>
    </xdr:to>
    <xdr:pic>
      <xdr:nvPicPr>
        <xdr:cNvPr id="1309" name="图片 35" descr="2"/>
        <xdr:cNvPicPr/>
      </xdr:nvPicPr>
      <xdr:blipFill>
        <a:blip r:embed="rId45"/>
        <a:stretch/>
      </xdr:blipFill>
      <xdr:spPr>
        <a:xfrm>
          <a:off x="4039920" y="23987160"/>
          <a:ext cx="1170720" cy="1167480"/>
        </a:xfrm>
        <a:prstGeom prst="rect">
          <a:avLst/>
        </a:prstGeom>
        <a:noFill/>
        <a:ln w="9525">
          <a:noFill/>
        </a:ln>
      </xdr:spPr>
    </xdr:pic>
    <xdr:clientData/>
  </xdr:twoCellAnchor>
  <xdr:twoCellAnchor editAs="oneCell">
    <xdr:from>
      <xdr:col>2</xdr:col>
      <xdr:colOff>38160</xdr:colOff>
      <xdr:row>23</xdr:row>
      <xdr:rowOff>143280</xdr:rowOff>
    </xdr:from>
    <xdr:to>
      <xdr:col>2</xdr:col>
      <xdr:colOff>1208880</xdr:colOff>
      <xdr:row>23</xdr:row>
      <xdr:rowOff>1316520</xdr:rowOff>
    </xdr:to>
    <xdr:pic>
      <xdr:nvPicPr>
        <xdr:cNvPr id="1310" name="图片 39" descr="10"/>
        <xdr:cNvPicPr/>
      </xdr:nvPicPr>
      <xdr:blipFill>
        <a:blip r:embed="rId46"/>
        <a:stretch/>
      </xdr:blipFill>
      <xdr:spPr>
        <a:xfrm>
          <a:off x="5605920" y="23984280"/>
          <a:ext cx="1170720" cy="1173240"/>
        </a:xfrm>
        <a:prstGeom prst="rect">
          <a:avLst/>
        </a:prstGeom>
        <a:noFill/>
        <a:ln w="9525">
          <a:noFill/>
        </a:ln>
      </xdr:spPr>
    </xdr:pic>
    <xdr:clientData/>
  </xdr:twoCellAnchor>
  <xdr:twoCellAnchor editAs="oneCell">
    <xdr:from>
      <xdr:col>1</xdr:col>
      <xdr:colOff>38160</xdr:colOff>
      <xdr:row>40</xdr:row>
      <xdr:rowOff>143640</xdr:rowOff>
    </xdr:from>
    <xdr:to>
      <xdr:col>1</xdr:col>
      <xdr:colOff>1208880</xdr:colOff>
      <xdr:row>40</xdr:row>
      <xdr:rowOff>1316160</xdr:rowOff>
    </xdr:to>
    <xdr:pic>
      <xdr:nvPicPr>
        <xdr:cNvPr id="1311" name="图片 18" descr="1"/>
        <xdr:cNvPicPr/>
      </xdr:nvPicPr>
      <xdr:blipFill>
        <a:blip r:embed="rId47"/>
        <a:stretch/>
      </xdr:blipFill>
      <xdr:spPr>
        <a:xfrm>
          <a:off x="4039920" y="39599280"/>
          <a:ext cx="1170720" cy="1172520"/>
        </a:xfrm>
        <a:prstGeom prst="rect">
          <a:avLst/>
        </a:prstGeom>
        <a:noFill/>
        <a:ln w="9525">
          <a:noFill/>
        </a:ln>
      </xdr:spPr>
    </xdr:pic>
    <xdr:clientData/>
  </xdr:twoCellAnchor>
  <xdr:twoCellAnchor editAs="oneCell">
    <xdr:from>
      <xdr:col>2</xdr:col>
      <xdr:colOff>38160</xdr:colOff>
      <xdr:row>40</xdr:row>
      <xdr:rowOff>143280</xdr:rowOff>
    </xdr:from>
    <xdr:to>
      <xdr:col>2</xdr:col>
      <xdr:colOff>1208880</xdr:colOff>
      <xdr:row>40</xdr:row>
      <xdr:rowOff>1316520</xdr:rowOff>
    </xdr:to>
    <xdr:pic>
      <xdr:nvPicPr>
        <xdr:cNvPr id="1312" name="图片 40" descr="9"/>
        <xdr:cNvPicPr/>
      </xdr:nvPicPr>
      <xdr:blipFill>
        <a:blip r:embed="rId48"/>
        <a:stretch/>
      </xdr:blipFill>
      <xdr:spPr>
        <a:xfrm>
          <a:off x="5605920" y="39598920"/>
          <a:ext cx="1170720" cy="1173240"/>
        </a:xfrm>
        <a:prstGeom prst="rect">
          <a:avLst/>
        </a:prstGeom>
        <a:noFill/>
        <a:ln w="9525">
          <a:noFill/>
        </a:ln>
      </xdr:spPr>
    </xdr:pic>
    <xdr:clientData/>
  </xdr:twoCellAnchor>
  <xdr:twoCellAnchor editAs="oneCell">
    <xdr:from>
      <xdr:col>1</xdr:col>
      <xdr:colOff>38160</xdr:colOff>
      <xdr:row>12</xdr:row>
      <xdr:rowOff>143280</xdr:rowOff>
    </xdr:from>
    <xdr:to>
      <xdr:col>1</xdr:col>
      <xdr:colOff>1208880</xdr:colOff>
      <xdr:row>12</xdr:row>
      <xdr:rowOff>1316520</xdr:rowOff>
    </xdr:to>
    <xdr:pic>
      <xdr:nvPicPr>
        <xdr:cNvPr id="1313" name="图片 10" descr="1"/>
        <xdr:cNvPicPr/>
      </xdr:nvPicPr>
      <xdr:blipFill>
        <a:blip r:embed="rId49"/>
        <a:stretch/>
      </xdr:blipFill>
      <xdr:spPr>
        <a:xfrm>
          <a:off x="4039920" y="10712880"/>
          <a:ext cx="1170720" cy="1173240"/>
        </a:xfrm>
        <a:prstGeom prst="rect">
          <a:avLst/>
        </a:prstGeom>
        <a:noFill/>
        <a:ln w="9525">
          <a:noFill/>
        </a:ln>
      </xdr:spPr>
    </xdr:pic>
    <xdr:clientData/>
  </xdr:twoCellAnchor>
  <xdr:twoCellAnchor editAs="oneCell">
    <xdr:from>
      <xdr:col>2</xdr:col>
      <xdr:colOff>38160</xdr:colOff>
      <xdr:row>12</xdr:row>
      <xdr:rowOff>144000</xdr:rowOff>
    </xdr:from>
    <xdr:to>
      <xdr:col>2</xdr:col>
      <xdr:colOff>1208880</xdr:colOff>
      <xdr:row>12</xdr:row>
      <xdr:rowOff>1315440</xdr:rowOff>
    </xdr:to>
    <xdr:pic>
      <xdr:nvPicPr>
        <xdr:cNvPr id="1314" name="图片 14" descr="9"/>
        <xdr:cNvPicPr/>
      </xdr:nvPicPr>
      <xdr:blipFill>
        <a:blip r:embed="rId50"/>
        <a:stretch/>
      </xdr:blipFill>
      <xdr:spPr>
        <a:xfrm>
          <a:off x="5605920" y="10713600"/>
          <a:ext cx="1170720" cy="1171440"/>
        </a:xfrm>
        <a:prstGeom prst="rect">
          <a:avLst/>
        </a:prstGeom>
        <a:noFill/>
        <a:ln w="9525">
          <a:noFill/>
        </a:ln>
      </xdr:spPr>
    </xdr:pic>
    <xdr:clientData/>
  </xdr:twoCellAnchor>
  <xdr:twoCellAnchor editAs="oneCell">
    <xdr:from>
      <xdr:col>1</xdr:col>
      <xdr:colOff>38160</xdr:colOff>
      <xdr:row>13</xdr:row>
      <xdr:rowOff>143280</xdr:rowOff>
    </xdr:from>
    <xdr:to>
      <xdr:col>1</xdr:col>
      <xdr:colOff>1208880</xdr:colOff>
      <xdr:row>13</xdr:row>
      <xdr:rowOff>1316520</xdr:rowOff>
    </xdr:to>
    <xdr:pic>
      <xdr:nvPicPr>
        <xdr:cNvPr id="1315" name="图片 15" descr="1"/>
        <xdr:cNvPicPr/>
      </xdr:nvPicPr>
      <xdr:blipFill>
        <a:blip r:embed="rId51"/>
        <a:stretch/>
      </xdr:blipFill>
      <xdr:spPr>
        <a:xfrm>
          <a:off x="4039920" y="12173400"/>
          <a:ext cx="1170720" cy="1173240"/>
        </a:xfrm>
        <a:prstGeom prst="rect">
          <a:avLst/>
        </a:prstGeom>
        <a:noFill/>
        <a:ln w="9525">
          <a:noFill/>
        </a:ln>
      </xdr:spPr>
    </xdr:pic>
    <xdr:clientData/>
  </xdr:twoCellAnchor>
  <xdr:twoCellAnchor editAs="oneCell">
    <xdr:from>
      <xdr:col>2</xdr:col>
      <xdr:colOff>38160</xdr:colOff>
      <xdr:row>13</xdr:row>
      <xdr:rowOff>144000</xdr:rowOff>
    </xdr:from>
    <xdr:to>
      <xdr:col>2</xdr:col>
      <xdr:colOff>1208880</xdr:colOff>
      <xdr:row>13</xdr:row>
      <xdr:rowOff>1315440</xdr:rowOff>
    </xdr:to>
    <xdr:pic>
      <xdr:nvPicPr>
        <xdr:cNvPr id="1316" name="图片 16" descr="9"/>
        <xdr:cNvPicPr/>
      </xdr:nvPicPr>
      <xdr:blipFill>
        <a:blip r:embed="rId52"/>
        <a:stretch/>
      </xdr:blipFill>
      <xdr:spPr>
        <a:xfrm>
          <a:off x="5605920" y="12174120"/>
          <a:ext cx="1170720" cy="1171440"/>
        </a:xfrm>
        <a:prstGeom prst="rect">
          <a:avLst/>
        </a:prstGeom>
        <a:noFill/>
        <a:ln w="9525">
          <a:noFill/>
        </a:ln>
      </xdr:spPr>
    </xdr:pic>
    <xdr:clientData/>
  </xdr:twoCellAnchor>
  <xdr:twoCellAnchor editAs="oneCell">
    <xdr:from>
      <xdr:col>1</xdr:col>
      <xdr:colOff>38160</xdr:colOff>
      <xdr:row>14</xdr:row>
      <xdr:rowOff>143280</xdr:rowOff>
    </xdr:from>
    <xdr:to>
      <xdr:col>1</xdr:col>
      <xdr:colOff>1208880</xdr:colOff>
      <xdr:row>14</xdr:row>
      <xdr:rowOff>1316520</xdr:rowOff>
    </xdr:to>
    <xdr:pic>
      <xdr:nvPicPr>
        <xdr:cNvPr id="1317" name="图片 17" descr="1"/>
        <xdr:cNvPicPr/>
      </xdr:nvPicPr>
      <xdr:blipFill>
        <a:blip r:embed="rId53"/>
        <a:stretch/>
      </xdr:blipFill>
      <xdr:spPr>
        <a:xfrm>
          <a:off x="4039920" y="13633920"/>
          <a:ext cx="1170720" cy="1173240"/>
        </a:xfrm>
        <a:prstGeom prst="rect">
          <a:avLst/>
        </a:prstGeom>
        <a:noFill/>
        <a:ln w="9525">
          <a:noFill/>
        </a:ln>
      </xdr:spPr>
    </xdr:pic>
    <xdr:clientData/>
  </xdr:twoCellAnchor>
  <xdr:twoCellAnchor editAs="oneCell">
    <xdr:from>
      <xdr:col>2</xdr:col>
      <xdr:colOff>38160</xdr:colOff>
      <xdr:row>14</xdr:row>
      <xdr:rowOff>143280</xdr:rowOff>
    </xdr:from>
    <xdr:to>
      <xdr:col>2</xdr:col>
      <xdr:colOff>1208880</xdr:colOff>
      <xdr:row>14</xdr:row>
      <xdr:rowOff>1316520</xdr:rowOff>
    </xdr:to>
    <xdr:pic>
      <xdr:nvPicPr>
        <xdr:cNvPr id="1318" name="图片 28" descr="9"/>
        <xdr:cNvPicPr/>
      </xdr:nvPicPr>
      <xdr:blipFill>
        <a:blip r:embed="rId54"/>
        <a:stretch/>
      </xdr:blipFill>
      <xdr:spPr>
        <a:xfrm>
          <a:off x="5605920" y="13633920"/>
          <a:ext cx="1170720" cy="1173240"/>
        </a:xfrm>
        <a:prstGeom prst="rect">
          <a:avLst/>
        </a:prstGeom>
        <a:noFill/>
        <a:ln w="9525">
          <a:noFill/>
        </a:ln>
      </xdr:spPr>
    </xdr:pic>
    <xdr:clientData/>
  </xdr:twoCellAnchor>
  <xdr:twoCellAnchor editAs="oneCell">
    <xdr:from>
      <xdr:col>1</xdr:col>
      <xdr:colOff>38160</xdr:colOff>
      <xdr:row>47</xdr:row>
      <xdr:rowOff>143280</xdr:rowOff>
    </xdr:from>
    <xdr:to>
      <xdr:col>1</xdr:col>
      <xdr:colOff>1208880</xdr:colOff>
      <xdr:row>47</xdr:row>
      <xdr:rowOff>1316520</xdr:rowOff>
    </xdr:to>
    <xdr:pic>
      <xdr:nvPicPr>
        <xdr:cNvPr id="1319" name="图片 63" descr="1"/>
        <xdr:cNvPicPr/>
      </xdr:nvPicPr>
      <xdr:blipFill>
        <a:blip r:embed="rId55"/>
        <a:stretch/>
      </xdr:blipFill>
      <xdr:spPr>
        <a:xfrm>
          <a:off x="4039920" y="47320560"/>
          <a:ext cx="1170720" cy="1173240"/>
        </a:xfrm>
        <a:prstGeom prst="rect">
          <a:avLst/>
        </a:prstGeom>
        <a:noFill/>
        <a:ln w="9525">
          <a:noFill/>
        </a:ln>
      </xdr:spPr>
    </xdr:pic>
    <xdr:clientData/>
  </xdr:twoCellAnchor>
  <xdr:twoCellAnchor editAs="oneCell">
    <xdr:from>
      <xdr:col>2</xdr:col>
      <xdr:colOff>38160</xdr:colOff>
      <xdr:row>47</xdr:row>
      <xdr:rowOff>143280</xdr:rowOff>
    </xdr:from>
    <xdr:to>
      <xdr:col>2</xdr:col>
      <xdr:colOff>1208880</xdr:colOff>
      <xdr:row>47</xdr:row>
      <xdr:rowOff>1316520</xdr:rowOff>
    </xdr:to>
    <xdr:pic>
      <xdr:nvPicPr>
        <xdr:cNvPr id="1320" name="图片 65" descr="9"/>
        <xdr:cNvPicPr/>
      </xdr:nvPicPr>
      <xdr:blipFill>
        <a:blip r:embed="rId56"/>
        <a:stretch/>
      </xdr:blipFill>
      <xdr:spPr>
        <a:xfrm>
          <a:off x="5605920" y="47320560"/>
          <a:ext cx="1170720" cy="1173240"/>
        </a:xfrm>
        <a:prstGeom prst="rect">
          <a:avLst/>
        </a:prstGeom>
        <a:noFill/>
        <a:ln w="9525">
          <a:noFill/>
        </a:ln>
      </xdr:spPr>
    </xdr:pic>
    <xdr:clientData/>
  </xdr:twoCellAnchor>
  <xdr:twoCellAnchor editAs="oneCell">
    <xdr:from>
      <xdr:col>1</xdr:col>
      <xdr:colOff>38160</xdr:colOff>
      <xdr:row>45</xdr:row>
      <xdr:rowOff>146880</xdr:rowOff>
    </xdr:from>
    <xdr:to>
      <xdr:col>1</xdr:col>
      <xdr:colOff>1208880</xdr:colOff>
      <xdr:row>45</xdr:row>
      <xdr:rowOff>1313280</xdr:rowOff>
    </xdr:to>
    <xdr:pic>
      <xdr:nvPicPr>
        <xdr:cNvPr id="1321" name="图片 36" descr="1"/>
        <xdr:cNvPicPr/>
      </xdr:nvPicPr>
      <xdr:blipFill>
        <a:blip r:embed="rId57"/>
        <a:stretch/>
      </xdr:blipFill>
      <xdr:spPr>
        <a:xfrm>
          <a:off x="4039920" y="44403120"/>
          <a:ext cx="1170720" cy="1166400"/>
        </a:xfrm>
        <a:prstGeom prst="rect">
          <a:avLst/>
        </a:prstGeom>
        <a:noFill/>
        <a:ln w="9525">
          <a:noFill/>
        </a:ln>
      </xdr:spPr>
    </xdr:pic>
    <xdr:clientData/>
  </xdr:twoCellAnchor>
  <xdr:twoCellAnchor editAs="oneCell">
    <xdr:from>
      <xdr:col>2</xdr:col>
      <xdr:colOff>38160</xdr:colOff>
      <xdr:row>45</xdr:row>
      <xdr:rowOff>146880</xdr:rowOff>
    </xdr:from>
    <xdr:to>
      <xdr:col>2</xdr:col>
      <xdr:colOff>1208880</xdr:colOff>
      <xdr:row>45</xdr:row>
      <xdr:rowOff>1313280</xdr:rowOff>
    </xdr:to>
    <xdr:pic>
      <xdr:nvPicPr>
        <xdr:cNvPr id="1322" name="图片 37" descr="2"/>
        <xdr:cNvPicPr/>
      </xdr:nvPicPr>
      <xdr:blipFill>
        <a:blip r:embed="rId58"/>
        <a:stretch/>
      </xdr:blipFill>
      <xdr:spPr>
        <a:xfrm>
          <a:off x="5605920" y="44403120"/>
          <a:ext cx="1170720" cy="1166400"/>
        </a:xfrm>
        <a:prstGeom prst="rect">
          <a:avLst/>
        </a:prstGeom>
        <a:noFill/>
        <a:ln w="9525">
          <a:noFill/>
        </a:ln>
      </xdr:spPr>
    </xdr:pic>
    <xdr:clientData/>
  </xdr:twoCellAnchor>
  <xdr:twoCellAnchor editAs="oneCell">
    <xdr:from>
      <xdr:col>1</xdr:col>
      <xdr:colOff>38160</xdr:colOff>
      <xdr:row>44</xdr:row>
      <xdr:rowOff>140760</xdr:rowOff>
    </xdr:from>
    <xdr:to>
      <xdr:col>1</xdr:col>
      <xdr:colOff>1208880</xdr:colOff>
      <xdr:row>44</xdr:row>
      <xdr:rowOff>1319040</xdr:rowOff>
    </xdr:to>
    <xdr:pic>
      <xdr:nvPicPr>
        <xdr:cNvPr id="1323" name="图片 41" descr="1"/>
        <xdr:cNvPicPr/>
      </xdr:nvPicPr>
      <xdr:blipFill>
        <a:blip r:embed="rId59"/>
        <a:stretch/>
      </xdr:blipFill>
      <xdr:spPr>
        <a:xfrm>
          <a:off x="4039920" y="42936480"/>
          <a:ext cx="1170720" cy="1178280"/>
        </a:xfrm>
        <a:prstGeom prst="rect">
          <a:avLst/>
        </a:prstGeom>
        <a:noFill/>
        <a:ln w="9525">
          <a:noFill/>
        </a:ln>
      </xdr:spPr>
    </xdr:pic>
    <xdr:clientData/>
  </xdr:twoCellAnchor>
  <xdr:twoCellAnchor editAs="oneCell">
    <xdr:from>
      <xdr:col>2</xdr:col>
      <xdr:colOff>38160</xdr:colOff>
      <xdr:row>44</xdr:row>
      <xdr:rowOff>144000</xdr:rowOff>
    </xdr:from>
    <xdr:to>
      <xdr:col>2</xdr:col>
      <xdr:colOff>1208880</xdr:colOff>
      <xdr:row>44</xdr:row>
      <xdr:rowOff>1315440</xdr:rowOff>
    </xdr:to>
    <xdr:pic>
      <xdr:nvPicPr>
        <xdr:cNvPr id="1324" name="图片 45" descr="8"/>
        <xdr:cNvPicPr/>
      </xdr:nvPicPr>
      <xdr:blipFill>
        <a:blip r:embed="rId60"/>
        <a:stretch/>
      </xdr:blipFill>
      <xdr:spPr>
        <a:xfrm>
          <a:off x="5605920" y="42939720"/>
          <a:ext cx="1170720" cy="1171440"/>
        </a:xfrm>
        <a:prstGeom prst="rect">
          <a:avLst/>
        </a:prstGeom>
        <a:noFill/>
        <a:ln w="9525">
          <a:noFill/>
        </a:ln>
      </xdr:spPr>
    </xdr:pic>
    <xdr:clientData/>
  </xdr:twoCellAnchor>
  <xdr:twoCellAnchor editAs="oneCell">
    <xdr:from>
      <xdr:col>1</xdr:col>
      <xdr:colOff>38160</xdr:colOff>
      <xdr:row>5</xdr:row>
      <xdr:rowOff>146160</xdr:rowOff>
    </xdr:from>
    <xdr:to>
      <xdr:col>1</xdr:col>
      <xdr:colOff>1208880</xdr:colOff>
      <xdr:row>5</xdr:row>
      <xdr:rowOff>1313640</xdr:rowOff>
    </xdr:to>
    <xdr:pic>
      <xdr:nvPicPr>
        <xdr:cNvPr id="1325" name="图片 33" descr="1"/>
        <xdr:cNvPicPr/>
      </xdr:nvPicPr>
      <xdr:blipFill>
        <a:blip r:embed="rId61"/>
        <a:stretch/>
      </xdr:blipFill>
      <xdr:spPr>
        <a:xfrm>
          <a:off x="4039920" y="3003840"/>
          <a:ext cx="1170720" cy="1167480"/>
        </a:xfrm>
        <a:prstGeom prst="rect">
          <a:avLst/>
        </a:prstGeom>
        <a:noFill/>
        <a:ln w="9525">
          <a:noFill/>
        </a:ln>
      </xdr:spPr>
    </xdr:pic>
    <xdr:clientData/>
  </xdr:twoCellAnchor>
  <xdr:twoCellAnchor editAs="oneCell">
    <xdr:from>
      <xdr:col>2</xdr:col>
      <xdr:colOff>38160</xdr:colOff>
      <xdr:row>5</xdr:row>
      <xdr:rowOff>143640</xdr:rowOff>
    </xdr:from>
    <xdr:to>
      <xdr:col>2</xdr:col>
      <xdr:colOff>1208880</xdr:colOff>
      <xdr:row>5</xdr:row>
      <xdr:rowOff>1316160</xdr:rowOff>
    </xdr:to>
    <xdr:pic>
      <xdr:nvPicPr>
        <xdr:cNvPr id="1326" name="图片 46" descr="9"/>
        <xdr:cNvPicPr/>
      </xdr:nvPicPr>
      <xdr:blipFill>
        <a:blip r:embed="rId62"/>
        <a:stretch/>
      </xdr:blipFill>
      <xdr:spPr>
        <a:xfrm>
          <a:off x="5605920" y="3001320"/>
          <a:ext cx="1170720" cy="1172520"/>
        </a:xfrm>
        <a:prstGeom prst="rect">
          <a:avLst/>
        </a:prstGeom>
        <a:noFill/>
        <a:ln w="9525">
          <a:noFill/>
        </a:ln>
      </xdr:spPr>
    </xdr:pic>
    <xdr:clientData/>
  </xdr:twoCellAnchor>
  <xdr:twoCellAnchor editAs="oneCell">
    <xdr:from>
      <xdr:col>1</xdr:col>
      <xdr:colOff>38160</xdr:colOff>
      <xdr:row>6</xdr:row>
      <xdr:rowOff>143280</xdr:rowOff>
    </xdr:from>
    <xdr:to>
      <xdr:col>1</xdr:col>
      <xdr:colOff>1208880</xdr:colOff>
      <xdr:row>6</xdr:row>
      <xdr:rowOff>1316520</xdr:rowOff>
    </xdr:to>
    <xdr:pic>
      <xdr:nvPicPr>
        <xdr:cNvPr id="1327" name="图片 48" descr="1"/>
        <xdr:cNvPicPr/>
      </xdr:nvPicPr>
      <xdr:blipFill>
        <a:blip r:embed="rId63"/>
        <a:stretch/>
      </xdr:blipFill>
      <xdr:spPr>
        <a:xfrm>
          <a:off x="4039920" y="4461120"/>
          <a:ext cx="1170720" cy="1173240"/>
        </a:xfrm>
        <a:prstGeom prst="rect">
          <a:avLst/>
        </a:prstGeom>
        <a:noFill/>
        <a:ln w="9525">
          <a:noFill/>
        </a:ln>
      </xdr:spPr>
    </xdr:pic>
    <xdr:clientData/>
  </xdr:twoCellAnchor>
  <xdr:twoCellAnchor editAs="oneCell">
    <xdr:from>
      <xdr:col>2</xdr:col>
      <xdr:colOff>38160</xdr:colOff>
      <xdr:row>6</xdr:row>
      <xdr:rowOff>144000</xdr:rowOff>
    </xdr:from>
    <xdr:to>
      <xdr:col>2</xdr:col>
      <xdr:colOff>1208880</xdr:colOff>
      <xdr:row>6</xdr:row>
      <xdr:rowOff>1315440</xdr:rowOff>
    </xdr:to>
    <xdr:pic>
      <xdr:nvPicPr>
        <xdr:cNvPr id="1328" name="图片 51" descr="9"/>
        <xdr:cNvPicPr/>
      </xdr:nvPicPr>
      <xdr:blipFill>
        <a:blip r:embed="rId64"/>
        <a:stretch/>
      </xdr:blipFill>
      <xdr:spPr>
        <a:xfrm>
          <a:off x="5605920" y="4461840"/>
          <a:ext cx="1170720" cy="1171440"/>
        </a:xfrm>
        <a:prstGeom prst="rect">
          <a:avLst/>
        </a:prstGeom>
        <a:noFill/>
        <a:ln w="9525">
          <a:noFill/>
        </a:ln>
      </xdr:spPr>
    </xdr:pic>
    <xdr:clientData/>
  </xdr:twoCellAnchor>
  <xdr:twoCellAnchor editAs="oneCell">
    <xdr:from>
      <xdr:col>1</xdr:col>
      <xdr:colOff>38160</xdr:colOff>
      <xdr:row>7</xdr:row>
      <xdr:rowOff>140760</xdr:rowOff>
    </xdr:from>
    <xdr:to>
      <xdr:col>1</xdr:col>
      <xdr:colOff>1208880</xdr:colOff>
      <xdr:row>7</xdr:row>
      <xdr:rowOff>1319040</xdr:rowOff>
    </xdr:to>
    <xdr:pic>
      <xdr:nvPicPr>
        <xdr:cNvPr id="1329" name="图片 66" descr="1"/>
        <xdr:cNvPicPr/>
      </xdr:nvPicPr>
      <xdr:blipFill>
        <a:blip r:embed="rId65"/>
        <a:stretch/>
      </xdr:blipFill>
      <xdr:spPr>
        <a:xfrm>
          <a:off x="4039920" y="5919120"/>
          <a:ext cx="1170720" cy="1178280"/>
        </a:xfrm>
        <a:prstGeom prst="rect">
          <a:avLst/>
        </a:prstGeom>
        <a:noFill/>
        <a:ln w="9525">
          <a:noFill/>
        </a:ln>
      </xdr:spPr>
    </xdr:pic>
    <xdr:clientData/>
  </xdr:twoCellAnchor>
  <xdr:twoCellAnchor editAs="oneCell">
    <xdr:from>
      <xdr:col>2</xdr:col>
      <xdr:colOff>38160</xdr:colOff>
      <xdr:row>7</xdr:row>
      <xdr:rowOff>143640</xdr:rowOff>
    </xdr:from>
    <xdr:to>
      <xdr:col>2</xdr:col>
      <xdr:colOff>1208880</xdr:colOff>
      <xdr:row>7</xdr:row>
      <xdr:rowOff>1316160</xdr:rowOff>
    </xdr:to>
    <xdr:pic>
      <xdr:nvPicPr>
        <xdr:cNvPr id="1330" name="图片 67" descr="9"/>
        <xdr:cNvPicPr/>
      </xdr:nvPicPr>
      <xdr:blipFill>
        <a:blip r:embed="rId66"/>
        <a:stretch/>
      </xdr:blipFill>
      <xdr:spPr>
        <a:xfrm>
          <a:off x="5605920" y="5922000"/>
          <a:ext cx="1170720" cy="1172520"/>
        </a:xfrm>
        <a:prstGeom prst="rect">
          <a:avLst/>
        </a:prstGeom>
        <a:noFill/>
        <a:ln w="9525">
          <a:noFill/>
        </a:ln>
      </xdr:spPr>
    </xdr:pic>
    <xdr:clientData/>
  </xdr:twoCellAnchor>
  <xdr:twoCellAnchor editAs="oneCell">
    <xdr:from>
      <xdr:col>1</xdr:col>
      <xdr:colOff>38160</xdr:colOff>
      <xdr:row>8</xdr:row>
      <xdr:rowOff>143280</xdr:rowOff>
    </xdr:from>
    <xdr:to>
      <xdr:col>1</xdr:col>
      <xdr:colOff>1208880</xdr:colOff>
      <xdr:row>8</xdr:row>
      <xdr:rowOff>1316520</xdr:rowOff>
    </xdr:to>
    <xdr:pic>
      <xdr:nvPicPr>
        <xdr:cNvPr id="1331" name="图片 68" descr="1"/>
        <xdr:cNvPicPr/>
      </xdr:nvPicPr>
      <xdr:blipFill>
        <a:blip r:embed="rId67"/>
        <a:stretch/>
      </xdr:blipFill>
      <xdr:spPr>
        <a:xfrm>
          <a:off x="4039920" y="7382160"/>
          <a:ext cx="1170720" cy="1173240"/>
        </a:xfrm>
        <a:prstGeom prst="rect">
          <a:avLst/>
        </a:prstGeom>
        <a:noFill/>
        <a:ln w="9525">
          <a:noFill/>
        </a:ln>
      </xdr:spPr>
    </xdr:pic>
    <xdr:clientData/>
  </xdr:twoCellAnchor>
  <xdr:twoCellAnchor editAs="oneCell">
    <xdr:from>
      <xdr:col>2</xdr:col>
      <xdr:colOff>38160</xdr:colOff>
      <xdr:row>8</xdr:row>
      <xdr:rowOff>146160</xdr:rowOff>
    </xdr:from>
    <xdr:to>
      <xdr:col>2</xdr:col>
      <xdr:colOff>1208880</xdr:colOff>
      <xdr:row>8</xdr:row>
      <xdr:rowOff>1313640</xdr:rowOff>
    </xdr:to>
    <xdr:pic>
      <xdr:nvPicPr>
        <xdr:cNvPr id="1332" name="图片 73" descr="9"/>
        <xdr:cNvPicPr/>
      </xdr:nvPicPr>
      <xdr:blipFill>
        <a:blip r:embed="rId68"/>
        <a:stretch/>
      </xdr:blipFill>
      <xdr:spPr>
        <a:xfrm>
          <a:off x="5605920" y="7385040"/>
          <a:ext cx="1170720" cy="1167480"/>
        </a:xfrm>
        <a:prstGeom prst="rect">
          <a:avLst/>
        </a:prstGeom>
        <a:noFill/>
        <a:ln w="9525">
          <a:noFill/>
        </a:ln>
      </xdr:spPr>
    </xdr:pic>
    <xdr:clientData/>
  </xdr:twoCellAnchor>
  <xdr:twoCellAnchor editAs="oneCell">
    <xdr:from>
      <xdr:col>1</xdr:col>
      <xdr:colOff>38160</xdr:colOff>
      <xdr:row>4</xdr:row>
      <xdr:rowOff>146160</xdr:rowOff>
    </xdr:from>
    <xdr:to>
      <xdr:col>1</xdr:col>
      <xdr:colOff>1208880</xdr:colOff>
      <xdr:row>4</xdr:row>
      <xdr:rowOff>1313640</xdr:rowOff>
    </xdr:to>
    <xdr:pic>
      <xdr:nvPicPr>
        <xdr:cNvPr id="1333" name="图片 74" descr="1"/>
        <xdr:cNvPicPr/>
      </xdr:nvPicPr>
      <xdr:blipFill>
        <a:blip r:embed="rId69"/>
        <a:stretch/>
      </xdr:blipFill>
      <xdr:spPr>
        <a:xfrm>
          <a:off x="4039920" y="1543320"/>
          <a:ext cx="1170720" cy="1167480"/>
        </a:xfrm>
        <a:prstGeom prst="rect">
          <a:avLst/>
        </a:prstGeom>
        <a:noFill/>
        <a:ln w="9525">
          <a:noFill/>
        </a:ln>
      </xdr:spPr>
    </xdr:pic>
    <xdr:clientData/>
  </xdr:twoCellAnchor>
  <xdr:twoCellAnchor editAs="oneCell">
    <xdr:from>
      <xdr:col>2</xdr:col>
      <xdr:colOff>38160</xdr:colOff>
      <xdr:row>4</xdr:row>
      <xdr:rowOff>144000</xdr:rowOff>
    </xdr:from>
    <xdr:to>
      <xdr:col>2</xdr:col>
      <xdr:colOff>1208880</xdr:colOff>
      <xdr:row>4</xdr:row>
      <xdr:rowOff>1315440</xdr:rowOff>
    </xdr:to>
    <xdr:pic>
      <xdr:nvPicPr>
        <xdr:cNvPr id="1334" name="图片 75" descr="9"/>
        <xdr:cNvPicPr/>
      </xdr:nvPicPr>
      <xdr:blipFill>
        <a:blip r:embed="rId70"/>
        <a:stretch/>
      </xdr:blipFill>
      <xdr:spPr>
        <a:xfrm>
          <a:off x="5605920" y="1541160"/>
          <a:ext cx="1170720" cy="1171440"/>
        </a:xfrm>
        <a:prstGeom prst="rect">
          <a:avLst/>
        </a:prstGeom>
        <a:noFill/>
        <a:ln w="9525">
          <a:noFill/>
        </a:ln>
      </xdr:spPr>
    </xdr:pic>
    <xdr:clientData/>
  </xdr:twoCellAnchor>
  <xdr:twoCellAnchor editAs="oneCell">
    <xdr:from>
      <xdr:col>1</xdr:col>
      <xdr:colOff>38160</xdr:colOff>
      <xdr:row>39</xdr:row>
      <xdr:rowOff>140400</xdr:rowOff>
    </xdr:from>
    <xdr:to>
      <xdr:col>1</xdr:col>
      <xdr:colOff>1208880</xdr:colOff>
      <xdr:row>39</xdr:row>
      <xdr:rowOff>1319400</xdr:rowOff>
    </xdr:to>
    <xdr:pic>
      <xdr:nvPicPr>
        <xdr:cNvPr id="1335" name="图片 6" descr="2"/>
        <xdr:cNvPicPr/>
      </xdr:nvPicPr>
      <xdr:blipFill>
        <a:blip r:embed="rId71"/>
        <a:stretch/>
      </xdr:blipFill>
      <xdr:spPr>
        <a:xfrm>
          <a:off x="4039920" y="38135520"/>
          <a:ext cx="1170720" cy="1179000"/>
        </a:xfrm>
        <a:prstGeom prst="rect">
          <a:avLst/>
        </a:prstGeom>
        <a:noFill/>
        <a:ln w="9525">
          <a:noFill/>
        </a:ln>
      </xdr:spPr>
    </xdr:pic>
    <xdr:clientData/>
  </xdr:twoCellAnchor>
  <xdr:twoCellAnchor editAs="oneCell">
    <xdr:from>
      <xdr:col>2</xdr:col>
      <xdr:colOff>38160</xdr:colOff>
      <xdr:row>39</xdr:row>
      <xdr:rowOff>146880</xdr:rowOff>
    </xdr:from>
    <xdr:to>
      <xdr:col>2</xdr:col>
      <xdr:colOff>1208880</xdr:colOff>
      <xdr:row>39</xdr:row>
      <xdr:rowOff>1313280</xdr:rowOff>
    </xdr:to>
    <xdr:pic>
      <xdr:nvPicPr>
        <xdr:cNvPr id="1336" name="图片 19" descr="10"/>
        <xdr:cNvPicPr/>
      </xdr:nvPicPr>
      <xdr:blipFill>
        <a:blip r:embed="rId72"/>
        <a:stretch/>
      </xdr:blipFill>
      <xdr:spPr>
        <a:xfrm>
          <a:off x="5605920" y="38142000"/>
          <a:ext cx="1170720" cy="1166400"/>
        </a:xfrm>
        <a:prstGeom prst="rect">
          <a:avLst/>
        </a:prstGeom>
        <a:noFill/>
        <a:ln w="9525">
          <a:noFill/>
        </a:ln>
      </xdr:spPr>
    </xdr:pic>
    <xdr:clientData/>
  </xdr:twoCellAnchor>
  <xdr:twoCellAnchor editAs="oneCell">
    <xdr:from>
      <xdr:col>1</xdr:col>
      <xdr:colOff>38160</xdr:colOff>
      <xdr:row>38</xdr:row>
      <xdr:rowOff>140760</xdr:rowOff>
    </xdr:from>
    <xdr:to>
      <xdr:col>1</xdr:col>
      <xdr:colOff>1208880</xdr:colOff>
      <xdr:row>38</xdr:row>
      <xdr:rowOff>1319040</xdr:rowOff>
    </xdr:to>
    <xdr:pic>
      <xdr:nvPicPr>
        <xdr:cNvPr id="1337" name="图片 1" descr="1"/>
        <xdr:cNvPicPr/>
      </xdr:nvPicPr>
      <xdr:blipFill>
        <a:blip r:embed="rId73"/>
        <a:stretch/>
      </xdr:blipFill>
      <xdr:spPr>
        <a:xfrm>
          <a:off x="4039920" y="36675360"/>
          <a:ext cx="1170720" cy="1178280"/>
        </a:xfrm>
        <a:prstGeom prst="rect">
          <a:avLst/>
        </a:prstGeom>
        <a:noFill/>
        <a:ln w="9525">
          <a:noFill/>
        </a:ln>
      </xdr:spPr>
    </xdr:pic>
    <xdr:clientData/>
  </xdr:twoCellAnchor>
  <xdr:twoCellAnchor editAs="oneCell">
    <xdr:from>
      <xdr:col>2</xdr:col>
      <xdr:colOff>38160</xdr:colOff>
      <xdr:row>38</xdr:row>
      <xdr:rowOff>144000</xdr:rowOff>
    </xdr:from>
    <xdr:to>
      <xdr:col>2</xdr:col>
      <xdr:colOff>1208880</xdr:colOff>
      <xdr:row>38</xdr:row>
      <xdr:rowOff>1315440</xdr:rowOff>
    </xdr:to>
    <xdr:pic>
      <xdr:nvPicPr>
        <xdr:cNvPr id="1338" name="图片 22" descr="9"/>
        <xdr:cNvPicPr/>
      </xdr:nvPicPr>
      <xdr:blipFill>
        <a:blip r:embed="rId74"/>
        <a:stretch/>
      </xdr:blipFill>
      <xdr:spPr>
        <a:xfrm>
          <a:off x="5605920" y="36678600"/>
          <a:ext cx="1170720" cy="1171440"/>
        </a:xfrm>
        <a:prstGeom prst="rect">
          <a:avLst/>
        </a:prstGeom>
        <a:noFill/>
        <a:ln w="9525">
          <a:noFill/>
        </a:ln>
      </xdr:spPr>
    </xdr:pic>
    <xdr:clientData/>
  </xdr:twoCellAnchor>
  <xdr:twoCellAnchor editAs="oneCell">
    <xdr:from>
      <xdr:col>1</xdr:col>
      <xdr:colOff>38160</xdr:colOff>
      <xdr:row>30</xdr:row>
      <xdr:rowOff>140760</xdr:rowOff>
    </xdr:from>
    <xdr:to>
      <xdr:col>1</xdr:col>
      <xdr:colOff>1208880</xdr:colOff>
      <xdr:row>30</xdr:row>
      <xdr:rowOff>1319040</xdr:rowOff>
    </xdr:to>
    <xdr:pic>
      <xdr:nvPicPr>
        <xdr:cNvPr id="1339" name="图片 291" descr="4"/>
        <xdr:cNvPicPr/>
      </xdr:nvPicPr>
      <xdr:blipFill>
        <a:blip r:embed="rId75"/>
        <a:stretch/>
      </xdr:blipFill>
      <xdr:spPr>
        <a:xfrm>
          <a:off x="4039920" y="30014280"/>
          <a:ext cx="1170720" cy="1178280"/>
        </a:xfrm>
        <a:prstGeom prst="rect">
          <a:avLst/>
        </a:prstGeom>
        <a:noFill/>
        <a:ln w="9525">
          <a:noFill/>
        </a:ln>
      </xdr:spPr>
    </xdr:pic>
    <xdr:clientData/>
  </xdr:twoCellAnchor>
  <xdr:twoCellAnchor editAs="oneCell">
    <xdr:from>
      <xdr:col>2</xdr:col>
      <xdr:colOff>38160</xdr:colOff>
      <xdr:row>30</xdr:row>
      <xdr:rowOff>144360</xdr:rowOff>
    </xdr:from>
    <xdr:to>
      <xdr:col>2</xdr:col>
      <xdr:colOff>1208880</xdr:colOff>
      <xdr:row>30</xdr:row>
      <xdr:rowOff>1315080</xdr:rowOff>
    </xdr:to>
    <xdr:pic>
      <xdr:nvPicPr>
        <xdr:cNvPr id="1340" name="图片 3" descr="2"/>
        <xdr:cNvPicPr/>
      </xdr:nvPicPr>
      <xdr:blipFill>
        <a:blip r:embed="rId76"/>
        <a:stretch/>
      </xdr:blipFill>
      <xdr:spPr>
        <a:xfrm>
          <a:off x="5605920" y="30017880"/>
          <a:ext cx="1170720" cy="1170720"/>
        </a:xfrm>
        <a:prstGeom prst="rect">
          <a:avLst/>
        </a:prstGeom>
        <a:noFill/>
        <a:ln w="0">
          <a:noFill/>
        </a:ln>
      </xdr:spPr>
    </xdr:pic>
    <xdr:clientData/>
  </xdr:twoCellAnchor>
  <xdr:twoCellAnchor editAs="oneCell">
    <xdr:from>
      <xdr:col>1</xdr:col>
      <xdr:colOff>38160</xdr:colOff>
      <xdr:row>43</xdr:row>
      <xdr:rowOff>142920</xdr:rowOff>
    </xdr:from>
    <xdr:to>
      <xdr:col>1</xdr:col>
      <xdr:colOff>1208880</xdr:colOff>
      <xdr:row>43</xdr:row>
      <xdr:rowOff>1317240</xdr:rowOff>
    </xdr:to>
    <xdr:pic>
      <xdr:nvPicPr>
        <xdr:cNvPr id="1341" name="图片 2" descr="1"/>
        <xdr:cNvPicPr/>
      </xdr:nvPicPr>
      <xdr:blipFill>
        <a:blip r:embed="rId77"/>
        <a:stretch/>
      </xdr:blipFill>
      <xdr:spPr>
        <a:xfrm>
          <a:off x="4039920" y="41478120"/>
          <a:ext cx="1170720" cy="1174320"/>
        </a:xfrm>
        <a:prstGeom prst="rect">
          <a:avLst/>
        </a:prstGeom>
        <a:noFill/>
        <a:ln w="0">
          <a:noFill/>
        </a:ln>
      </xdr:spPr>
    </xdr:pic>
    <xdr:clientData/>
  </xdr:twoCellAnchor>
  <xdr:twoCellAnchor editAs="oneCell">
    <xdr:from>
      <xdr:col>2</xdr:col>
      <xdr:colOff>38160</xdr:colOff>
      <xdr:row>43</xdr:row>
      <xdr:rowOff>147240</xdr:rowOff>
    </xdr:from>
    <xdr:to>
      <xdr:col>2</xdr:col>
      <xdr:colOff>1208880</xdr:colOff>
      <xdr:row>43</xdr:row>
      <xdr:rowOff>1312200</xdr:rowOff>
    </xdr:to>
    <xdr:pic>
      <xdr:nvPicPr>
        <xdr:cNvPr id="1342" name="图片 4" descr="8"/>
        <xdr:cNvPicPr/>
      </xdr:nvPicPr>
      <xdr:blipFill>
        <a:blip r:embed="rId78"/>
        <a:stretch/>
      </xdr:blipFill>
      <xdr:spPr>
        <a:xfrm>
          <a:off x="5605920" y="41482440"/>
          <a:ext cx="1170720" cy="1164960"/>
        </a:xfrm>
        <a:prstGeom prst="rect">
          <a:avLst/>
        </a:prstGeom>
        <a:noFill/>
        <a:ln w="0">
          <a:noFill/>
        </a:ln>
      </xdr:spPr>
    </xdr:pic>
    <xdr:clientData/>
  </xdr:twoCellAnchor>
  <xdr:twoCellAnchor editAs="oneCell">
    <xdr:from>
      <xdr:col>1</xdr:col>
      <xdr:colOff>38160</xdr:colOff>
      <xdr:row>15</xdr:row>
      <xdr:rowOff>176040</xdr:rowOff>
    </xdr:from>
    <xdr:to>
      <xdr:col>1</xdr:col>
      <xdr:colOff>1208880</xdr:colOff>
      <xdr:row>16</xdr:row>
      <xdr:rowOff>585000</xdr:rowOff>
    </xdr:to>
    <xdr:pic>
      <xdr:nvPicPr>
        <xdr:cNvPr id="1343" name="图片 5" descr="BL25D_03"/>
        <xdr:cNvPicPr/>
      </xdr:nvPicPr>
      <xdr:blipFill>
        <a:blip r:embed="rId79"/>
        <a:stretch/>
      </xdr:blipFill>
      <xdr:spPr>
        <a:xfrm>
          <a:off x="4039920" y="15127200"/>
          <a:ext cx="1170720" cy="1170720"/>
        </a:xfrm>
        <a:prstGeom prst="rect">
          <a:avLst/>
        </a:prstGeom>
        <a:noFill/>
        <a:ln w="0">
          <a:noFill/>
        </a:ln>
      </xdr:spPr>
    </xdr:pic>
    <xdr:clientData/>
  </xdr:twoCellAnchor>
  <xdr:twoCellAnchor editAs="oneCell">
    <xdr:from>
      <xdr:col>2</xdr:col>
      <xdr:colOff>38160</xdr:colOff>
      <xdr:row>15</xdr:row>
      <xdr:rowOff>176040</xdr:rowOff>
    </xdr:from>
    <xdr:to>
      <xdr:col>2</xdr:col>
      <xdr:colOff>1208880</xdr:colOff>
      <xdr:row>16</xdr:row>
      <xdr:rowOff>585000</xdr:rowOff>
    </xdr:to>
    <xdr:pic>
      <xdr:nvPicPr>
        <xdr:cNvPr id="1344" name="图片 6" descr="BL25D_10"/>
        <xdr:cNvPicPr/>
      </xdr:nvPicPr>
      <xdr:blipFill>
        <a:blip r:embed="rId80"/>
        <a:stretch/>
      </xdr:blipFill>
      <xdr:spPr>
        <a:xfrm>
          <a:off x="5605920" y="15127200"/>
          <a:ext cx="1170720" cy="1170720"/>
        </a:xfrm>
        <a:prstGeom prst="rect">
          <a:avLst/>
        </a:prstGeom>
        <a:noFill/>
        <a:ln w="0">
          <a:noFill/>
        </a:ln>
      </xdr:spPr>
    </xdr:pic>
    <xdr:clientData/>
  </xdr:twoCellAnchor>
  <xdr:twoCellAnchor editAs="oneCell">
    <xdr:from>
      <xdr:col>1</xdr:col>
      <xdr:colOff>38160</xdr:colOff>
      <xdr:row>17</xdr:row>
      <xdr:rowOff>176400</xdr:rowOff>
    </xdr:from>
    <xdr:to>
      <xdr:col>1</xdr:col>
      <xdr:colOff>1208880</xdr:colOff>
      <xdr:row>18</xdr:row>
      <xdr:rowOff>584640</xdr:rowOff>
    </xdr:to>
    <xdr:pic>
      <xdr:nvPicPr>
        <xdr:cNvPr id="1345" name="图片 7" descr="BL25C_03"/>
        <xdr:cNvPicPr/>
      </xdr:nvPicPr>
      <xdr:blipFill>
        <a:blip r:embed="rId81"/>
        <a:stretch/>
      </xdr:blipFill>
      <xdr:spPr>
        <a:xfrm>
          <a:off x="4039920" y="16651440"/>
          <a:ext cx="1170720" cy="1170360"/>
        </a:xfrm>
        <a:prstGeom prst="rect">
          <a:avLst/>
        </a:prstGeom>
        <a:noFill/>
        <a:ln w="0">
          <a:noFill/>
        </a:ln>
      </xdr:spPr>
    </xdr:pic>
    <xdr:clientData/>
  </xdr:twoCellAnchor>
  <xdr:twoCellAnchor editAs="oneCell">
    <xdr:from>
      <xdr:col>2</xdr:col>
      <xdr:colOff>38160</xdr:colOff>
      <xdr:row>17</xdr:row>
      <xdr:rowOff>176040</xdr:rowOff>
    </xdr:from>
    <xdr:to>
      <xdr:col>2</xdr:col>
      <xdr:colOff>1208880</xdr:colOff>
      <xdr:row>18</xdr:row>
      <xdr:rowOff>584640</xdr:rowOff>
    </xdr:to>
    <xdr:pic>
      <xdr:nvPicPr>
        <xdr:cNvPr id="1346" name="图片 8" descr="BL25C_10"/>
        <xdr:cNvPicPr/>
      </xdr:nvPicPr>
      <xdr:blipFill>
        <a:blip r:embed="rId82"/>
        <a:stretch/>
      </xdr:blipFill>
      <xdr:spPr>
        <a:xfrm>
          <a:off x="5605920" y="16651080"/>
          <a:ext cx="1170720" cy="1170720"/>
        </a:xfrm>
        <a:prstGeom prst="rect">
          <a:avLst/>
        </a:prstGeom>
        <a:noFill/>
        <a:ln w="0">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38160</xdr:colOff>
      <xdr:row>28</xdr:row>
      <xdr:rowOff>141120</xdr:rowOff>
    </xdr:from>
    <xdr:to>
      <xdr:col>1</xdr:col>
      <xdr:colOff>1208880</xdr:colOff>
      <xdr:row>28</xdr:row>
      <xdr:rowOff>1318320</xdr:rowOff>
    </xdr:to>
    <xdr:pic>
      <xdr:nvPicPr>
        <xdr:cNvPr id="1347" name="图片 5" descr="C:/Users/Ray/AppData/Local/Temp/picturecompress_20210720164446/output_5.jpgoutput_5"/>
        <xdr:cNvPicPr/>
      </xdr:nvPicPr>
      <xdr:blipFill>
        <a:blip r:embed="rId1"/>
        <a:stretch/>
      </xdr:blipFill>
      <xdr:spPr>
        <a:xfrm>
          <a:off x="4039920" y="31002120"/>
          <a:ext cx="1170720" cy="1177200"/>
        </a:xfrm>
        <a:prstGeom prst="rect">
          <a:avLst/>
        </a:prstGeom>
        <a:noFill/>
        <a:ln w="9525">
          <a:noFill/>
        </a:ln>
      </xdr:spPr>
    </xdr:pic>
    <xdr:clientData/>
  </xdr:twoCellAnchor>
  <xdr:twoCellAnchor editAs="oneCell">
    <xdr:from>
      <xdr:col>2</xdr:col>
      <xdr:colOff>38160</xdr:colOff>
      <xdr:row>28</xdr:row>
      <xdr:rowOff>141120</xdr:rowOff>
    </xdr:from>
    <xdr:to>
      <xdr:col>2</xdr:col>
      <xdr:colOff>1208880</xdr:colOff>
      <xdr:row>28</xdr:row>
      <xdr:rowOff>1318320</xdr:rowOff>
    </xdr:to>
    <xdr:pic>
      <xdr:nvPicPr>
        <xdr:cNvPr id="1348" name="图片 6" descr="C:/Users/Ray/AppData/Local/Temp/picturecompress_20210720164446/output_6.jpgoutput_6"/>
        <xdr:cNvPicPr/>
      </xdr:nvPicPr>
      <xdr:blipFill>
        <a:blip r:embed="rId2"/>
        <a:stretch/>
      </xdr:blipFill>
      <xdr:spPr>
        <a:xfrm>
          <a:off x="5605920" y="31002120"/>
          <a:ext cx="1170720" cy="1177200"/>
        </a:xfrm>
        <a:prstGeom prst="rect">
          <a:avLst/>
        </a:prstGeom>
        <a:noFill/>
        <a:ln w="9525">
          <a:noFill/>
        </a:ln>
      </xdr:spPr>
    </xdr:pic>
    <xdr:clientData/>
  </xdr:twoCellAnchor>
  <xdr:twoCellAnchor editAs="oneCell">
    <xdr:from>
      <xdr:col>2</xdr:col>
      <xdr:colOff>38160</xdr:colOff>
      <xdr:row>26</xdr:row>
      <xdr:rowOff>146880</xdr:rowOff>
    </xdr:from>
    <xdr:to>
      <xdr:col>2</xdr:col>
      <xdr:colOff>1208880</xdr:colOff>
      <xdr:row>26</xdr:row>
      <xdr:rowOff>1312920</xdr:rowOff>
    </xdr:to>
    <xdr:pic>
      <xdr:nvPicPr>
        <xdr:cNvPr id="1349" name="图片 5" descr="C:/Users/Ray/AppData/Local/Temp/picturecompress_20210720164446/output_7.jpgoutput_7"/>
        <xdr:cNvPicPr/>
      </xdr:nvPicPr>
      <xdr:blipFill>
        <a:blip r:embed="rId3"/>
        <a:stretch/>
      </xdr:blipFill>
      <xdr:spPr>
        <a:xfrm>
          <a:off x="5605920" y="28086840"/>
          <a:ext cx="1170720" cy="1166040"/>
        </a:xfrm>
        <a:prstGeom prst="rect">
          <a:avLst/>
        </a:prstGeom>
        <a:noFill/>
        <a:ln w="9525">
          <a:noFill/>
        </a:ln>
      </xdr:spPr>
    </xdr:pic>
    <xdr:clientData/>
  </xdr:twoCellAnchor>
  <xdr:twoCellAnchor editAs="oneCell">
    <xdr:from>
      <xdr:col>1</xdr:col>
      <xdr:colOff>38160</xdr:colOff>
      <xdr:row>26</xdr:row>
      <xdr:rowOff>143640</xdr:rowOff>
    </xdr:from>
    <xdr:to>
      <xdr:col>1</xdr:col>
      <xdr:colOff>1208880</xdr:colOff>
      <xdr:row>26</xdr:row>
      <xdr:rowOff>1316160</xdr:rowOff>
    </xdr:to>
    <xdr:pic>
      <xdr:nvPicPr>
        <xdr:cNvPr id="1350" name="图片 6" descr="C:/Users/Ray/AppData/Local/Temp/picturecompress_20210720164446/output_8.jpgoutput_8"/>
        <xdr:cNvPicPr/>
      </xdr:nvPicPr>
      <xdr:blipFill>
        <a:blip r:embed="rId4"/>
        <a:stretch/>
      </xdr:blipFill>
      <xdr:spPr>
        <a:xfrm>
          <a:off x="4039920" y="28083600"/>
          <a:ext cx="1170720" cy="1172520"/>
        </a:xfrm>
        <a:prstGeom prst="rect">
          <a:avLst/>
        </a:prstGeom>
        <a:noFill/>
        <a:ln w="9525">
          <a:noFill/>
        </a:ln>
      </xdr:spPr>
    </xdr:pic>
    <xdr:clientData/>
  </xdr:twoCellAnchor>
  <xdr:twoCellAnchor editAs="oneCell">
    <xdr:from>
      <xdr:col>1</xdr:col>
      <xdr:colOff>38160</xdr:colOff>
      <xdr:row>27</xdr:row>
      <xdr:rowOff>144000</xdr:rowOff>
    </xdr:from>
    <xdr:to>
      <xdr:col>1</xdr:col>
      <xdr:colOff>1208880</xdr:colOff>
      <xdr:row>27</xdr:row>
      <xdr:rowOff>1315440</xdr:rowOff>
    </xdr:to>
    <xdr:pic>
      <xdr:nvPicPr>
        <xdr:cNvPr id="1351" name="图片 1" descr="C:/Users/Ray/AppData/Local/Temp/picturecompress_20210720164446/output_9.jpgoutput_9"/>
        <xdr:cNvPicPr/>
      </xdr:nvPicPr>
      <xdr:blipFill>
        <a:blip r:embed="rId5"/>
        <a:stretch/>
      </xdr:blipFill>
      <xdr:spPr>
        <a:xfrm>
          <a:off x="4039920" y="29544480"/>
          <a:ext cx="1170720" cy="1171440"/>
        </a:xfrm>
        <a:prstGeom prst="rect">
          <a:avLst/>
        </a:prstGeom>
        <a:noFill/>
        <a:ln w="9525">
          <a:noFill/>
        </a:ln>
      </xdr:spPr>
    </xdr:pic>
    <xdr:clientData/>
  </xdr:twoCellAnchor>
  <xdr:twoCellAnchor editAs="oneCell">
    <xdr:from>
      <xdr:col>2</xdr:col>
      <xdr:colOff>38160</xdr:colOff>
      <xdr:row>27</xdr:row>
      <xdr:rowOff>144000</xdr:rowOff>
    </xdr:from>
    <xdr:to>
      <xdr:col>2</xdr:col>
      <xdr:colOff>1208880</xdr:colOff>
      <xdr:row>27</xdr:row>
      <xdr:rowOff>1315440</xdr:rowOff>
    </xdr:to>
    <xdr:pic>
      <xdr:nvPicPr>
        <xdr:cNvPr id="1352" name="图片 2" descr="C:/Users/Ray/AppData/Local/Temp/picturecompress_20210720164446/output_10.jpgoutput_10"/>
        <xdr:cNvPicPr/>
      </xdr:nvPicPr>
      <xdr:blipFill>
        <a:blip r:embed="rId6"/>
        <a:stretch/>
      </xdr:blipFill>
      <xdr:spPr>
        <a:xfrm>
          <a:off x="5605920" y="29544480"/>
          <a:ext cx="1170720" cy="1171440"/>
        </a:xfrm>
        <a:prstGeom prst="rect">
          <a:avLst/>
        </a:prstGeom>
        <a:noFill/>
        <a:ln w="9525">
          <a:noFill/>
        </a:ln>
      </xdr:spPr>
    </xdr:pic>
    <xdr:clientData/>
  </xdr:twoCellAnchor>
  <xdr:twoCellAnchor editAs="oneCell">
    <xdr:from>
      <xdr:col>1</xdr:col>
      <xdr:colOff>38160</xdr:colOff>
      <xdr:row>22</xdr:row>
      <xdr:rowOff>143280</xdr:rowOff>
    </xdr:from>
    <xdr:to>
      <xdr:col>1</xdr:col>
      <xdr:colOff>1208880</xdr:colOff>
      <xdr:row>22</xdr:row>
      <xdr:rowOff>1316520</xdr:rowOff>
    </xdr:to>
    <xdr:pic>
      <xdr:nvPicPr>
        <xdr:cNvPr id="1353" name="图片 8" descr="1_副本"/>
        <xdr:cNvPicPr/>
      </xdr:nvPicPr>
      <xdr:blipFill>
        <a:blip r:embed="rId7"/>
        <a:stretch/>
      </xdr:blipFill>
      <xdr:spPr>
        <a:xfrm>
          <a:off x="4039920" y="22241160"/>
          <a:ext cx="1170720" cy="1173240"/>
        </a:xfrm>
        <a:prstGeom prst="rect">
          <a:avLst/>
        </a:prstGeom>
        <a:noFill/>
        <a:ln w="9525">
          <a:noFill/>
        </a:ln>
      </xdr:spPr>
    </xdr:pic>
    <xdr:clientData/>
  </xdr:twoCellAnchor>
  <xdr:twoCellAnchor editAs="oneCell">
    <xdr:from>
      <xdr:col>2</xdr:col>
      <xdr:colOff>38160</xdr:colOff>
      <xdr:row>22</xdr:row>
      <xdr:rowOff>143280</xdr:rowOff>
    </xdr:from>
    <xdr:to>
      <xdr:col>2</xdr:col>
      <xdr:colOff>1208880</xdr:colOff>
      <xdr:row>22</xdr:row>
      <xdr:rowOff>1316520</xdr:rowOff>
    </xdr:to>
    <xdr:pic>
      <xdr:nvPicPr>
        <xdr:cNvPr id="1354" name="图片 9" descr="11_副本"/>
        <xdr:cNvPicPr/>
      </xdr:nvPicPr>
      <xdr:blipFill>
        <a:blip r:embed="rId8"/>
        <a:stretch/>
      </xdr:blipFill>
      <xdr:spPr>
        <a:xfrm>
          <a:off x="5605920" y="22241160"/>
          <a:ext cx="1170720" cy="1173240"/>
        </a:xfrm>
        <a:prstGeom prst="rect">
          <a:avLst/>
        </a:prstGeom>
        <a:noFill/>
        <a:ln w="9525">
          <a:noFill/>
        </a:ln>
      </xdr:spPr>
    </xdr:pic>
    <xdr:clientData/>
  </xdr:twoCellAnchor>
  <xdr:twoCellAnchor editAs="oneCell">
    <xdr:from>
      <xdr:col>1</xdr:col>
      <xdr:colOff>38160</xdr:colOff>
      <xdr:row>21</xdr:row>
      <xdr:rowOff>146880</xdr:rowOff>
    </xdr:from>
    <xdr:to>
      <xdr:col>1</xdr:col>
      <xdr:colOff>1208880</xdr:colOff>
      <xdr:row>21</xdr:row>
      <xdr:rowOff>1313280</xdr:rowOff>
    </xdr:to>
    <xdr:pic>
      <xdr:nvPicPr>
        <xdr:cNvPr id="1355" name="图片 22" descr="3"/>
        <xdr:cNvPicPr/>
      </xdr:nvPicPr>
      <xdr:blipFill>
        <a:blip r:embed="rId9"/>
        <a:stretch/>
      </xdr:blipFill>
      <xdr:spPr>
        <a:xfrm>
          <a:off x="4039920" y="20784240"/>
          <a:ext cx="1170720" cy="1166400"/>
        </a:xfrm>
        <a:prstGeom prst="rect">
          <a:avLst/>
        </a:prstGeom>
        <a:noFill/>
        <a:ln w="9525">
          <a:noFill/>
        </a:ln>
      </xdr:spPr>
    </xdr:pic>
    <xdr:clientData/>
  </xdr:twoCellAnchor>
  <xdr:twoCellAnchor editAs="oneCell">
    <xdr:from>
      <xdr:col>2</xdr:col>
      <xdr:colOff>38160</xdr:colOff>
      <xdr:row>21</xdr:row>
      <xdr:rowOff>143280</xdr:rowOff>
    </xdr:from>
    <xdr:to>
      <xdr:col>2</xdr:col>
      <xdr:colOff>1208880</xdr:colOff>
      <xdr:row>21</xdr:row>
      <xdr:rowOff>1316520</xdr:rowOff>
    </xdr:to>
    <xdr:pic>
      <xdr:nvPicPr>
        <xdr:cNvPr id="1356" name="图片 23" descr="8"/>
        <xdr:cNvPicPr/>
      </xdr:nvPicPr>
      <xdr:blipFill>
        <a:blip r:embed="rId10"/>
        <a:stretch/>
      </xdr:blipFill>
      <xdr:spPr>
        <a:xfrm>
          <a:off x="5605920" y="20780640"/>
          <a:ext cx="1170720" cy="1173240"/>
        </a:xfrm>
        <a:prstGeom prst="rect">
          <a:avLst/>
        </a:prstGeom>
        <a:noFill/>
        <a:ln w="9525">
          <a:noFill/>
        </a:ln>
      </xdr:spPr>
    </xdr:pic>
    <xdr:clientData/>
  </xdr:twoCellAnchor>
  <xdr:twoCellAnchor editAs="oneCell">
    <xdr:from>
      <xdr:col>1</xdr:col>
      <xdr:colOff>38160</xdr:colOff>
      <xdr:row>20</xdr:row>
      <xdr:rowOff>146160</xdr:rowOff>
    </xdr:from>
    <xdr:to>
      <xdr:col>1</xdr:col>
      <xdr:colOff>1208880</xdr:colOff>
      <xdr:row>20</xdr:row>
      <xdr:rowOff>1313640</xdr:rowOff>
    </xdr:to>
    <xdr:pic>
      <xdr:nvPicPr>
        <xdr:cNvPr id="1357" name="图片 19" descr="2"/>
        <xdr:cNvPicPr/>
      </xdr:nvPicPr>
      <xdr:blipFill>
        <a:blip r:embed="rId11"/>
        <a:stretch/>
      </xdr:blipFill>
      <xdr:spPr>
        <a:xfrm>
          <a:off x="4039920" y="19323000"/>
          <a:ext cx="1170720" cy="1167480"/>
        </a:xfrm>
        <a:prstGeom prst="rect">
          <a:avLst/>
        </a:prstGeom>
        <a:noFill/>
        <a:ln w="9525">
          <a:noFill/>
        </a:ln>
      </xdr:spPr>
    </xdr:pic>
    <xdr:clientData/>
  </xdr:twoCellAnchor>
  <xdr:twoCellAnchor editAs="oneCell">
    <xdr:from>
      <xdr:col>1</xdr:col>
      <xdr:colOff>38160</xdr:colOff>
      <xdr:row>19</xdr:row>
      <xdr:rowOff>143640</xdr:rowOff>
    </xdr:from>
    <xdr:to>
      <xdr:col>1</xdr:col>
      <xdr:colOff>1208880</xdr:colOff>
      <xdr:row>19</xdr:row>
      <xdr:rowOff>1316160</xdr:rowOff>
    </xdr:to>
    <xdr:pic>
      <xdr:nvPicPr>
        <xdr:cNvPr id="1358" name="图片 20" descr="4"/>
        <xdr:cNvPicPr/>
      </xdr:nvPicPr>
      <xdr:blipFill>
        <a:blip r:embed="rId12"/>
        <a:stretch/>
      </xdr:blipFill>
      <xdr:spPr>
        <a:xfrm>
          <a:off x="4039920" y="17860320"/>
          <a:ext cx="1170720" cy="1172520"/>
        </a:xfrm>
        <a:prstGeom prst="rect">
          <a:avLst/>
        </a:prstGeom>
        <a:noFill/>
        <a:ln w="9525">
          <a:noFill/>
        </a:ln>
      </xdr:spPr>
    </xdr:pic>
    <xdr:clientData/>
  </xdr:twoCellAnchor>
  <xdr:twoCellAnchor editAs="oneCell">
    <xdr:from>
      <xdr:col>2</xdr:col>
      <xdr:colOff>38160</xdr:colOff>
      <xdr:row>20</xdr:row>
      <xdr:rowOff>143640</xdr:rowOff>
    </xdr:from>
    <xdr:to>
      <xdr:col>2</xdr:col>
      <xdr:colOff>1208880</xdr:colOff>
      <xdr:row>20</xdr:row>
      <xdr:rowOff>1316160</xdr:rowOff>
    </xdr:to>
    <xdr:pic>
      <xdr:nvPicPr>
        <xdr:cNvPr id="1359" name="图片 24" descr="10"/>
        <xdr:cNvPicPr/>
      </xdr:nvPicPr>
      <xdr:blipFill>
        <a:blip r:embed="rId13"/>
        <a:stretch/>
      </xdr:blipFill>
      <xdr:spPr>
        <a:xfrm>
          <a:off x="5605920" y="19320480"/>
          <a:ext cx="1170720" cy="1172520"/>
        </a:xfrm>
        <a:prstGeom prst="rect">
          <a:avLst/>
        </a:prstGeom>
        <a:noFill/>
        <a:ln w="9525">
          <a:noFill/>
        </a:ln>
      </xdr:spPr>
    </xdr:pic>
    <xdr:clientData/>
  </xdr:twoCellAnchor>
  <xdr:twoCellAnchor editAs="oneCell">
    <xdr:from>
      <xdr:col>2</xdr:col>
      <xdr:colOff>38160</xdr:colOff>
      <xdr:row>19</xdr:row>
      <xdr:rowOff>143640</xdr:rowOff>
    </xdr:from>
    <xdr:to>
      <xdr:col>2</xdr:col>
      <xdr:colOff>1208880</xdr:colOff>
      <xdr:row>19</xdr:row>
      <xdr:rowOff>1316160</xdr:rowOff>
    </xdr:to>
    <xdr:pic>
      <xdr:nvPicPr>
        <xdr:cNvPr id="1360" name="图片 25" descr="11"/>
        <xdr:cNvPicPr/>
      </xdr:nvPicPr>
      <xdr:blipFill>
        <a:blip r:embed="rId14"/>
        <a:stretch/>
      </xdr:blipFill>
      <xdr:spPr>
        <a:xfrm>
          <a:off x="5605920" y="17860320"/>
          <a:ext cx="1170720" cy="1172520"/>
        </a:xfrm>
        <a:prstGeom prst="rect">
          <a:avLst/>
        </a:prstGeom>
        <a:noFill/>
        <a:ln w="9525">
          <a:noFill/>
        </a:ln>
      </xdr:spPr>
    </xdr:pic>
    <xdr:clientData/>
  </xdr:twoCellAnchor>
  <xdr:twoCellAnchor editAs="oneCell">
    <xdr:from>
      <xdr:col>1</xdr:col>
      <xdr:colOff>38160</xdr:colOff>
      <xdr:row>18</xdr:row>
      <xdr:rowOff>146160</xdr:rowOff>
    </xdr:from>
    <xdr:to>
      <xdr:col>1</xdr:col>
      <xdr:colOff>1208880</xdr:colOff>
      <xdr:row>18</xdr:row>
      <xdr:rowOff>1313640</xdr:rowOff>
    </xdr:to>
    <xdr:pic>
      <xdr:nvPicPr>
        <xdr:cNvPr id="1361" name="图片 3" descr="2(5)"/>
        <xdr:cNvPicPr/>
      </xdr:nvPicPr>
      <xdr:blipFill>
        <a:blip r:embed="rId15"/>
        <a:stretch/>
      </xdr:blipFill>
      <xdr:spPr>
        <a:xfrm>
          <a:off x="4039920" y="16402320"/>
          <a:ext cx="1170720" cy="1167480"/>
        </a:xfrm>
        <a:prstGeom prst="rect">
          <a:avLst/>
        </a:prstGeom>
        <a:noFill/>
        <a:ln w="9525">
          <a:noFill/>
        </a:ln>
      </xdr:spPr>
    </xdr:pic>
    <xdr:clientData/>
  </xdr:twoCellAnchor>
  <xdr:twoCellAnchor editAs="oneCell">
    <xdr:from>
      <xdr:col>2</xdr:col>
      <xdr:colOff>38160</xdr:colOff>
      <xdr:row>18</xdr:row>
      <xdr:rowOff>146160</xdr:rowOff>
    </xdr:from>
    <xdr:to>
      <xdr:col>2</xdr:col>
      <xdr:colOff>1208880</xdr:colOff>
      <xdr:row>18</xdr:row>
      <xdr:rowOff>1313640</xdr:rowOff>
    </xdr:to>
    <xdr:pic>
      <xdr:nvPicPr>
        <xdr:cNvPr id="1362" name="图片 4" descr="9(7)"/>
        <xdr:cNvPicPr/>
      </xdr:nvPicPr>
      <xdr:blipFill>
        <a:blip r:embed="rId16"/>
        <a:stretch/>
      </xdr:blipFill>
      <xdr:spPr>
        <a:xfrm>
          <a:off x="5605920" y="16402320"/>
          <a:ext cx="1170720" cy="1167480"/>
        </a:xfrm>
        <a:prstGeom prst="rect">
          <a:avLst/>
        </a:prstGeom>
        <a:noFill/>
        <a:ln w="9525">
          <a:noFill/>
        </a:ln>
      </xdr:spPr>
    </xdr:pic>
    <xdr:clientData/>
  </xdr:twoCellAnchor>
  <xdr:twoCellAnchor editAs="oneCell">
    <xdr:from>
      <xdr:col>1</xdr:col>
      <xdr:colOff>38160</xdr:colOff>
      <xdr:row>25</xdr:row>
      <xdr:rowOff>143640</xdr:rowOff>
    </xdr:from>
    <xdr:to>
      <xdr:col>1</xdr:col>
      <xdr:colOff>1208880</xdr:colOff>
      <xdr:row>25</xdr:row>
      <xdr:rowOff>1316160</xdr:rowOff>
    </xdr:to>
    <xdr:pic>
      <xdr:nvPicPr>
        <xdr:cNvPr id="1363" name="图片 2" descr="C:/Users/庞文成/AppData/Local/Temp/picturecompress_20211105145125/output_2.jpgoutput_2"/>
        <xdr:cNvPicPr/>
      </xdr:nvPicPr>
      <xdr:blipFill>
        <a:blip r:embed="rId17"/>
        <a:stretch/>
      </xdr:blipFill>
      <xdr:spPr>
        <a:xfrm>
          <a:off x="4039920" y="26623080"/>
          <a:ext cx="1170720" cy="1172520"/>
        </a:xfrm>
        <a:prstGeom prst="rect">
          <a:avLst/>
        </a:prstGeom>
        <a:noFill/>
        <a:ln w="9525">
          <a:noFill/>
        </a:ln>
      </xdr:spPr>
    </xdr:pic>
    <xdr:clientData/>
  </xdr:twoCellAnchor>
  <xdr:twoCellAnchor editAs="oneCell">
    <xdr:from>
      <xdr:col>2</xdr:col>
      <xdr:colOff>38160</xdr:colOff>
      <xdr:row>25</xdr:row>
      <xdr:rowOff>143640</xdr:rowOff>
    </xdr:from>
    <xdr:to>
      <xdr:col>2</xdr:col>
      <xdr:colOff>1208880</xdr:colOff>
      <xdr:row>25</xdr:row>
      <xdr:rowOff>1316160</xdr:rowOff>
    </xdr:to>
    <xdr:pic>
      <xdr:nvPicPr>
        <xdr:cNvPr id="1364" name="图片 5" descr="2"/>
        <xdr:cNvPicPr/>
      </xdr:nvPicPr>
      <xdr:blipFill>
        <a:blip r:embed="rId18"/>
        <a:stretch/>
      </xdr:blipFill>
      <xdr:spPr>
        <a:xfrm>
          <a:off x="5605920" y="26623080"/>
          <a:ext cx="1170720" cy="1172520"/>
        </a:xfrm>
        <a:prstGeom prst="rect">
          <a:avLst/>
        </a:prstGeom>
        <a:noFill/>
        <a:ln w="9525">
          <a:noFill/>
        </a:ln>
      </xdr:spPr>
    </xdr:pic>
    <xdr:clientData/>
  </xdr:twoCellAnchor>
  <xdr:twoCellAnchor editAs="oneCell">
    <xdr:from>
      <xdr:col>1</xdr:col>
      <xdr:colOff>38160</xdr:colOff>
      <xdr:row>16</xdr:row>
      <xdr:rowOff>172440</xdr:rowOff>
    </xdr:from>
    <xdr:to>
      <xdr:col>1</xdr:col>
      <xdr:colOff>1208880</xdr:colOff>
      <xdr:row>17</xdr:row>
      <xdr:rowOff>588600</xdr:rowOff>
    </xdr:to>
    <xdr:pic>
      <xdr:nvPicPr>
        <xdr:cNvPr id="1365" name="图片 7" descr="1"/>
        <xdr:cNvPicPr/>
      </xdr:nvPicPr>
      <xdr:blipFill>
        <a:blip r:embed="rId19"/>
        <a:stretch/>
      </xdr:blipFill>
      <xdr:spPr>
        <a:xfrm>
          <a:off x="4039920" y="14904360"/>
          <a:ext cx="1170720" cy="1178280"/>
        </a:xfrm>
        <a:prstGeom prst="rect">
          <a:avLst/>
        </a:prstGeom>
        <a:noFill/>
        <a:ln w="9525">
          <a:noFill/>
        </a:ln>
      </xdr:spPr>
    </xdr:pic>
    <xdr:clientData/>
  </xdr:twoCellAnchor>
  <xdr:twoCellAnchor editAs="oneCell">
    <xdr:from>
      <xdr:col>2</xdr:col>
      <xdr:colOff>38160</xdr:colOff>
      <xdr:row>16</xdr:row>
      <xdr:rowOff>172440</xdr:rowOff>
    </xdr:from>
    <xdr:to>
      <xdr:col>2</xdr:col>
      <xdr:colOff>1208880</xdr:colOff>
      <xdr:row>17</xdr:row>
      <xdr:rowOff>588600</xdr:rowOff>
    </xdr:to>
    <xdr:pic>
      <xdr:nvPicPr>
        <xdr:cNvPr id="1366" name="图片 10" descr="2"/>
        <xdr:cNvPicPr/>
      </xdr:nvPicPr>
      <xdr:blipFill>
        <a:blip r:embed="rId20"/>
        <a:stretch/>
      </xdr:blipFill>
      <xdr:spPr>
        <a:xfrm>
          <a:off x="5605920" y="14904360"/>
          <a:ext cx="1170720" cy="1178280"/>
        </a:xfrm>
        <a:prstGeom prst="rect">
          <a:avLst/>
        </a:prstGeom>
        <a:noFill/>
        <a:ln w="9525">
          <a:noFill/>
        </a:ln>
      </xdr:spPr>
    </xdr:pic>
    <xdr:clientData/>
  </xdr:twoCellAnchor>
  <xdr:twoCellAnchor editAs="oneCell">
    <xdr:from>
      <xdr:col>1</xdr:col>
      <xdr:colOff>38160</xdr:colOff>
      <xdr:row>8</xdr:row>
      <xdr:rowOff>143280</xdr:rowOff>
    </xdr:from>
    <xdr:to>
      <xdr:col>1</xdr:col>
      <xdr:colOff>1208880</xdr:colOff>
      <xdr:row>8</xdr:row>
      <xdr:rowOff>1316520</xdr:rowOff>
    </xdr:to>
    <xdr:pic>
      <xdr:nvPicPr>
        <xdr:cNvPr id="1367" name="图片 14" descr="2"/>
        <xdr:cNvPicPr/>
      </xdr:nvPicPr>
      <xdr:blipFill>
        <a:blip r:embed="rId21"/>
        <a:stretch/>
      </xdr:blipFill>
      <xdr:spPr>
        <a:xfrm>
          <a:off x="4039920" y="5985360"/>
          <a:ext cx="1170720" cy="1173240"/>
        </a:xfrm>
        <a:prstGeom prst="rect">
          <a:avLst/>
        </a:prstGeom>
        <a:noFill/>
        <a:ln w="9525">
          <a:noFill/>
        </a:ln>
      </xdr:spPr>
    </xdr:pic>
    <xdr:clientData/>
  </xdr:twoCellAnchor>
  <xdr:twoCellAnchor editAs="oneCell">
    <xdr:from>
      <xdr:col>2</xdr:col>
      <xdr:colOff>38160</xdr:colOff>
      <xdr:row>8</xdr:row>
      <xdr:rowOff>144000</xdr:rowOff>
    </xdr:from>
    <xdr:to>
      <xdr:col>2</xdr:col>
      <xdr:colOff>1208880</xdr:colOff>
      <xdr:row>8</xdr:row>
      <xdr:rowOff>1315440</xdr:rowOff>
    </xdr:to>
    <xdr:pic>
      <xdr:nvPicPr>
        <xdr:cNvPr id="1368" name="图片 16" descr="9"/>
        <xdr:cNvPicPr/>
      </xdr:nvPicPr>
      <xdr:blipFill>
        <a:blip r:embed="rId22"/>
        <a:stretch/>
      </xdr:blipFill>
      <xdr:spPr>
        <a:xfrm>
          <a:off x="5605920" y="5986080"/>
          <a:ext cx="1170720" cy="1171440"/>
        </a:xfrm>
        <a:prstGeom prst="rect">
          <a:avLst/>
        </a:prstGeom>
        <a:noFill/>
        <a:ln w="9525">
          <a:noFill/>
        </a:ln>
      </xdr:spPr>
    </xdr:pic>
    <xdr:clientData/>
  </xdr:twoCellAnchor>
  <xdr:twoCellAnchor editAs="oneCell">
    <xdr:from>
      <xdr:col>2</xdr:col>
      <xdr:colOff>38160</xdr:colOff>
      <xdr:row>15</xdr:row>
      <xdr:rowOff>144000</xdr:rowOff>
    </xdr:from>
    <xdr:to>
      <xdr:col>2</xdr:col>
      <xdr:colOff>1208880</xdr:colOff>
      <xdr:row>15</xdr:row>
      <xdr:rowOff>1316160</xdr:rowOff>
    </xdr:to>
    <xdr:pic>
      <xdr:nvPicPr>
        <xdr:cNvPr id="1369" name="图片 1" descr="9"/>
        <xdr:cNvPicPr/>
      </xdr:nvPicPr>
      <xdr:blipFill>
        <a:blip r:embed="rId23"/>
        <a:stretch/>
      </xdr:blipFill>
      <xdr:spPr>
        <a:xfrm>
          <a:off x="5605920" y="13415400"/>
          <a:ext cx="1170720" cy="1172160"/>
        </a:xfrm>
        <a:prstGeom prst="rect">
          <a:avLst/>
        </a:prstGeom>
        <a:noFill/>
        <a:ln w="9525">
          <a:noFill/>
        </a:ln>
      </xdr:spPr>
    </xdr:pic>
    <xdr:clientData/>
  </xdr:twoCellAnchor>
  <xdr:twoCellAnchor editAs="oneCell">
    <xdr:from>
      <xdr:col>1</xdr:col>
      <xdr:colOff>38160</xdr:colOff>
      <xdr:row>15</xdr:row>
      <xdr:rowOff>146160</xdr:rowOff>
    </xdr:from>
    <xdr:to>
      <xdr:col>1</xdr:col>
      <xdr:colOff>1208880</xdr:colOff>
      <xdr:row>15</xdr:row>
      <xdr:rowOff>1313640</xdr:rowOff>
    </xdr:to>
    <xdr:pic>
      <xdr:nvPicPr>
        <xdr:cNvPr id="1370" name="图片 13" descr="1"/>
        <xdr:cNvPicPr/>
      </xdr:nvPicPr>
      <xdr:blipFill>
        <a:blip r:embed="rId24"/>
        <a:stretch/>
      </xdr:blipFill>
      <xdr:spPr>
        <a:xfrm>
          <a:off x="4039920" y="13417560"/>
          <a:ext cx="1170720" cy="1167480"/>
        </a:xfrm>
        <a:prstGeom prst="rect">
          <a:avLst/>
        </a:prstGeom>
        <a:noFill/>
        <a:ln w="9525">
          <a:noFill/>
        </a:ln>
      </xdr:spPr>
    </xdr:pic>
    <xdr:clientData/>
  </xdr:twoCellAnchor>
  <xdr:twoCellAnchor editAs="oneCell">
    <xdr:from>
      <xdr:col>1</xdr:col>
      <xdr:colOff>38160</xdr:colOff>
      <xdr:row>14</xdr:row>
      <xdr:rowOff>145800</xdr:rowOff>
    </xdr:from>
    <xdr:to>
      <xdr:col>1</xdr:col>
      <xdr:colOff>1208880</xdr:colOff>
      <xdr:row>14</xdr:row>
      <xdr:rowOff>1313640</xdr:rowOff>
    </xdr:to>
    <xdr:pic>
      <xdr:nvPicPr>
        <xdr:cNvPr id="1371" name="图片 21" descr="2(7)"/>
        <xdr:cNvPicPr/>
      </xdr:nvPicPr>
      <xdr:blipFill>
        <a:blip r:embed="rId25"/>
        <a:stretch/>
      </xdr:blipFill>
      <xdr:spPr>
        <a:xfrm>
          <a:off x="4039920" y="11956680"/>
          <a:ext cx="1170720" cy="1167840"/>
        </a:xfrm>
        <a:prstGeom prst="rect">
          <a:avLst/>
        </a:prstGeom>
        <a:noFill/>
        <a:ln w="9525">
          <a:noFill/>
        </a:ln>
      </xdr:spPr>
    </xdr:pic>
    <xdr:clientData/>
  </xdr:twoCellAnchor>
  <xdr:twoCellAnchor editAs="oneCell">
    <xdr:from>
      <xdr:col>2</xdr:col>
      <xdr:colOff>38160</xdr:colOff>
      <xdr:row>14</xdr:row>
      <xdr:rowOff>144000</xdr:rowOff>
    </xdr:from>
    <xdr:to>
      <xdr:col>2</xdr:col>
      <xdr:colOff>1208880</xdr:colOff>
      <xdr:row>14</xdr:row>
      <xdr:rowOff>1316160</xdr:rowOff>
    </xdr:to>
    <xdr:pic>
      <xdr:nvPicPr>
        <xdr:cNvPr id="1372" name="图片 27" descr="8"/>
        <xdr:cNvPicPr/>
      </xdr:nvPicPr>
      <xdr:blipFill>
        <a:blip r:embed="rId26"/>
        <a:stretch/>
      </xdr:blipFill>
      <xdr:spPr>
        <a:xfrm>
          <a:off x="5605920" y="11954880"/>
          <a:ext cx="1170720" cy="1172160"/>
        </a:xfrm>
        <a:prstGeom prst="rect">
          <a:avLst/>
        </a:prstGeom>
        <a:noFill/>
        <a:ln w="9525">
          <a:noFill/>
        </a:ln>
      </xdr:spPr>
    </xdr:pic>
    <xdr:clientData/>
  </xdr:twoCellAnchor>
  <xdr:twoCellAnchor editAs="oneCell">
    <xdr:from>
      <xdr:col>1</xdr:col>
      <xdr:colOff>38160</xdr:colOff>
      <xdr:row>23</xdr:row>
      <xdr:rowOff>145800</xdr:rowOff>
    </xdr:from>
    <xdr:to>
      <xdr:col>1</xdr:col>
      <xdr:colOff>1208880</xdr:colOff>
      <xdr:row>23</xdr:row>
      <xdr:rowOff>1313640</xdr:rowOff>
    </xdr:to>
    <xdr:pic>
      <xdr:nvPicPr>
        <xdr:cNvPr id="1373" name="图片 29" descr="2"/>
        <xdr:cNvPicPr/>
      </xdr:nvPicPr>
      <xdr:blipFill>
        <a:blip r:embed="rId27"/>
        <a:stretch/>
      </xdr:blipFill>
      <xdr:spPr>
        <a:xfrm>
          <a:off x="4039920" y="23704200"/>
          <a:ext cx="1170720" cy="1167840"/>
        </a:xfrm>
        <a:prstGeom prst="rect">
          <a:avLst/>
        </a:prstGeom>
        <a:noFill/>
        <a:ln w="9525">
          <a:noFill/>
        </a:ln>
      </xdr:spPr>
    </xdr:pic>
    <xdr:clientData/>
  </xdr:twoCellAnchor>
  <xdr:twoCellAnchor editAs="oneCell">
    <xdr:from>
      <xdr:col>2</xdr:col>
      <xdr:colOff>38160</xdr:colOff>
      <xdr:row>23</xdr:row>
      <xdr:rowOff>143280</xdr:rowOff>
    </xdr:from>
    <xdr:to>
      <xdr:col>2</xdr:col>
      <xdr:colOff>1208880</xdr:colOff>
      <xdr:row>23</xdr:row>
      <xdr:rowOff>1316520</xdr:rowOff>
    </xdr:to>
    <xdr:pic>
      <xdr:nvPicPr>
        <xdr:cNvPr id="1374" name="图片 31" descr="9"/>
        <xdr:cNvPicPr/>
      </xdr:nvPicPr>
      <xdr:blipFill>
        <a:blip r:embed="rId28"/>
        <a:stretch/>
      </xdr:blipFill>
      <xdr:spPr>
        <a:xfrm>
          <a:off x="5605920" y="23701680"/>
          <a:ext cx="1170720" cy="1173240"/>
        </a:xfrm>
        <a:prstGeom prst="rect">
          <a:avLst/>
        </a:prstGeom>
        <a:noFill/>
        <a:ln w="9525">
          <a:noFill/>
        </a:ln>
      </xdr:spPr>
    </xdr:pic>
    <xdr:clientData/>
  </xdr:twoCellAnchor>
  <xdr:twoCellAnchor editAs="oneCell">
    <xdr:from>
      <xdr:col>1</xdr:col>
      <xdr:colOff>38160</xdr:colOff>
      <xdr:row>9</xdr:row>
      <xdr:rowOff>143280</xdr:rowOff>
    </xdr:from>
    <xdr:to>
      <xdr:col>1</xdr:col>
      <xdr:colOff>1208880</xdr:colOff>
      <xdr:row>9</xdr:row>
      <xdr:rowOff>1316520</xdr:rowOff>
    </xdr:to>
    <xdr:pic>
      <xdr:nvPicPr>
        <xdr:cNvPr id="1375" name="图片 11" descr="3"/>
        <xdr:cNvPicPr/>
      </xdr:nvPicPr>
      <xdr:blipFill>
        <a:blip r:embed="rId29"/>
        <a:stretch/>
      </xdr:blipFill>
      <xdr:spPr>
        <a:xfrm>
          <a:off x="4039920" y="7445880"/>
          <a:ext cx="1170720" cy="1173240"/>
        </a:xfrm>
        <a:prstGeom prst="rect">
          <a:avLst/>
        </a:prstGeom>
        <a:noFill/>
        <a:ln w="9525">
          <a:noFill/>
        </a:ln>
      </xdr:spPr>
    </xdr:pic>
    <xdr:clientData/>
  </xdr:twoCellAnchor>
  <xdr:twoCellAnchor editAs="oneCell">
    <xdr:from>
      <xdr:col>2</xdr:col>
      <xdr:colOff>38160</xdr:colOff>
      <xdr:row>9</xdr:row>
      <xdr:rowOff>144000</xdr:rowOff>
    </xdr:from>
    <xdr:to>
      <xdr:col>2</xdr:col>
      <xdr:colOff>1208880</xdr:colOff>
      <xdr:row>9</xdr:row>
      <xdr:rowOff>1315440</xdr:rowOff>
    </xdr:to>
    <xdr:pic>
      <xdr:nvPicPr>
        <xdr:cNvPr id="1376" name="图片 28" descr="11"/>
        <xdr:cNvPicPr/>
      </xdr:nvPicPr>
      <xdr:blipFill>
        <a:blip r:embed="rId30"/>
        <a:stretch/>
      </xdr:blipFill>
      <xdr:spPr>
        <a:xfrm>
          <a:off x="5605920" y="7446600"/>
          <a:ext cx="1170720" cy="1171440"/>
        </a:xfrm>
        <a:prstGeom prst="rect">
          <a:avLst/>
        </a:prstGeom>
        <a:noFill/>
        <a:ln w="9525">
          <a:noFill/>
        </a:ln>
      </xdr:spPr>
    </xdr:pic>
    <xdr:clientData/>
  </xdr:twoCellAnchor>
  <xdr:twoCellAnchor editAs="oneCell">
    <xdr:from>
      <xdr:col>1</xdr:col>
      <xdr:colOff>38160</xdr:colOff>
      <xdr:row>24</xdr:row>
      <xdr:rowOff>143280</xdr:rowOff>
    </xdr:from>
    <xdr:to>
      <xdr:col>1</xdr:col>
      <xdr:colOff>1208880</xdr:colOff>
      <xdr:row>24</xdr:row>
      <xdr:rowOff>1316520</xdr:rowOff>
    </xdr:to>
    <xdr:pic>
      <xdr:nvPicPr>
        <xdr:cNvPr id="1377" name="图片 7" descr="C:/Users/Ray/AppData/Local/Temp/picturecompress_20211105162230/output_8.jpgoutput_8"/>
        <xdr:cNvPicPr/>
      </xdr:nvPicPr>
      <xdr:blipFill>
        <a:blip r:embed="rId31"/>
        <a:stretch/>
      </xdr:blipFill>
      <xdr:spPr>
        <a:xfrm>
          <a:off x="4039920" y="25162200"/>
          <a:ext cx="1170720" cy="1173240"/>
        </a:xfrm>
        <a:prstGeom prst="rect">
          <a:avLst/>
        </a:prstGeom>
        <a:noFill/>
        <a:ln w="9525">
          <a:noFill/>
        </a:ln>
      </xdr:spPr>
    </xdr:pic>
    <xdr:clientData/>
  </xdr:twoCellAnchor>
  <xdr:twoCellAnchor editAs="oneCell">
    <xdr:from>
      <xdr:col>2</xdr:col>
      <xdr:colOff>38160</xdr:colOff>
      <xdr:row>24</xdr:row>
      <xdr:rowOff>144000</xdr:rowOff>
    </xdr:from>
    <xdr:to>
      <xdr:col>2</xdr:col>
      <xdr:colOff>1208880</xdr:colOff>
      <xdr:row>24</xdr:row>
      <xdr:rowOff>1315440</xdr:rowOff>
    </xdr:to>
    <xdr:pic>
      <xdr:nvPicPr>
        <xdr:cNvPr id="1378" name="图片 17" descr="10"/>
        <xdr:cNvPicPr/>
      </xdr:nvPicPr>
      <xdr:blipFill>
        <a:blip r:embed="rId32"/>
        <a:stretch/>
      </xdr:blipFill>
      <xdr:spPr>
        <a:xfrm>
          <a:off x="5605920" y="25162920"/>
          <a:ext cx="1170720" cy="1171440"/>
        </a:xfrm>
        <a:prstGeom prst="rect">
          <a:avLst/>
        </a:prstGeom>
        <a:noFill/>
        <a:ln w="9525">
          <a:noFill/>
        </a:ln>
      </xdr:spPr>
    </xdr:pic>
    <xdr:clientData/>
  </xdr:twoCellAnchor>
  <xdr:twoCellAnchor editAs="oneCell">
    <xdr:from>
      <xdr:col>1</xdr:col>
      <xdr:colOff>38160</xdr:colOff>
      <xdr:row>4</xdr:row>
      <xdr:rowOff>172080</xdr:rowOff>
    </xdr:from>
    <xdr:to>
      <xdr:col>1</xdr:col>
      <xdr:colOff>1208880</xdr:colOff>
      <xdr:row>5</xdr:row>
      <xdr:rowOff>589320</xdr:rowOff>
    </xdr:to>
    <xdr:pic>
      <xdr:nvPicPr>
        <xdr:cNvPr id="1379" name="图片 15" descr="3"/>
        <xdr:cNvPicPr/>
      </xdr:nvPicPr>
      <xdr:blipFill>
        <a:blip r:embed="rId33"/>
        <a:stretch/>
      </xdr:blipFill>
      <xdr:spPr>
        <a:xfrm>
          <a:off x="4039920" y="1569240"/>
          <a:ext cx="1170720" cy="1179000"/>
        </a:xfrm>
        <a:prstGeom prst="rect">
          <a:avLst/>
        </a:prstGeom>
        <a:noFill/>
        <a:ln w="9525">
          <a:noFill/>
        </a:ln>
      </xdr:spPr>
    </xdr:pic>
    <xdr:clientData/>
  </xdr:twoCellAnchor>
  <xdr:twoCellAnchor editAs="oneCell">
    <xdr:from>
      <xdr:col>2</xdr:col>
      <xdr:colOff>38160</xdr:colOff>
      <xdr:row>4</xdr:row>
      <xdr:rowOff>174600</xdr:rowOff>
    </xdr:from>
    <xdr:to>
      <xdr:col>2</xdr:col>
      <xdr:colOff>1208880</xdr:colOff>
      <xdr:row>5</xdr:row>
      <xdr:rowOff>587160</xdr:rowOff>
    </xdr:to>
    <xdr:pic>
      <xdr:nvPicPr>
        <xdr:cNvPr id="1380" name="图片 18" descr="11"/>
        <xdr:cNvPicPr/>
      </xdr:nvPicPr>
      <xdr:blipFill>
        <a:blip r:embed="rId34"/>
        <a:stretch/>
      </xdr:blipFill>
      <xdr:spPr>
        <a:xfrm>
          <a:off x="5605920" y="1571760"/>
          <a:ext cx="1170720" cy="1174320"/>
        </a:xfrm>
        <a:prstGeom prst="rect">
          <a:avLst/>
        </a:prstGeom>
        <a:noFill/>
        <a:ln w="9525">
          <a:noFill/>
        </a:ln>
      </xdr:spPr>
    </xdr:pic>
    <xdr:clientData/>
  </xdr:twoCellAnchor>
  <xdr:twoCellAnchor editAs="oneCell">
    <xdr:from>
      <xdr:col>1</xdr:col>
      <xdr:colOff>38160</xdr:colOff>
      <xdr:row>12</xdr:row>
      <xdr:rowOff>171000</xdr:rowOff>
    </xdr:from>
    <xdr:to>
      <xdr:col>1</xdr:col>
      <xdr:colOff>1208880</xdr:colOff>
      <xdr:row>13</xdr:row>
      <xdr:rowOff>590040</xdr:rowOff>
    </xdr:to>
    <xdr:pic>
      <xdr:nvPicPr>
        <xdr:cNvPr id="1381" name="图片 4" descr="2"/>
        <xdr:cNvPicPr/>
      </xdr:nvPicPr>
      <xdr:blipFill>
        <a:blip r:embed="rId35"/>
        <a:stretch/>
      </xdr:blipFill>
      <xdr:spPr>
        <a:xfrm>
          <a:off x="4039920" y="10458000"/>
          <a:ext cx="1170720" cy="1181160"/>
        </a:xfrm>
        <a:prstGeom prst="rect">
          <a:avLst/>
        </a:prstGeom>
        <a:noFill/>
        <a:ln w="9525">
          <a:noFill/>
        </a:ln>
      </xdr:spPr>
    </xdr:pic>
    <xdr:clientData/>
  </xdr:twoCellAnchor>
  <xdr:twoCellAnchor editAs="oneCell">
    <xdr:from>
      <xdr:col>2</xdr:col>
      <xdr:colOff>38160</xdr:colOff>
      <xdr:row>12</xdr:row>
      <xdr:rowOff>175320</xdr:rowOff>
    </xdr:from>
    <xdr:to>
      <xdr:col>2</xdr:col>
      <xdr:colOff>1208880</xdr:colOff>
      <xdr:row>13</xdr:row>
      <xdr:rowOff>585720</xdr:rowOff>
    </xdr:to>
    <xdr:pic>
      <xdr:nvPicPr>
        <xdr:cNvPr id="1382" name="图片 5" descr="11"/>
        <xdr:cNvPicPr/>
      </xdr:nvPicPr>
      <xdr:blipFill>
        <a:blip r:embed="rId36"/>
        <a:stretch/>
      </xdr:blipFill>
      <xdr:spPr>
        <a:xfrm>
          <a:off x="5605920" y="10462320"/>
          <a:ext cx="1170720" cy="1172520"/>
        </a:xfrm>
        <a:prstGeom prst="rect">
          <a:avLst/>
        </a:prstGeom>
        <a:noFill/>
        <a:ln w="9525">
          <a:noFill/>
        </a:ln>
      </xdr:spPr>
    </xdr:pic>
    <xdr:clientData/>
  </xdr:twoCellAnchor>
  <xdr:twoCellAnchor editAs="oneCell">
    <xdr:from>
      <xdr:col>1</xdr:col>
      <xdr:colOff>38160</xdr:colOff>
      <xdr:row>10</xdr:row>
      <xdr:rowOff>172800</xdr:rowOff>
    </xdr:from>
    <xdr:to>
      <xdr:col>1</xdr:col>
      <xdr:colOff>1208880</xdr:colOff>
      <xdr:row>11</xdr:row>
      <xdr:rowOff>588960</xdr:rowOff>
    </xdr:to>
    <xdr:pic>
      <xdr:nvPicPr>
        <xdr:cNvPr id="1383" name="图片 1" descr="BG19业务图_4_带版设"/>
        <xdr:cNvPicPr/>
      </xdr:nvPicPr>
      <xdr:blipFill>
        <a:blip r:embed="rId37"/>
        <a:stretch/>
      </xdr:blipFill>
      <xdr:spPr>
        <a:xfrm>
          <a:off x="4039920" y="8935920"/>
          <a:ext cx="1170720" cy="1177920"/>
        </a:xfrm>
        <a:prstGeom prst="rect">
          <a:avLst/>
        </a:prstGeom>
        <a:noFill/>
        <a:ln w="0">
          <a:noFill/>
        </a:ln>
      </xdr:spPr>
    </xdr:pic>
    <xdr:clientData/>
  </xdr:twoCellAnchor>
  <xdr:twoCellAnchor editAs="oneCell">
    <xdr:from>
      <xdr:col>2</xdr:col>
      <xdr:colOff>38160</xdr:colOff>
      <xdr:row>10</xdr:row>
      <xdr:rowOff>174960</xdr:rowOff>
    </xdr:from>
    <xdr:to>
      <xdr:col>2</xdr:col>
      <xdr:colOff>1208880</xdr:colOff>
      <xdr:row>11</xdr:row>
      <xdr:rowOff>586440</xdr:rowOff>
    </xdr:to>
    <xdr:pic>
      <xdr:nvPicPr>
        <xdr:cNvPr id="1384" name="图片 2" descr="BG19业务图_8_带版设"/>
        <xdr:cNvPicPr/>
      </xdr:nvPicPr>
      <xdr:blipFill>
        <a:blip r:embed="rId38"/>
        <a:stretch/>
      </xdr:blipFill>
      <xdr:spPr>
        <a:xfrm>
          <a:off x="5605920" y="8938080"/>
          <a:ext cx="1170720" cy="1173240"/>
        </a:xfrm>
        <a:prstGeom prst="rect">
          <a:avLst/>
        </a:prstGeom>
        <a:noFill/>
        <a:ln w="0">
          <a:noFill/>
        </a:ln>
      </xdr:spPr>
    </xdr:pic>
    <xdr:clientData/>
  </xdr:twoCellAnchor>
  <xdr:twoCellAnchor editAs="oneCell">
    <xdr:from>
      <xdr:col>1</xdr:col>
      <xdr:colOff>38160</xdr:colOff>
      <xdr:row>6</xdr:row>
      <xdr:rowOff>144360</xdr:rowOff>
    </xdr:from>
    <xdr:to>
      <xdr:col>1</xdr:col>
      <xdr:colOff>1208880</xdr:colOff>
      <xdr:row>6</xdr:row>
      <xdr:rowOff>1315080</xdr:rowOff>
    </xdr:to>
    <xdr:pic>
      <xdr:nvPicPr>
        <xdr:cNvPr id="1385" name="图片 3" descr="5"/>
        <xdr:cNvPicPr/>
      </xdr:nvPicPr>
      <xdr:blipFill>
        <a:blip r:embed="rId39"/>
        <a:stretch/>
      </xdr:blipFill>
      <xdr:spPr>
        <a:xfrm>
          <a:off x="4039920" y="3065400"/>
          <a:ext cx="1170720" cy="1170720"/>
        </a:xfrm>
        <a:prstGeom prst="rect">
          <a:avLst/>
        </a:prstGeom>
        <a:noFill/>
        <a:ln w="0">
          <a:noFill/>
        </a:ln>
      </xdr:spPr>
    </xdr:pic>
    <xdr:clientData/>
  </xdr:twoCellAnchor>
  <xdr:twoCellAnchor editAs="oneCell">
    <xdr:from>
      <xdr:col>2</xdr:col>
      <xdr:colOff>38160</xdr:colOff>
      <xdr:row>6</xdr:row>
      <xdr:rowOff>144720</xdr:rowOff>
    </xdr:from>
    <xdr:to>
      <xdr:col>2</xdr:col>
      <xdr:colOff>1208880</xdr:colOff>
      <xdr:row>6</xdr:row>
      <xdr:rowOff>1315080</xdr:rowOff>
    </xdr:to>
    <xdr:pic>
      <xdr:nvPicPr>
        <xdr:cNvPr id="1386" name="图片 4" descr="8"/>
        <xdr:cNvPicPr/>
      </xdr:nvPicPr>
      <xdr:blipFill>
        <a:blip r:embed="rId40"/>
        <a:stretch/>
      </xdr:blipFill>
      <xdr:spPr>
        <a:xfrm>
          <a:off x="5605920" y="3065760"/>
          <a:ext cx="1170720" cy="1170360"/>
        </a:xfrm>
        <a:prstGeom prst="rect">
          <a:avLst/>
        </a:prstGeom>
        <a:noFill/>
        <a:ln w="0">
          <a:noFill/>
        </a:ln>
      </xdr:spPr>
    </xdr:pic>
    <xdr:clientData/>
  </xdr:twoCellAnchor>
  <xdr:twoCellAnchor editAs="oneCell">
    <xdr:from>
      <xdr:col>1</xdr:col>
      <xdr:colOff>38160</xdr:colOff>
      <xdr:row>7</xdr:row>
      <xdr:rowOff>142200</xdr:rowOff>
    </xdr:from>
    <xdr:to>
      <xdr:col>1</xdr:col>
      <xdr:colOff>1208880</xdr:colOff>
      <xdr:row>7</xdr:row>
      <xdr:rowOff>1317600</xdr:rowOff>
    </xdr:to>
    <xdr:pic>
      <xdr:nvPicPr>
        <xdr:cNvPr id="1387" name="图片 5" descr="5"/>
        <xdr:cNvPicPr/>
      </xdr:nvPicPr>
      <xdr:blipFill>
        <a:blip r:embed="rId41"/>
        <a:stretch/>
      </xdr:blipFill>
      <xdr:spPr>
        <a:xfrm>
          <a:off x="4039920" y="4523760"/>
          <a:ext cx="1170720" cy="1175400"/>
        </a:xfrm>
        <a:prstGeom prst="rect">
          <a:avLst/>
        </a:prstGeom>
        <a:noFill/>
        <a:ln w="0">
          <a:noFill/>
        </a:ln>
      </xdr:spPr>
    </xdr:pic>
    <xdr:clientData/>
  </xdr:twoCellAnchor>
  <xdr:twoCellAnchor editAs="oneCell">
    <xdr:from>
      <xdr:col>2</xdr:col>
      <xdr:colOff>38160</xdr:colOff>
      <xdr:row>7</xdr:row>
      <xdr:rowOff>144360</xdr:rowOff>
    </xdr:from>
    <xdr:to>
      <xdr:col>2</xdr:col>
      <xdr:colOff>1208880</xdr:colOff>
      <xdr:row>7</xdr:row>
      <xdr:rowOff>1315080</xdr:rowOff>
    </xdr:to>
    <xdr:pic>
      <xdr:nvPicPr>
        <xdr:cNvPr id="1388" name="图片 6" descr="8"/>
        <xdr:cNvPicPr/>
      </xdr:nvPicPr>
      <xdr:blipFill>
        <a:blip r:embed="rId42"/>
        <a:stretch/>
      </xdr:blipFill>
      <xdr:spPr>
        <a:xfrm>
          <a:off x="5605920" y="4525920"/>
          <a:ext cx="1170720" cy="1170720"/>
        </a:xfrm>
        <a:prstGeom prst="rect">
          <a:avLst/>
        </a:prstGeom>
        <a:noFill/>
        <a:ln w="0">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38160</xdr:colOff>
      <xdr:row>10</xdr:row>
      <xdr:rowOff>173880</xdr:rowOff>
    </xdr:from>
    <xdr:to>
      <xdr:col>1</xdr:col>
      <xdr:colOff>1208880</xdr:colOff>
      <xdr:row>11</xdr:row>
      <xdr:rowOff>587160</xdr:rowOff>
    </xdr:to>
    <xdr:pic>
      <xdr:nvPicPr>
        <xdr:cNvPr id="1389" name="图片 3" descr="3"/>
        <xdr:cNvPicPr/>
      </xdr:nvPicPr>
      <xdr:blipFill>
        <a:blip r:embed="rId1"/>
        <a:stretch/>
      </xdr:blipFill>
      <xdr:spPr>
        <a:xfrm>
          <a:off x="4039920" y="7260480"/>
          <a:ext cx="1170720" cy="1175400"/>
        </a:xfrm>
        <a:prstGeom prst="rect">
          <a:avLst/>
        </a:prstGeom>
        <a:noFill/>
        <a:ln w="9525">
          <a:noFill/>
        </a:ln>
      </xdr:spPr>
    </xdr:pic>
    <xdr:clientData/>
  </xdr:twoCellAnchor>
  <xdr:twoCellAnchor editAs="oneCell">
    <xdr:from>
      <xdr:col>2</xdr:col>
      <xdr:colOff>38160</xdr:colOff>
      <xdr:row>10</xdr:row>
      <xdr:rowOff>173520</xdr:rowOff>
    </xdr:from>
    <xdr:to>
      <xdr:col>2</xdr:col>
      <xdr:colOff>1208880</xdr:colOff>
      <xdr:row>11</xdr:row>
      <xdr:rowOff>587520</xdr:rowOff>
    </xdr:to>
    <xdr:pic>
      <xdr:nvPicPr>
        <xdr:cNvPr id="1390" name="图片 7" descr="9"/>
        <xdr:cNvPicPr/>
      </xdr:nvPicPr>
      <xdr:blipFill>
        <a:blip r:embed="rId2"/>
        <a:stretch/>
      </xdr:blipFill>
      <xdr:spPr>
        <a:xfrm>
          <a:off x="5605920" y="7260120"/>
          <a:ext cx="1170720" cy="1176120"/>
        </a:xfrm>
        <a:prstGeom prst="rect">
          <a:avLst/>
        </a:prstGeom>
        <a:noFill/>
        <a:ln w="9525">
          <a:noFill/>
        </a:ln>
      </xdr:spPr>
    </xdr:pic>
    <xdr:clientData/>
  </xdr:twoCellAnchor>
  <xdr:twoCellAnchor editAs="oneCell">
    <xdr:from>
      <xdr:col>1</xdr:col>
      <xdr:colOff>38160</xdr:colOff>
      <xdr:row>17</xdr:row>
      <xdr:rowOff>143280</xdr:rowOff>
    </xdr:from>
    <xdr:to>
      <xdr:col>1</xdr:col>
      <xdr:colOff>1208880</xdr:colOff>
      <xdr:row>17</xdr:row>
      <xdr:rowOff>1316520</xdr:rowOff>
    </xdr:to>
    <xdr:pic>
      <xdr:nvPicPr>
        <xdr:cNvPr id="1391" name="图片 8" descr="1"/>
        <xdr:cNvPicPr/>
      </xdr:nvPicPr>
      <xdr:blipFill>
        <a:blip r:embed="rId3"/>
        <a:stretch/>
      </xdr:blipFill>
      <xdr:spPr>
        <a:xfrm>
          <a:off x="4039920" y="13545000"/>
          <a:ext cx="1170720" cy="1173240"/>
        </a:xfrm>
        <a:prstGeom prst="rect">
          <a:avLst/>
        </a:prstGeom>
        <a:noFill/>
        <a:ln w="9525">
          <a:noFill/>
        </a:ln>
      </xdr:spPr>
    </xdr:pic>
    <xdr:clientData/>
  </xdr:twoCellAnchor>
  <xdr:twoCellAnchor editAs="oneCell">
    <xdr:from>
      <xdr:col>2</xdr:col>
      <xdr:colOff>38160</xdr:colOff>
      <xdr:row>17</xdr:row>
      <xdr:rowOff>143640</xdr:rowOff>
    </xdr:from>
    <xdr:to>
      <xdr:col>2</xdr:col>
      <xdr:colOff>1208880</xdr:colOff>
      <xdr:row>17</xdr:row>
      <xdr:rowOff>1316160</xdr:rowOff>
    </xdr:to>
    <xdr:pic>
      <xdr:nvPicPr>
        <xdr:cNvPr id="1392" name="图片 13" descr="4"/>
        <xdr:cNvPicPr/>
      </xdr:nvPicPr>
      <xdr:blipFill>
        <a:blip r:embed="rId4"/>
        <a:stretch/>
      </xdr:blipFill>
      <xdr:spPr>
        <a:xfrm>
          <a:off x="5605920" y="13545360"/>
          <a:ext cx="1170720" cy="1172520"/>
        </a:xfrm>
        <a:prstGeom prst="rect">
          <a:avLst/>
        </a:prstGeom>
        <a:noFill/>
        <a:ln w="9525">
          <a:noFill/>
        </a:ln>
      </xdr:spPr>
    </xdr:pic>
    <xdr:clientData/>
  </xdr:twoCellAnchor>
  <xdr:twoCellAnchor editAs="twoCell">
    <xdr:from>
      <xdr:col>0</xdr:col>
      <xdr:colOff>0</xdr:colOff>
      <xdr:row>17</xdr:row>
      <xdr:rowOff>0</xdr:rowOff>
    </xdr:from>
    <xdr:to>
      <xdr:col>0</xdr:col>
      <xdr:colOff>826560</xdr:colOff>
      <xdr:row>17</xdr:row>
      <xdr:rowOff>297000</xdr:rowOff>
    </xdr:to>
    <xdr:pic>
      <xdr:nvPicPr>
        <xdr:cNvPr id="1393" name="图片 19" descr="新品"/>
        <xdr:cNvPicPr/>
      </xdr:nvPicPr>
      <xdr:blipFill>
        <a:blip r:embed="rId5"/>
        <a:stretch/>
      </xdr:blipFill>
      <xdr:spPr>
        <a:xfrm>
          <a:off x="0" y="13401720"/>
          <a:ext cx="826560" cy="297000"/>
        </a:xfrm>
        <a:prstGeom prst="rect">
          <a:avLst/>
        </a:prstGeom>
        <a:noFill/>
        <a:ln w="9525">
          <a:noFill/>
        </a:ln>
      </xdr:spPr>
    </xdr:pic>
    <xdr:clientData/>
  </xdr:twoCellAnchor>
  <xdr:twoCellAnchor editAs="oneCell">
    <xdr:from>
      <xdr:col>1</xdr:col>
      <xdr:colOff>38160</xdr:colOff>
      <xdr:row>8</xdr:row>
      <xdr:rowOff>169560</xdr:rowOff>
    </xdr:from>
    <xdr:to>
      <xdr:col>1</xdr:col>
      <xdr:colOff>1208880</xdr:colOff>
      <xdr:row>9</xdr:row>
      <xdr:rowOff>591840</xdr:rowOff>
    </xdr:to>
    <xdr:pic>
      <xdr:nvPicPr>
        <xdr:cNvPr id="1394" name="图片 1" descr="3"/>
        <xdr:cNvPicPr/>
      </xdr:nvPicPr>
      <xdr:blipFill>
        <a:blip r:embed="rId6"/>
        <a:stretch/>
      </xdr:blipFill>
      <xdr:spPr>
        <a:xfrm>
          <a:off x="4039920" y="5732280"/>
          <a:ext cx="1170720" cy="1184040"/>
        </a:xfrm>
        <a:prstGeom prst="rect">
          <a:avLst/>
        </a:prstGeom>
        <a:noFill/>
        <a:ln w="9525">
          <a:noFill/>
        </a:ln>
      </xdr:spPr>
    </xdr:pic>
    <xdr:clientData/>
  </xdr:twoCellAnchor>
  <xdr:twoCellAnchor editAs="oneCell">
    <xdr:from>
      <xdr:col>2</xdr:col>
      <xdr:colOff>38160</xdr:colOff>
      <xdr:row>8</xdr:row>
      <xdr:rowOff>177480</xdr:rowOff>
    </xdr:from>
    <xdr:to>
      <xdr:col>2</xdr:col>
      <xdr:colOff>1208880</xdr:colOff>
      <xdr:row>9</xdr:row>
      <xdr:rowOff>584280</xdr:rowOff>
    </xdr:to>
    <xdr:pic>
      <xdr:nvPicPr>
        <xdr:cNvPr id="1395" name="图片 2" descr="11"/>
        <xdr:cNvPicPr/>
      </xdr:nvPicPr>
      <xdr:blipFill>
        <a:blip r:embed="rId7"/>
        <a:stretch/>
      </xdr:blipFill>
      <xdr:spPr>
        <a:xfrm>
          <a:off x="5605920" y="5740200"/>
          <a:ext cx="1170720" cy="1168560"/>
        </a:xfrm>
        <a:prstGeom prst="rect">
          <a:avLst/>
        </a:prstGeom>
        <a:noFill/>
        <a:ln w="9525">
          <a:noFill/>
        </a:ln>
      </xdr:spPr>
    </xdr:pic>
    <xdr:clientData/>
  </xdr:twoCellAnchor>
  <xdr:twoCellAnchor editAs="oneCell">
    <xdr:from>
      <xdr:col>1</xdr:col>
      <xdr:colOff>38160</xdr:colOff>
      <xdr:row>16</xdr:row>
      <xdr:rowOff>140760</xdr:rowOff>
    </xdr:from>
    <xdr:to>
      <xdr:col>1</xdr:col>
      <xdr:colOff>1208880</xdr:colOff>
      <xdr:row>16</xdr:row>
      <xdr:rowOff>1319040</xdr:rowOff>
    </xdr:to>
    <xdr:pic>
      <xdr:nvPicPr>
        <xdr:cNvPr id="1396" name="图片 5" descr="1"/>
        <xdr:cNvPicPr/>
      </xdr:nvPicPr>
      <xdr:blipFill>
        <a:blip r:embed="rId8"/>
        <a:stretch/>
      </xdr:blipFill>
      <xdr:spPr>
        <a:xfrm>
          <a:off x="4039920" y="12081960"/>
          <a:ext cx="1170720" cy="1178280"/>
        </a:xfrm>
        <a:prstGeom prst="rect">
          <a:avLst/>
        </a:prstGeom>
        <a:noFill/>
        <a:ln w="9525">
          <a:noFill/>
        </a:ln>
      </xdr:spPr>
    </xdr:pic>
    <xdr:clientData/>
  </xdr:twoCellAnchor>
  <xdr:twoCellAnchor editAs="oneCell">
    <xdr:from>
      <xdr:col>2</xdr:col>
      <xdr:colOff>38160</xdr:colOff>
      <xdr:row>16</xdr:row>
      <xdr:rowOff>146880</xdr:rowOff>
    </xdr:from>
    <xdr:to>
      <xdr:col>2</xdr:col>
      <xdr:colOff>1208880</xdr:colOff>
      <xdr:row>16</xdr:row>
      <xdr:rowOff>1312560</xdr:rowOff>
    </xdr:to>
    <xdr:pic>
      <xdr:nvPicPr>
        <xdr:cNvPr id="1397" name="图片 6" descr="4"/>
        <xdr:cNvPicPr/>
      </xdr:nvPicPr>
      <xdr:blipFill>
        <a:blip r:embed="rId9"/>
        <a:stretch/>
      </xdr:blipFill>
      <xdr:spPr>
        <a:xfrm>
          <a:off x="5605920" y="12088080"/>
          <a:ext cx="1170720" cy="1165680"/>
        </a:xfrm>
        <a:prstGeom prst="rect">
          <a:avLst/>
        </a:prstGeom>
        <a:noFill/>
        <a:ln w="9525">
          <a:noFill/>
        </a:ln>
      </xdr:spPr>
    </xdr:pic>
    <xdr:clientData/>
  </xdr:twoCellAnchor>
  <xdr:twoCellAnchor editAs="twoCell">
    <xdr:from>
      <xdr:col>0</xdr:col>
      <xdr:colOff>0</xdr:colOff>
      <xdr:row>16</xdr:row>
      <xdr:rowOff>0</xdr:rowOff>
    </xdr:from>
    <xdr:to>
      <xdr:col>0</xdr:col>
      <xdr:colOff>826560</xdr:colOff>
      <xdr:row>16</xdr:row>
      <xdr:rowOff>297000</xdr:rowOff>
    </xdr:to>
    <xdr:pic>
      <xdr:nvPicPr>
        <xdr:cNvPr id="1398" name="图片 10" descr="新品"/>
        <xdr:cNvPicPr/>
      </xdr:nvPicPr>
      <xdr:blipFill>
        <a:blip r:embed="rId10"/>
        <a:stretch/>
      </xdr:blipFill>
      <xdr:spPr>
        <a:xfrm>
          <a:off x="0" y="11941200"/>
          <a:ext cx="826560" cy="297000"/>
        </a:xfrm>
        <a:prstGeom prst="rect">
          <a:avLst/>
        </a:prstGeom>
        <a:noFill/>
        <a:ln w="9525">
          <a:noFill/>
        </a:ln>
      </xdr:spPr>
    </xdr:pic>
    <xdr:clientData/>
  </xdr:twoCellAnchor>
  <xdr:twoCellAnchor editAs="oneCell">
    <xdr:from>
      <xdr:col>1</xdr:col>
      <xdr:colOff>38160</xdr:colOff>
      <xdr:row>12</xdr:row>
      <xdr:rowOff>140760</xdr:rowOff>
    </xdr:from>
    <xdr:to>
      <xdr:col>1</xdr:col>
      <xdr:colOff>1208880</xdr:colOff>
      <xdr:row>12</xdr:row>
      <xdr:rowOff>1319040</xdr:rowOff>
    </xdr:to>
    <xdr:pic>
      <xdr:nvPicPr>
        <xdr:cNvPr id="1399" name="图片 15" descr="3"/>
        <xdr:cNvPicPr/>
      </xdr:nvPicPr>
      <xdr:blipFill>
        <a:blip r:embed="rId11"/>
        <a:stretch/>
      </xdr:blipFill>
      <xdr:spPr>
        <a:xfrm>
          <a:off x="4039920" y="8751240"/>
          <a:ext cx="1170720" cy="1178280"/>
        </a:xfrm>
        <a:prstGeom prst="rect">
          <a:avLst/>
        </a:prstGeom>
        <a:noFill/>
        <a:ln w="9525">
          <a:noFill/>
        </a:ln>
      </xdr:spPr>
    </xdr:pic>
    <xdr:clientData/>
  </xdr:twoCellAnchor>
  <xdr:twoCellAnchor editAs="oneCell">
    <xdr:from>
      <xdr:col>2</xdr:col>
      <xdr:colOff>38160</xdr:colOff>
      <xdr:row>12</xdr:row>
      <xdr:rowOff>143280</xdr:rowOff>
    </xdr:from>
    <xdr:to>
      <xdr:col>2</xdr:col>
      <xdr:colOff>1208880</xdr:colOff>
      <xdr:row>12</xdr:row>
      <xdr:rowOff>1316520</xdr:rowOff>
    </xdr:to>
    <xdr:pic>
      <xdr:nvPicPr>
        <xdr:cNvPr id="1400" name="图片 16" descr="12"/>
        <xdr:cNvPicPr/>
      </xdr:nvPicPr>
      <xdr:blipFill>
        <a:blip r:embed="rId12"/>
        <a:stretch/>
      </xdr:blipFill>
      <xdr:spPr>
        <a:xfrm>
          <a:off x="5605920" y="8753760"/>
          <a:ext cx="1170720" cy="1173240"/>
        </a:xfrm>
        <a:prstGeom prst="rect">
          <a:avLst/>
        </a:prstGeom>
        <a:noFill/>
        <a:ln w="9525">
          <a:noFill/>
        </a:ln>
      </xdr:spPr>
    </xdr:pic>
    <xdr:clientData/>
  </xdr:twoCellAnchor>
  <xdr:twoCellAnchor editAs="oneCell">
    <xdr:from>
      <xdr:col>1</xdr:col>
      <xdr:colOff>38160</xdr:colOff>
      <xdr:row>7</xdr:row>
      <xdr:rowOff>138240</xdr:rowOff>
    </xdr:from>
    <xdr:to>
      <xdr:col>1</xdr:col>
      <xdr:colOff>1208880</xdr:colOff>
      <xdr:row>7</xdr:row>
      <xdr:rowOff>1321560</xdr:rowOff>
    </xdr:to>
    <xdr:pic>
      <xdr:nvPicPr>
        <xdr:cNvPr id="1401" name="图片 17" descr="1"/>
        <xdr:cNvPicPr/>
      </xdr:nvPicPr>
      <xdr:blipFill>
        <a:blip r:embed="rId13"/>
        <a:stretch/>
      </xdr:blipFill>
      <xdr:spPr>
        <a:xfrm>
          <a:off x="4039920" y="4240440"/>
          <a:ext cx="1170720" cy="1183320"/>
        </a:xfrm>
        <a:prstGeom prst="rect">
          <a:avLst/>
        </a:prstGeom>
        <a:noFill/>
        <a:ln w="9525">
          <a:noFill/>
        </a:ln>
      </xdr:spPr>
    </xdr:pic>
    <xdr:clientData/>
  </xdr:twoCellAnchor>
  <xdr:twoCellAnchor editAs="oneCell">
    <xdr:from>
      <xdr:col>2</xdr:col>
      <xdr:colOff>38160</xdr:colOff>
      <xdr:row>7</xdr:row>
      <xdr:rowOff>144000</xdr:rowOff>
    </xdr:from>
    <xdr:to>
      <xdr:col>2</xdr:col>
      <xdr:colOff>1208880</xdr:colOff>
      <xdr:row>7</xdr:row>
      <xdr:rowOff>1315440</xdr:rowOff>
    </xdr:to>
    <xdr:pic>
      <xdr:nvPicPr>
        <xdr:cNvPr id="1402" name="图片 18" descr="9"/>
        <xdr:cNvPicPr/>
      </xdr:nvPicPr>
      <xdr:blipFill>
        <a:blip r:embed="rId14"/>
        <a:stretch/>
      </xdr:blipFill>
      <xdr:spPr>
        <a:xfrm>
          <a:off x="5605920" y="4246200"/>
          <a:ext cx="1170720" cy="1171440"/>
        </a:xfrm>
        <a:prstGeom prst="rect">
          <a:avLst/>
        </a:prstGeom>
        <a:noFill/>
        <a:ln w="9525">
          <a:noFill/>
        </a:ln>
      </xdr:spPr>
    </xdr:pic>
    <xdr:clientData/>
  </xdr:twoCellAnchor>
  <xdr:twoCellAnchor editAs="oneCell">
    <xdr:from>
      <xdr:col>1</xdr:col>
      <xdr:colOff>38160</xdr:colOff>
      <xdr:row>15</xdr:row>
      <xdr:rowOff>142920</xdr:rowOff>
    </xdr:from>
    <xdr:to>
      <xdr:col>1</xdr:col>
      <xdr:colOff>1208880</xdr:colOff>
      <xdr:row>15</xdr:row>
      <xdr:rowOff>1317240</xdr:rowOff>
    </xdr:to>
    <xdr:pic>
      <xdr:nvPicPr>
        <xdr:cNvPr id="1403" name="图片 1" descr="1"/>
        <xdr:cNvPicPr/>
      </xdr:nvPicPr>
      <xdr:blipFill>
        <a:blip r:embed="rId15"/>
        <a:stretch/>
      </xdr:blipFill>
      <xdr:spPr>
        <a:xfrm>
          <a:off x="4039920" y="10623600"/>
          <a:ext cx="1170720" cy="1174320"/>
        </a:xfrm>
        <a:prstGeom prst="rect">
          <a:avLst/>
        </a:prstGeom>
        <a:noFill/>
        <a:ln w="0">
          <a:noFill/>
        </a:ln>
      </xdr:spPr>
    </xdr:pic>
    <xdr:clientData/>
  </xdr:twoCellAnchor>
  <xdr:twoCellAnchor editAs="oneCell">
    <xdr:from>
      <xdr:col>2</xdr:col>
      <xdr:colOff>38160</xdr:colOff>
      <xdr:row>15</xdr:row>
      <xdr:rowOff>159840</xdr:rowOff>
    </xdr:from>
    <xdr:to>
      <xdr:col>2</xdr:col>
      <xdr:colOff>1208880</xdr:colOff>
      <xdr:row>15</xdr:row>
      <xdr:rowOff>1299600</xdr:rowOff>
    </xdr:to>
    <xdr:pic>
      <xdr:nvPicPr>
        <xdr:cNvPr id="1404" name="图片 2" descr="4"/>
        <xdr:cNvPicPr/>
      </xdr:nvPicPr>
      <xdr:blipFill>
        <a:blip r:embed="rId16"/>
        <a:srcRect l="0" t="0" r="0" b="2820"/>
        <a:stretch/>
      </xdr:blipFill>
      <xdr:spPr>
        <a:xfrm>
          <a:off x="5605920" y="10640520"/>
          <a:ext cx="1170720" cy="1139760"/>
        </a:xfrm>
        <a:prstGeom prst="rect">
          <a:avLst/>
        </a:prstGeom>
        <a:noFill/>
        <a:ln w="0">
          <a:noFill/>
        </a:ln>
      </xdr:spPr>
    </xdr:pic>
    <xdr:clientData/>
  </xdr:twoCellAnchor>
  <xdr:twoCellAnchor editAs="twoCell">
    <xdr:from>
      <xdr:col>0</xdr:col>
      <xdr:colOff>0</xdr:colOff>
      <xdr:row>15</xdr:row>
      <xdr:rowOff>0</xdr:rowOff>
    </xdr:from>
    <xdr:to>
      <xdr:col>0</xdr:col>
      <xdr:colOff>826560</xdr:colOff>
      <xdr:row>15</xdr:row>
      <xdr:rowOff>297000</xdr:rowOff>
    </xdr:to>
    <xdr:pic>
      <xdr:nvPicPr>
        <xdr:cNvPr id="1405" name="图片 10" descr="新品"/>
        <xdr:cNvPicPr/>
      </xdr:nvPicPr>
      <xdr:blipFill>
        <a:blip r:embed="rId17"/>
        <a:stretch/>
      </xdr:blipFill>
      <xdr:spPr>
        <a:xfrm>
          <a:off x="0" y="10480680"/>
          <a:ext cx="826560" cy="297000"/>
        </a:xfrm>
        <a:prstGeom prst="rect">
          <a:avLst/>
        </a:prstGeom>
        <a:noFill/>
        <a:ln w="9525">
          <a:noFill/>
        </a:ln>
      </xdr:spPr>
    </xdr:pic>
    <xdr:clientData/>
  </xdr:twoCellAnchor>
  <xdr:twoCellAnchor editAs="oneCell">
    <xdr:from>
      <xdr:col>1</xdr:col>
      <xdr:colOff>38160</xdr:colOff>
      <xdr:row>5</xdr:row>
      <xdr:rowOff>174600</xdr:rowOff>
    </xdr:from>
    <xdr:to>
      <xdr:col>1</xdr:col>
      <xdr:colOff>1208880</xdr:colOff>
      <xdr:row>6</xdr:row>
      <xdr:rowOff>586800</xdr:rowOff>
    </xdr:to>
    <xdr:pic>
      <xdr:nvPicPr>
        <xdr:cNvPr id="1406" name="图片 5" descr="3"/>
        <xdr:cNvPicPr/>
      </xdr:nvPicPr>
      <xdr:blipFill>
        <a:blip r:embed="rId18"/>
        <a:stretch/>
      </xdr:blipFill>
      <xdr:spPr>
        <a:xfrm>
          <a:off x="4039920" y="2752560"/>
          <a:ext cx="1170720" cy="1174320"/>
        </a:xfrm>
        <a:prstGeom prst="rect">
          <a:avLst/>
        </a:prstGeom>
        <a:noFill/>
        <a:ln w="0">
          <a:noFill/>
        </a:ln>
      </xdr:spPr>
    </xdr:pic>
    <xdr:clientData/>
  </xdr:twoCellAnchor>
  <xdr:twoCellAnchor editAs="oneCell">
    <xdr:from>
      <xdr:col>2</xdr:col>
      <xdr:colOff>38160</xdr:colOff>
      <xdr:row>5</xdr:row>
      <xdr:rowOff>173160</xdr:rowOff>
    </xdr:from>
    <xdr:to>
      <xdr:col>2</xdr:col>
      <xdr:colOff>1208880</xdr:colOff>
      <xdr:row>6</xdr:row>
      <xdr:rowOff>588240</xdr:rowOff>
    </xdr:to>
    <xdr:pic>
      <xdr:nvPicPr>
        <xdr:cNvPr id="1407" name="图片 6" descr="10"/>
        <xdr:cNvPicPr/>
      </xdr:nvPicPr>
      <xdr:blipFill>
        <a:blip r:embed="rId19"/>
        <a:stretch/>
      </xdr:blipFill>
      <xdr:spPr>
        <a:xfrm>
          <a:off x="5605920" y="2751120"/>
          <a:ext cx="1170720" cy="1177200"/>
        </a:xfrm>
        <a:prstGeom prst="rect">
          <a:avLst/>
        </a:prstGeom>
        <a:noFill/>
        <a:ln w="0">
          <a:noFill/>
        </a:ln>
      </xdr:spPr>
    </xdr:pic>
    <xdr:clientData/>
  </xdr:twoCellAnchor>
  <xdr:twoCellAnchor editAs="oneCell">
    <xdr:from>
      <xdr:col>1</xdr:col>
      <xdr:colOff>38160</xdr:colOff>
      <xdr:row>3</xdr:row>
      <xdr:rowOff>173520</xdr:rowOff>
    </xdr:from>
    <xdr:to>
      <xdr:col>1</xdr:col>
      <xdr:colOff>1208880</xdr:colOff>
      <xdr:row>4</xdr:row>
      <xdr:rowOff>587880</xdr:rowOff>
    </xdr:to>
    <xdr:pic>
      <xdr:nvPicPr>
        <xdr:cNvPr id="1408" name="图片 3" descr="BD19 业务图_3_带版设"/>
        <xdr:cNvPicPr/>
      </xdr:nvPicPr>
      <xdr:blipFill>
        <a:blip r:embed="rId20"/>
        <a:stretch/>
      </xdr:blipFill>
      <xdr:spPr>
        <a:xfrm>
          <a:off x="4039920" y="1227600"/>
          <a:ext cx="1170720" cy="1176480"/>
        </a:xfrm>
        <a:prstGeom prst="rect">
          <a:avLst/>
        </a:prstGeom>
        <a:noFill/>
        <a:ln w="0">
          <a:noFill/>
        </a:ln>
      </xdr:spPr>
    </xdr:pic>
    <xdr:clientData/>
  </xdr:twoCellAnchor>
  <xdr:twoCellAnchor editAs="oneCell">
    <xdr:from>
      <xdr:col>2</xdr:col>
      <xdr:colOff>38160</xdr:colOff>
      <xdr:row>3</xdr:row>
      <xdr:rowOff>174960</xdr:rowOff>
    </xdr:from>
    <xdr:to>
      <xdr:col>2</xdr:col>
      <xdr:colOff>1208880</xdr:colOff>
      <xdr:row>4</xdr:row>
      <xdr:rowOff>586080</xdr:rowOff>
    </xdr:to>
    <xdr:pic>
      <xdr:nvPicPr>
        <xdr:cNvPr id="1409" name="图片 7" descr="BD19 业务图_10_带版设"/>
        <xdr:cNvPicPr/>
      </xdr:nvPicPr>
      <xdr:blipFill>
        <a:blip r:embed="rId21"/>
        <a:stretch/>
      </xdr:blipFill>
      <xdr:spPr>
        <a:xfrm>
          <a:off x="5605920" y="1229040"/>
          <a:ext cx="1170720" cy="1173240"/>
        </a:xfrm>
        <a:prstGeom prst="rect">
          <a:avLst/>
        </a:prstGeom>
        <a:noFill/>
        <a:ln w="0">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38160</xdr:colOff>
      <xdr:row>14</xdr:row>
      <xdr:rowOff>140040</xdr:rowOff>
    </xdr:from>
    <xdr:to>
      <xdr:col>1</xdr:col>
      <xdr:colOff>1208880</xdr:colOff>
      <xdr:row>14</xdr:row>
      <xdr:rowOff>1320120</xdr:rowOff>
    </xdr:to>
    <xdr:pic>
      <xdr:nvPicPr>
        <xdr:cNvPr id="1410" name="图片 2" descr="1"/>
        <xdr:cNvPicPr/>
      </xdr:nvPicPr>
      <xdr:blipFill>
        <a:blip r:embed="rId1"/>
        <a:stretch/>
      </xdr:blipFill>
      <xdr:spPr>
        <a:xfrm>
          <a:off x="4039920" y="10592280"/>
          <a:ext cx="1170720" cy="1180080"/>
        </a:xfrm>
        <a:prstGeom prst="rect">
          <a:avLst/>
        </a:prstGeom>
        <a:noFill/>
        <a:ln w="0">
          <a:noFill/>
        </a:ln>
      </xdr:spPr>
    </xdr:pic>
    <xdr:clientData/>
  </xdr:twoCellAnchor>
  <xdr:twoCellAnchor editAs="oneCell">
    <xdr:from>
      <xdr:col>2</xdr:col>
      <xdr:colOff>38160</xdr:colOff>
      <xdr:row>14</xdr:row>
      <xdr:rowOff>141120</xdr:rowOff>
    </xdr:from>
    <xdr:to>
      <xdr:col>2</xdr:col>
      <xdr:colOff>1208880</xdr:colOff>
      <xdr:row>14</xdr:row>
      <xdr:rowOff>1319040</xdr:rowOff>
    </xdr:to>
    <xdr:pic>
      <xdr:nvPicPr>
        <xdr:cNvPr id="1411" name="图片 3" descr="9"/>
        <xdr:cNvPicPr/>
      </xdr:nvPicPr>
      <xdr:blipFill>
        <a:blip r:embed="rId2"/>
        <a:stretch/>
      </xdr:blipFill>
      <xdr:spPr>
        <a:xfrm>
          <a:off x="5605920" y="10593360"/>
          <a:ext cx="1170720" cy="1177920"/>
        </a:xfrm>
        <a:prstGeom prst="rect">
          <a:avLst/>
        </a:prstGeom>
        <a:noFill/>
        <a:ln w="0">
          <a:noFill/>
        </a:ln>
      </xdr:spPr>
    </xdr:pic>
    <xdr:clientData/>
  </xdr:twoCellAnchor>
  <xdr:twoCellAnchor editAs="oneCell">
    <xdr:from>
      <xdr:col>1</xdr:col>
      <xdr:colOff>38160</xdr:colOff>
      <xdr:row>15</xdr:row>
      <xdr:rowOff>143280</xdr:rowOff>
    </xdr:from>
    <xdr:to>
      <xdr:col>1</xdr:col>
      <xdr:colOff>1208880</xdr:colOff>
      <xdr:row>15</xdr:row>
      <xdr:rowOff>1316520</xdr:rowOff>
    </xdr:to>
    <xdr:pic>
      <xdr:nvPicPr>
        <xdr:cNvPr id="1412" name="图片 4" descr="1"/>
        <xdr:cNvPicPr/>
      </xdr:nvPicPr>
      <xdr:blipFill>
        <a:blip r:embed="rId3"/>
        <a:stretch/>
      </xdr:blipFill>
      <xdr:spPr>
        <a:xfrm>
          <a:off x="4039920" y="12056040"/>
          <a:ext cx="1170720" cy="1173240"/>
        </a:xfrm>
        <a:prstGeom prst="rect">
          <a:avLst/>
        </a:prstGeom>
        <a:noFill/>
        <a:ln w="0">
          <a:noFill/>
        </a:ln>
      </xdr:spPr>
    </xdr:pic>
    <xdr:clientData/>
  </xdr:twoCellAnchor>
  <xdr:twoCellAnchor editAs="oneCell">
    <xdr:from>
      <xdr:col>2</xdr:col>
      <xdr:colOff>38160</xdr:colOff>
      <xdr:row>15</xdr:row>
      <xdr:rowOff>142200</xdr:rowOff>
    </xdr:from>
    <xdr:to>
      <xdr:col>2</xdr:col>
      <xdr:colOff>1208880</xdr:colOff>
      <xdr:row>15</xdr:row>
      <xdr:rowOff>1317600</xdr:rowOff>
    </xdr:to>
    <xdr:pic>
      <xdr:nvPicPr>
        <xdr:cNvPr id="1413" name="图片 5" descr="9"/>
        <xdr:cNvPicPr/>
      </xdr:nvPicPr>
      <xdr:blipFill>
        <a:blip r:embed="rId4"/>
        <a:stretch/>
      </xdr:blipFill>
      <xdr:spPr>
        <a:xfrm>
          <a:off x="5605920" y="12054960"/>
          <a:ext cx="1170720" cy="1175400"/>
        </a:xfrm>
        <a:prstGeom prst="rect">
          <a:avLst/>
        </a:prstGeom>
        <a:noFill/>
        <a:ln w="0">
          <a:noFill/>
        </a:ln>
      </xdr:spPr>
    </xdr:pic>
    <xdr:clientData/>
  </xdr:twoCellAnchor>
  <xdr:twoCellAnchor editAs="oneCell">
    <xdr:from>
      <xdr:col>1</xdr:col>
      <xdr:colOff>38160</xdr:colOff>
      <xdr:row>10</xdr:row>
      <xdr:rowOff>697680</xdr:rowOff>
    </xdr:from>
    <xdr:to>
      <xdr:col>1</xdr:col>
      <xdr:colOff>1208880</xdr:colOff>
      <xdr:row>12</xdr:row>
      <xdr:rowOff>475200</xdr:rowOff>
    </xdr:to>
    <xdr:pic>
      <xdr:nvPicPr>
        <xdr:cNvPr id="1414" name="图片 6" descr="5"/>
        <xdr:cNvPicPr/>
      </xdr:nvPicPr>
      <xdr:blipFill>
        <a:blip r:embed="rId5"/>
        <a:stretch/>
      </xdr:blipFill>
      <xdr:spPr>
        <a:xfrm>
          <a:off x="4039920" y="8355960"/>
          <a:ext cx="1170720" cy="1174320"/>
        </a:xfrm>
        <a:prstGeom prst="rect">
          <a:avLst/>
        </a:prstGeom>
        <a:noFill/>
        <a:ln w="0">
          <a:noFill/>
        </a:ln>
      </xdr:spPr>
    </xdr:pic>
    <xdr:clientData/>
  </xdr:twoCellAnchor>
  <xdr:twoCellAnchor editAs="oneCell">
    <xdr:from>
      <xdr:col>2</xdr:col>
      <xdr:colOff>38160</xdr:colOff>
      <xdr:row>10</xdr:row>
      <xdr:rowOff>697680</xdr:rowOff>
    </xdr:from>
    <xdr:to>
      <xdr:col>2</xdr:col>
      <xdr:colOff>1208880</xdr:colOff>
      <xdr:row>12</xdr:row>
      <xdr:rowOff>479880</xdr:rowOff>
    </xdr:to>
    <xdr:pic>
      <xdr:nvPicPr>
        <xdr:cNvPr id="1415" name="图片 7" descr="13"/>
        <xdr:cNvPicPr/>
      </xdr:nvPicPr>
      <xdr:blipFill>
        <a:blip r:embed="rId6"/>
        <a:stretch/>
      </xdr:blipFill>
      <xdr:spPr>
        <a:xfrm>
          <a:off x="5605920" y="8355960"/>
          <a:ext cx="1170720" cy="1179000"/>
        </a:xfrm>
        <a:prstGeom prst="rect">
          <a:avLst/>
        </a:prstGeom>
        <a:noFill/>
        <a:ln w="0">
          <a:noFill/>
        </a:ln>
      </xdr:spPr>
    </xdr:pic>
    <xdr:clientData/>
  </xdr:twoCellAnchor>
  <xdr:twoCellAnchor editAs="oneCell">
    <xdr:from>
      <xdr:col>2</xdr:col>
      <xdr:colOff>38160</xdr:colOff>
      <xdr:row>16</xdr:row>
      <xdr:rowOff>140400</xdr:rowOff>
    </xdr:from>
    <xdr:to>
      <xdr:col>2</xdr:col>
      <xdr:colOff>1208880</xdr:colOff>
      <xdr:row>16</xdr:row>
      <xdr:rowOff>1319400</xdr:rowOff>
    </xdr:to>
    <xdr:pic>
      <xdr:nvPicPr>
        <xdr:cNvPr id="1416" name="图片 8" descr="5"/>
        <xdr:cNvPicPr/>
      </xdr:nvPicPr>
      <xdr:blipFill>
        <a:blip r:embed="rId7"/>
        <a:stretch/>
      </xdr:blipFill>
      <xdr:spPr>
        <a:xfrm>
          <a:off x="5605920" y="13513680"/>
          <a:ext cx="1170720" cy="1179000"/>
        </a:xfrm>
        <a:prstGeom prst="rect">
          <a:avLst/>
        </a:prstGeom>
        <a:noFill/>
        <a:ln w="0">
          <a:noFill/>
        </a:ln>
      </xdr:spPr>
    </xdr:pic>
    <xdr:clientData/>
  </xdr:twoCellAnchor>
  <xdr:twoCellAnchor editAs="oneCell">
    <xdr:from>
      <xdr:col>1</xdr:col>
      <xdr:colOff>38160</xdr:colOff>
      <xdr:row>16</xdr:row>
      <xdr:rowOff>144000</xdr:rowOff>
    </xdr:from>
    <xdr:to>
      <xdr:col>1</xdr:col>
      <xdr:colOff>1208880</xdr:colOff>
      <xdr:row>16</xdr:row>
      <xdr:rowOff>1315440</xdr:rowOff>
    </xdr:to>
    <xdr:pic>
      <xdr:nvPicPr>
        <xdr:cNvPr id="1417" name="图片 9" descr="1"/>
        <xdr:cNvPicPr/>
      </xdr:nvPicPr>
      <xdr:blipFill>
        <a:blip r:embed="rId8"/>
        <a:stretch/>
      </xdr:blipFill>
      <xdr:spPr>
        <a:xfrm>
          <a:off x="4039920" y="13517280"/>
          <a:ext cx="1170720" cy="1171440"/>
        </a:xfrm>
        <a:prstGeom prst="rect">
          <a:avLst/>
        </a:prstGeom>
        <a:noFill/>
        <a:ln w="0">
          <a:noFill/>
        </a:ln>
      </xdr:spPr>
    </xdr:pic>
    <xdr:clientData/>
  </xdr:twoCellAnchor>
  <xdr:twoCellAnchor editAs="oneCell">
    <xdr:from>
      <xdr:col>2</xdr:col>
      <xdr:colOff>38160</xdr:colOff>
      <xdr:row>17</xdr:row>
      <xdr:rowOff>142200</xdr:rowOff>
    </xdr:from>
    <xdr:to>
      <xdr:col>2</xdr:col>
      <xdr:colOff>1208880</xdr:colOff>
      <xdr:row>17</xdr:row>
      <xdr:rowOff>1317600</xdr:rowOff>
    </xdr:to>
    <xdr:pic>
      <xdr:nvPicPr>
        <xdr:cNvPr id="1418" name="图片 10" descr="6"/>
        <xdr:cNvPicPr/>
      </xdr:nvPicPr>
      <xdr:blipFill>
        <a:blip r:embed="rId9"/>
        <a:stretch/>
      </xdr:blipFill>
      <xdr:spPr>
        <a:xfrm>
          <a:off x="5605920" y="14975640"/>
          <a:ext cx="1170720" cy="1175400"/>
        </a:xfrm>
        <a:prstGeom prst="rect">
          <a:avLst/>
        </a:prstGeom>
        <a:noFill/>
        <a:ln w="0">
          <a:noFill/>
        </a:ln>
      </xdr:spPr>
    </xdr:pic>
    <xdr:clientData/>
  </xdr:twoCellAnchor>
  <xdr:twoCellAnchor editAs="oneCell">
    <xdr:from>
      <xdr:col>1</xdr:col>
      <xdr:colOff>38160</xdr:colOff>
      <xdr:row>17</xdr:row>
      <xdr:rowOff>144000</xdr:rowOff>
    </xdr:from>
    <xdr:to>
      <xdr:col>1</xdr:col>
      <xdr:colOff>1208880</xdr:colOff>
      <xdr:row>17</xdr:row>
      <xdr:rowOff>1316160</xdr:rowOff>
    </xdr:to>
    <xdr:pic>
      <xdr:nvPicPr>
        <xdr:cNvPr id="1419" name="图片 29" descr="1"/>
        <xdr:cNvPicPr/>
      </xdr:nvPicPr>
      <xdr:blipFill>
        <a:blip r:embed="rId10"/>
        <a:stretch/>
      </xdr:blipFill>
      <xdr:spPr>
        <a:xfrm>
          <a:off x="4039920" y="14977440"/>
          <a:ext cx="1170720" cy="1172160"/>
        </a:xfrm>
        <a:prstGeom prst="rect">
          <a:avLst/>
        </a:prstGeom>
        <a:noFill/>
        <a:ln w="0">
          <a:noFill/>
        </a:ln>
      </xdr:spPr>
    </xdr:pic>
    <xdr:clientData/>
  </xdr:twoCellAnchor>
  <xdr:twoCellAnchor editAs="oneCell">
    <xdr:from>
      <xdr:col>2</xdr:col>
      <xdr:colOff>38160</xdr:colOff>
      <xdr:row>20</xdr:row>
      <xdr:rowOff>143640</xdr:rowOff>
    </xdr:from>
    <xdr:to>
      <xdr:col>2</xdr:col>
      <xdr:colOff>1208880</xdr:colOff>
      <xdr:row>20</xdr:row>
      <xdr:rowOff>1316160</xdr:rowOff>
    </xdr:to>
    <xdr:pic>
      <xdr:nvPicPr>
        <xdr:cNvPr id="1420" name="图片 32" descr="BF10-iP18-Pro&amp;iP18-Pro-Max-3"/>
        <xdr:cNvPicPr/>
      </xdr:nvPicPr>
      <xdr:blipFill>
        <a:blip r:embed="rId11"/>
        <a:stretch/>
      </xdr:blipFill>
      <xdr:spPr>
        <a:xfrm>
          <a:off x="5605920" y="19358640"/>
          <a:ext cx="1170720" cy="1172520"/>
        </a:xfrm>
        <a:prstGeom prst="rect">
          <a:avLst/>
        </a:prstGeom>
        <a:noFill/>
        <a:ln w="0">
          <a:noFill/>
        </a:ln>
      </xdr:spPr>
    </xdr:pic>
    <xdr:clientData/>
  </xdr:twoCellAnchor>
  <xdr:twoCellAnchor editAs="oneCell">
    <xdr:from>
      <xdr:col>2</xdr:col>
      <xdr:colOff>38160</xdr:colOff>
      <xdr:row>21</xdr:row>
      <xdr:rowOff>142920</xdr:rowOff>
    </xdr:from>
    <xdr:to>
      <xdr:col>2</xdr:col>
      <xdr:colOff>1208880</xdr:colOff>
      <xdr:row>21</xdr:row>
      <xdr:rowOff>1317240</xdr:rowOff>
    </xdr:to>
    <xdr:pic>
      <xdr:nvPicPr>
        <xdr:cNvPr id="1421" name="图片 33" descr="BF10-iP18-Pro&amp;iP18-Pro-Max-4"/>
        <xdr:cNvPicPr/>
      </xdr:nvPicPr>
      <xdr:blipFill>
        <a:blip r:embed="rId12"/>
        <a:stretch/>
      </xdr:blipFill>
      <xdr:spPr>
        <a:xfrm>
          <a:off x="5605920" y="20818440"/>
          <a:ext cx="1170720" cy="1174320"/>
        </a:xfrm>
        <a:prstGeom prst="rect">
          <a:avLst/>
        </a:prstGeom>
        <a:noFill/>
        <a:ln w="0">
          <a:noFill/>
        </a:ln>
      </xdr:spPr>
    </xdr:pic>
    <xdr:clientData/>
  </xdr:twoCellAnchor>
  <xdr:twoCellAnchor editAs="oneCell">
    <xdr:from>
      <xdr:col>1</xdr:col>
      <xdr:colOff>38160</xdr:colOff>
      <xdr:row>20</xdr:row>
      <xdr:rowOff>142200</xdr:rowOff>
    </xdr:from>
    <xdr:to>
      <xdr:col>1</xdr:col>
      <xdr:colOff>1208880</xdr:colOff>
      <xdr:row>20</xdr:row>
      <xdr:rowOff>1317600</xdr:rowOff>
    </xdr:to>
    <xdr:pic>
      <xdr:nvPicPr>
        <xdr:cNvPr id="1422" name="图片 34" descr="BF10-iP18-Pro&amp;iP18-Pro-Max-1"/>
        <xdr:cNvPicPr/>
      </xdr:nvPicPr>
      <xdr:blipFill>
        <a:blip r:embed="rId13"/>
        <a:stretch/>
      </xdr:blipFill>
      <xdr:spPr>
        <a:xfrm>
          <a:off x="4039920" y="19357200"/>
          <a:ext cx="1170720" cy="1175400"/>
        </a:xfrm>
        <a:prstGeom prst="rect">
          <a:avLst/>
        </a:prstGeom>
        <a:noFill/>
        <a:ln w="0">
          <a:noFill/>
        </a:ln>
      </xdr:spPr>
    </xdr:pic>
    <xdr:clientData/>
  </xdr:twoCellAnchor>
  <xdr:twoCellAnchor editAs="oneCell">
    <xdr:from>
      <xdr:col>1</xdr:col>
      <xdr:colOff>38160</xdr:colOff>
      <xdr:row>21</xdr:row>
      <xdr:rowOff>142200</xdr:rowOff>
    </xdr:from>
    <xdr:to>
      <xdr:col>1</xdr:col>
      <xdr:colOff>1208880</xdr:colOff>
      <xdr:row>21</xdr:row>
      <xdr:rowOff>1317600</xdr:rowOff>
    </xdr:to>
    <xdr:pic>
      <xdr:nvPicPr>
        <xdr:cNvPr id="1423" name="图片 35" descr="BF10-iP18-Pro&amp;iP18-Pro-Max-1"/>
        <xdr:cNvPicPr/>
      </xdr:nvPicPr>
      <xdr:blipFill>
        <a:blip r:embed="rId14"/>
        <a:stretch/>
      </xdr:blipFill>
      <xdr:spPr>
        <a:xfrm>
          <a:off x="4039920" y="20817720"/>
          <a:ext cx="1170720" cy="1175400"/>
        </a:xfrm>
        <a:prstGeom prst="rect">
          <a:avLst/>
        </a:prstGeom>
        <a:noFill/>
        <a:ln w="0">
          <a:noFill/>
        </a:ln>
      </xdr:spPr>
    </xdr:pic>
    <xdr:clientData/>
  </xdr:twoCellAnchor>
  <xdr:twoCellAnchor editAs="oneCell">
    <xdr:from>
      <xdr:col>1</xdr:col>
      <xdr:colOff>38160</xdr:colOff>
      <xdr:row>18</xdr:row>
      <xdr:rowOff>142200</xdr:rowOff>
    </xdr:from>
    <xdr:to>
      <xdr:col>1</xdr:col>
      <xdr:colOff>1208880</xdr:colOff>
      <xdr:row>18</xdr:row>
      <xdr:rowOff>1317600</xdr:rowOff>
    </xdr:to>
    <xdr:pic>
      <xdr:nvPicPr>
        <xdr:cNvPr id="1424" name="图片 56" descr="1"/>
        <xdr:cNvPicPr/>
      </xdr:nvPicPr>
      <xdr:blipFill>
        <a:blip r:embed="rId15"/>
        <a:stretch/>
      </xdr:blipFill>
      <xdr:spPr>
        <a:xfrm>
          <a:off x="4039920" y="16436160"/>
          <a:ext cx="1170720" cy="1175400"/>
        </a:xfrm>
        <a:prstGeom prst="rect">
          <a:avLst/>
        </a:prstGeom>
        <a:noFill/>
        <a:ln w="0">
          <a:noFill/>
        </a:ln>
      </xdr:spPr>
    </xdr:pic>
    <xdr:clientData/>
  </xdr:twoCellAnchor>
  <xdr:twoCellAnchor editAs="oneCell">
    <xdr:from>
      <xdr:col>2</xdr:col>
      <xdr:colOff>38160</xdr:colOff>
      <xdr:row>18</xdr:row>
      <xdr:rowOff>144000</xdr:rowOff>
    </xdr:from>
    <xdr:to>
      <xdr:col>2</xdr:col>
      <xdr:colOff>1208880</xdr:colOff>
      <xdr:row>18</xdr:row>
      <xdr:rowOff>1316160</xdr:rowOff>
    </xdr:to>
    <xdr:pic>
      <xdr:nvPicPr>
        <xdr:cNvPr id="1425" name="图片 57" descr="3"/>
        <xdr:cNvPicPr/>
      </xdr:nvPicPr>
      <xdr:blipFill>
        <a:blip r:embed="rId16"/>
        <a:stretch/>
      </xdr:blipFill>
      <xdr:spPr>
        <a:xfrm>
          <a:off x="5605920" y="16437960"/>
          <a:ext cx="1170720" cy="1172160"/>
        </a:xfrm>
        <a:prstGeom prst="rect">
          <a:avLst/>
        </a:prstGeom>
        <a:noFill/>
        <a:ln w="0">
          <a:noFill/>
        </a:ln>
      </xdr:spPr>
    </xdr:pic>
    <xdr:clientData/>
  </xdr:twoCellAnchor>
  <xdr:twoCellAnchor editAs="oneCell">
    <xdr:from>
      <xdr:col>2</xdr:col>
      <xdr:colOff>38160</xdr:colOff>
      <xdr:row>19</xdr:row>
      <xdr:rowOff>144000</xdr:rowOff>
    </xdr:from>
    <xdr:to>
      <xdr:col>2</xdr:col>
      <xdr:colOff>1208880</xdr:colOff>
      <xdr:row>19</xdr:row>
      <xdr:rowOff>1316160</xdr:rowOff>
    </xdr:to>
    <xdr:pic>
      <xdr:nvPicPr>
        <xdr:cNvPr id="1426" name="图片 58" descr="4"/>
        <xdr:cNvPicPr/>
      </xdr:nvPicPr>
      <xdr:blipFill>
        <a:blip r:embed="rId17"/>
        <a:stretch/>
      </xdr:blipFill>
      <xdr:spPr>
        <a:xfrm>
          <a:off x="5605920" y="17898480"/>
          <a:ext cx="1170720" cy="1172160"/>
        </a:xfrm>
        <a:prstGeom prst="rect">
          <a:avLst/>
        </a:prstGeom>
        <a:noFill/>
        <a:ln w="0">
          <a:noFill/>
        </a:ln>
      </xdr:spPr>
    </xdr:pic>
    <xdr:clientData/>
  </xdr:twoCellAnchor>
  <xdr:twoCellAnchor editAs="oneCell">
    <xdr:from>
      <xdr:col>1</xdr:col>
      <xdr:colOff>38160</xdr:colOff>
      <xdr:row>19</xdr:row>
      <xdr:rowOff>142200</xdr:rowOff>
    </xdr:from>
    <xdr:to>
      <xdr:col>1</xdr:col>
      <xdr:colOff>1208880</xdr:colOff>
      <xdr:row>19</xdr:row>
      <xdr:rowOff>1317600</xdr:rowOff>
    </xdr:to>
    <xdr:pic>
      <xdr:nvPicPr>
        <xdr:cNvPr id="1427" name="图片 75" descr="1"/>
        <xdr:cNvPicPr/>
      </xdr:nvPicPr>
      <xdr:blipFill>
        <a:blip r:embed="rId18"/>
        <a:stretch/>
      </xdr:blipFill>
      <xdr:spPr>
        <a:xfrm>
          <a:off x="4039920" y="17896680"/>
          <a:ext cx="1170720" cy="1175400"/>
        </a:xfrm>
        <a:prstGeom prst="rect">
          <a:avLst/>
        </a:prstGeom>
        <a:noFill/>
        <a:ln w="0">
          <a:noFill/>
        </a:ln>
      </xdr:spPr>
    </xdr:pic>
    <xdr:clientData/>
  </xdr:twoCellAnchor>
  <xdr:twoCellAnchor editAs="oneCell">
    <xdr:from>
      <xdr:col>1</xdr:col>
      <xdr:colOff>38160</xdr:colOff>
      <xdr:row>26</xdr:row>
      <xdr:rowOff>141480</xdr:rowOff>
    </xdr:from>
    <xdr:to>
      <xdr:col>1</xdr:col>
      <xdr:colOff>1208880</xdr:colOff>
      <xdr:row>26</xdr:row>
      <xdr:rowOff>1317960</xdr:rowOff>
    </xdr:to>
    <xdr:pic>
      <xdr:nvPicPr>
        <xdr:cNvPr id="1428" name="图片 76" descr="1"/>
        <xdr:cNvPicPr/>
      </xdr:nvPicPr>
      <xdr:blipFill>
        <a:blip r:embed="rId19"/>
        <a:stretch/>
      </xdr:blipFill>
      <xdr:spPr>
        <a:xfrm>
          <a:off x="4039920" y="28119600"/>
          <a:ext cx="1170720" cy="1176480"/>
        </a:xfrm>
        <a:prstGeom prst="rect">
          <a:avLst/>
        </a:prstGeom>
        <a:noFill/>
        <a:ln w="0">
          <a:noFill/>
        </a:ln>
      </xdr:spPr>
    </xdr:pic>
    <xdr:clientData/>
  </xdr:twoCellAnchor>
  <xdr:twoCellAnchor editAs="oneCell">
    <xdr:from>
      <xdr:col>2</xdr:col>
      <xdr:colOff>38160</xdr:colOff>
      <xdr:row>26</xdr:row>
      <xdr:rowOff>142920</xdr:rowOff>
    </xdr:from>
    <xdr:to>
      <xdr:col>2</xdr:col>
      <xdr:colOff>1208880</xdr:colOff>
      <xdr:row>26</xdr:row>
      <xdr:rowOff>1316520</xdr:rowOff>
    </xdr:to>
    <xdr:pic>
      <xdr:nvPicPr>
        <xdr:cNvPr id="1429" name="图片 77" descr="10"/>
        <xdr:cNvPicPr/>
      </xdr:nvPicPr>
      <xdr:blipFill>
        <a:blip r:embed="rId20"/>
        <a:stretch/>
      </xdr:blipFill>
      <xdr:spPr>
        <a:xfrm>
          <a:off x="5605920" y="28121040"/>
          <a:ext cx="1170720" cy="1173600"/>
        </a:xfrm>
        <a:prstGeom prst="rect">
          <a:avLst/>
        </a:prstGeom>
        <a:noFill/>
        <a:ln w="0">
          <a:noFill/>
        </a:ln>
      </xdr:spPr>
    </xdr:pic>
    <xdr:clientData/>
  </xdr:twoCellAnchor>
  <xdr:twoCellAnchor editAs="oneCell">
    <xdr:from>
      <xdr:col>2</xdr:col>
      <xdr:colOff>38160</xdr:colOff>
      <xdr:row>27</xdr:row>
      <xdr:rowOff>141120</xdr:rowOff>
    </xdr:from>
    <xdr:to>
      <xdr:col>2</xdr:col>
      <xdr:colOff>1208880</xdr:colOff>
      <xdr:row>27</xdr:row>
      <xdr:rowOff>1319040</xdr:rowOff>
    </xdr:to>
    <xdr:pic>
      <xdr:nvPicPr>
        <xdr:cNvPr id="1430" name="图片 78" descr="11"/>
        <xdr:cNvPicPr/>
      </xdr:nvPicPr>
      <xdr:blipFill>
        <a:blip r:embed="rId21"/>
        <a:stretch/>
      </xdr:blipFill>
      <xdr:spPr>
        <a:xfrm>
          <a:off x="5605920" y="29579760"/>
          <a:ext cx="1170720" cy="1177920"/>
        </a:xfrm>
        <a:prstGeom prst="rect">
          <a:avLst/>
        </a:prstGeom>
        <a:noFill/>
        <a:ln w="0">
          <a:noFill/>
        </a:ln>
      </xdr:spPr>
    </xdr:pic>
    <xdr:clientData/>
  </xdr:twoCellAnchor>
  <xdr:twoCellAnchor editAs="oneCell">
    <xdr:from>
      <xdr:col>1</xdr:col>
      <xdr:colOff>38160</xdr:colOff>
      <xdr:row>27</xdr:row>
      <xdr:rowOff>141120</xdr:rowOff>
    </xdr:from>
    <xdr:to>
      <xdr:col>1</xdr:col>
      <xdr:colOff>1208880</xdr:colOff>
      <xdr:row>27</xdr:row>
      <xdr:rowOff>1319040</xdr:rowOff>
    </xdr:to>
    <xdr:pic>
      <xdr:nvPicPr>
        <xdr:cNvPr id="1431" name="图片 79" descr="1"/>
        <xdr:cNvPicPr/>
      </xdr:nvPicPr>
      <xdr:blipFill>
        <a:blip r:embed="rId22"/>
        <a:stretch/>
      </xdr:blipFill>
      <xdr:spPr>
        <a:xfrm>
          <a:off x="4039920" y="29579760"/>
          <a:ext cx="1170720" cy="1177920"/>
        </a:xfrm>
        <a:prstGeom prst="rect">
          <a:avLst/>
        </a:prstGeom>
        <a:noFill/>
        <a:ln w="0">
          <a:noFill/>
        </a:ln>
      </xdr:spPr>
    </xdr:pic>
    <xdr:clientData/>
  </xdr:twoCellAnchor>
  <xdr:twoCellAnchor editAs="oneCell">
    <xdr:from>
      <xdr:col>1</xdr:col>
      <xdr:colOff>38160</xdr:colOff>
      <xdr:row>22</xdr:row>
      <xdr:rowOff>142200</xdr:rowOff>
    </xdr:from>
    <xdr:to>
      <xdr:col>1</xdr:col>
      <xdr:colOff>1208880</xdr:colOff>
      <xdr:row>22</xdr:row>
      <xdr:rowOff>1317600</xdr:rowOff>
    </xdr:to>
    <xdr:pic>
      <xdr:nvPicPr>
        <xdr:cNvPr id="1432" name="图片 80" descr="BF9-iP18-Pro&amp;17-Pro&amp;18-Pro-Max&amp;17-Pro-Max-1"/>
        <xdr:cNvPicPr/>
      </xdr:nvPicPr>
      <xdr:blipFill>
        <a:blip r:embed="rId23"/>
        <a:stretch/>
      </xdr:blipFill>
      <xdr:spPr>
        <a:xfrm>
          <a:off x="4039920" y="22278240"/>
          <a:ext cx="1170720" cy="1175400"/>
        </a:xfrm>
        <a:prstGeom prst="rect">
          <a:avLst/>
        </a:prstGeom>
        <a:noFill/>
        <a:ln w="0">
          <a:noFill/>
        </a:ln>
      </xdr:spPr>
    </xdr:pic>
    <xdr:clientData/>
  </xdr:twoCellAnchor>
  <xdr:twoCellAnchor editAs="oneCell">
    <xdr:from>
      <xdr:col>2</xdr:col>
      <xdr:colOff>38160</xdr:colOff>
      <xdr:row>22</xdr:row>
      <xdr:rowOff>144360</xdr:rowOff>
    </xdr:from>
    <xdr:to>
      <xdr:col>2</xdr:col>
      <xdr:colOff>1208880</xdr:colOff>
      <xdr:row>22</xdr:row>
      <xdr:rowOff>1315080</xdr:rowOff>
    </xdr:to>
    <xdr:pic>
      <xdr:nvPicPr>
        <xdr:cNvPr id="1433" name="图片 81" descr="BF9-iP18-Pro&amp;17-Pro&amp;18-Pro-Max&amp;17-Pro-Max-3"/>
        <xdr:cNvPicPr/>
      </xdr:nvPicPr>
      <xdr:blipFill>
        <a:blip r:embed="rId24"/>
        <a:stretch/>
      </xdr:blipFill>
      <xdr:spPr>
        <a:xfrm>
          <a:off x="5605920" y="22280400"/>
          <a:ext cx="1170720" cy="1170720"/>
        </a:xfrm>
        <a:prstGeom prst="rect">
          <a:avLst/>
        </a:prstGeom>
        <a:noFill/>
        <a:ln w="0">
          <a:noFill/>
        </a:ln>
      </xdr:spPr>
    </xdr:pic>
    <xdr:clientData/>
  </xdr:twoCellAnchor>
  <xdr:twoCellAnchor editAs="oneCell">
    <xdr:from>
      <xdr:col>2</xdr:col>
      <xdr:colOff>38160</xdr:colOff>
      <xdr:row>23</xdr:row>
      <xdr:rowOff>144000</xdr:rowOff>
    </xdr:from>
    <xdr:to>
      <xdr:col>2</xdr:col>
      <xdr:colOff>1208880</xdr:colOff>
      <xdr:row>23</xdr:row>
      <xdr:rowOff>1316160</xdr:rowOff>
    </xdr:to>
    <xdr:pic>
      <xdr:nvPicPr>
        <xdr:cNvPr id="1434" name="图片 82" descr="BF9-iP18-Pro&amp;17-Pro&amp;18-Pro-Max&amp;17-Pro-Max-4"/>
        <xdr:cNvPicPr/>
      </xdr:nvPicPr>
      <xdr:blipFill>
        <a:blip r:embed="rId25"/>
        <a:stretch/>
      </xdr:blipFill>
      <xdr:spPr>
        <a:xfrm>
          <a:off x="5605920" y="23740560"/>
          <a:ext cx="1170720" cy="1172160"/>
        </a:xfrm>
        <a:prstGeom prst="rect">
          <a:avLst/>
        </a:prstGeom>
        <a:noFill/>
        <a:ln w="0">
          <a:noFill/>
        </a:ln>
      </xdr:spPr>
    </xdr:pic>
    <xdr:clientData/>
  </xdr:twoCellAnchor>
  <xdr:twoCellAnchor editAs="oneCell">
    <xdr:from>
      <xdr:col>1</xdr:col>
      <xdr:colOff>38160</xdr:colOff>
      <xdr:row>23</xdr:row>
      <xdr:rowOff>142200</xdr:rowOff>
    </xdr:from>
    <xdr:to>
      <xdr:col>1</xdr:col>
      <xdr:colOff>1208880</xdr:colOff>
      <xdr:row>23</xdr:row>
      <xdr:rowOff>1317600</xdr:rowOff>
    </xdr:to>
    <xdr:pic>
      <xdr:nvPicPr>
        <xdr:cNvPr id="1435" name="图片 83" descr="BF9-iP18-Pro&amp;17-Pro&amp;18-Pro-Max&amp;17-Pro-Max-1"/>
        <xdr:cNvPicPr/>
      </xdr:nvPicPr>
      <xdr:blipFill>
        <a:blip r:embed="rId26"/>
        <a:stretch/>
      </xdr:blipFill>
      <xdr:spPr>
        <a:xfrm>
          <a:off x="4039920" y="23738760"/>
          <a:ext cx="1170720" cy="1175400"/>
        </a:xfrm>
        <a:prstGeom prst="rect">
          <a:avLst/>
        </a:prstGeom>
        <a:noFill/>
        <a:ln w="0">
          <a:noFill/>
        </a:ln>
      </xdr:spPr>
    </xdr:pic>
    <xdr:clientData/>
  </xdr:twoCellAnchor>
  <xdr:twoCellAnchor editAs="oneCell">
    <xdr:from>
      <xdr:col>2</xdr:col>
      <xdr:colOff>38160</xdr:colOff>
      <xdr:row>24</xdr:row>
      <xdr:rowOff>143280</xdr:rowOff>
    </xdr:from>
    <xdr:to>
      <xdr:col>2</xdr:col>
      <xdr:colOff>1208880</xdr:colOff>
      <xdr:row>24</xdr:row>
      <xdr:rowOff>1316520</xdr:rowOff>
    </xdr:to>
    <xdr:pic>
      <xdr:nvPicPr>
        <xdr:cNvPr id="1436" name="图片 32" descr="10"/>
        <xdr:cNvPicPr/>
      </xdr:nvPicPr>
      <xdr:blipFill>
        <a:blip r:embed="rId27"/>
        <a:stretch/>
      </xdr:blipFill>
      <xdr:spPr>
        <a:xfrm>
          <a:off x="5605920" y="25200360"/>
          <a:ext cx="1170720" cy="1173240"/>
        </a:xfrm>
        <a:prstGeom prst="rect">
          <a:avLst/>
        </a:prstGeom>
        <a:noFill/>
        <a:ln w="9525">
          <a:noFill/>
        </a:ln>
      </xdr:spPr>
    </xdr:pic>
    <xdr:clientData/>
  </xdr:twoCellAnchor>
  <xdr:twoCellAnchor editAs="oneCell">
    <xdr:from>
      <xdr:col>2</xdr:col>
      <xdr:colOff>38160</xdr:colOff>
      <xdr:row>25</xdr:row>
      <xdr:rowOff>141120</xdr:rowOff>
    </xdr:from>
    <xdr:to>
      <xdr:col>2</xdr:col>
      <xdr:colOff>1208880</xdr:colOff>
      <xdr:row>25</xdr:row>
      <xdr:rowOff>1319040</xdr:rowOff>
    </xdr:to>
    <xdr:pic>
      <xdr:nvPicPr>
        <xdr:cNvPr id="1437" name="图片 33" descr="11"/>
        <xdr:cNvPicPr/>
      </xdr:nvPicPr>
      <xdr:blipFill>
        <a:blip r:embed="rId28"/>
        <a:stretch/>
      </xdr:blipFill>
      <xdr:spPr>
        <a:xfrm>
          <a:off x="5605920" y="26658720"/>
          <a:ext cx="1170720" cy="1177920"/>
        </a:xfrm>
        <a:prstGeom prst="rect">
          <a:avLst/>
        </a:prstGeom>
        <a:noFill/>
        <a:ln w="9525">
          <a:noFill/>
        </a:ln>
      </xdr:spPr>
    </xdr:pic>
    <xdr:clientData/>
  </xdr:twoCellAnchor>
  <xdr:twoCellAnchor editAs="twoCell">
    <xdr:from>
      <xdr:col>0</xdr:col>
      <xdr:colOff>0</xdr:colOff>
      <xdr:row>25</xdr:row>
      <xdr:rowOff>0</xdr:rowOff>
    </xdr:from>
    <xdr:to>
      <xdr:col>0</xdr:col>
      <xdr:colOff>828000</xdr:colOff>
      <xdr:row>25</xdr:row>
      <xdr:rowOff>297000</xdr:rowOff>
    </xdr:to>
    <xdr:pic>
      <xdr:nvPicPr>
        <xdr:cNvPr id="1438" name="图片 62" descr="新品"/>
        <xdr:cNvPicPr/>
      </xdr:nvPicPr>
      <xdr:blipFill>
        <a:blip r:embed="rId29"/>
        <a:stretch/>
      </xdr:blipFill>
      <xdr:spPr>
        <a:xfrm>
          <a:off x="0" y="26517600"/>
          <a:ext cx="828000" cy="297000"/>
        </a:xfrm>
        <a:prstGeom prst="rect">
          <a:avLst/>
        </a:prstGeom>
        <a:noFill/>
        <a:ln w="9525">
          <a:noFill/>
        </a:ln>
      </xdr:spPr>
    </xdr:pic>
    <xdr:clientData/>
  </xdr:twoCellAnchor>
  <xdr:twoCellAnchor editAs="twoCell">
    <xdr:from>
      <xdr:col>0</xdr:col>
      <xdr:colOff>0</xdr:colOff>
      <xdr:row>24</xdr:row>
      <xdr:rowOff>0</xdr:rowOff>
    </xdr:from>
    <xdr:to>
      <xdr:col>0</xdr:col>
      <xdr:colOff>828000</xdr:colOff>
      <xdr:row>24</xdr:row>
      <xdr:rowOff>297000</xdr:rowOff>
    </xdr:to>
    <xdr:pic>
      <xdr:nvPicPr>
        <xdr:cNvPr id="1439" name="图片 63" descr="新品"/>
        <xdr:cNvPicPr/>
      </xdr:nvPicPr>
      <xdr:blipFill>
        <a:blip r:embed="rId30"/>
        <a:stretch/>
      </xdr:blipFill>
      <xdr:spPr>
        <a:xfrm>
          <a:off x="0" y="25057080"/>
          <a:ext cx="828000" cy="297000"/>
        </a:xfrm>
        <a:prstGeom prst="rect">
          <a:avLst/>
        </a:prstGeom>
        <a:noFill/>
        <a:ln w="9525">
          <a:noFill/>
        </a:ln>
      </xdr:spPr>
    </xdr:pic>
    <xdr:clientData/>
  </xdr:twoCellAnchor>
  <xdr:twoCellAnchor editAs="oneCell">
    <xdr:from>
      <xdr:col>1</xdr:col>
      <xdr:colOff>38160</xdr:colOff>
      <xdr:row>24</xdr:row>
      <xdr:rowOff>144000</xdr:rowOff>
    </xdr:from>
    <xdr:to>
      <xdr:col>1</xdr:col>
      <xdr:colOff>1208880</xdr:colOff>
      <xdr:row>24</xdr:row>
      <xdr:rowOff>1315440</xdr:rowOff>
    </xdr:to>
    <xdr:pic>
      <xdr:nvPicPr>
        <xdr:cNvPr id="1440" name="图片 52" descr="4"/>
        <xdr:cNvPicPr/>
      </xdr:nvPicPr>
      <xdr:blipFill>
        <a:blip r:embed="rId31"/>
        <a:stretch/>
      </xdr:blipFill>
      <xdr:spPr>
        <a:xfrm>
          <a:off x="4039920" y="25201080"/>
          <a:ext cx="1170720" cy="1171440"/>
        </a:xfrm>
        <a:prstGeom prst="rect">
          <a:avLst/>
        </a:prstGeom>
        <a:noFill/>
        <a:ln w="9525">
          <a:noFill/>
        </a:ln>
      </xdr:spPr>
    </xdr:pic>
    <xdr:clientData/>
  </xdr:twoCellAnchor>
  <xdr:twoCellAnchor editAs="oneCell">
    <xdr:from>
      <xdr:col>1</xdr:col>
      <xdr:colOff>38160</xdr:colOff>
      <xdr:row>25</xdr:row>
      <xdr:rowOff>144000</xdr:rowOff>
    </xdr:from>
    <xdr:to>
      <xdr:col>1</xdr:col>
      <xdr:colOff>1208880</xdr:colOff>
      <xdr:row>25</xdr:row>
      <xdr:rowOff>1315440</xdr:rowOff>
    </xdr:to>
    <xdr:pic>
      <xdr:nvPicPr>
        <xdr:cNvPr id="1441" name="图片 53" descr="4"/>
        <xdr:cNvPicPr/>
      </xdr:nvPicPr>
      <xdr:blipFill>
        <a:blip r:embed="rId32"/>
        <a:stretch/>
      </xdr:blipFill>
      <xdr:spPr>
        <a:xfrm>
          <a:off x="4039920" y="26661600"/>
          <a:ext cx="1170720" cy="1171440"/>
        </a:xfrm>
        <a:prstGeom prst="rect">
          <a:avLst/>
        </a:prstGeom>
        <a:noFill/>
        <a:ln w="9525">
          <a:noFill/>
        </a:ln>
      </xdr:spPr>
    </xdr:pic>
    <xdr:clientData/>
  </xdr:twoCellAnchor>
  <xdr:twoCellAnchor editAs="oneCell">
    <xdr:from>
      <xdr:col>2</xdr:col>
      <xdr:colOff>38160</xdr:colOff>
      <xdr:row>29</xdr:row>
      <xdr:rowOff>144000</xdr:rowOff>
    </xdr:from>
    <xdr:to>
      <xdr:col>2</xdr:col>
      <xdr:colOff>1208880</xdr:colOff>
      <xdr:row>29</xdr:row>
      <xdr:rowOff>1315440</xdr:rowOff>
    </xdr:to>
    <xdr:pic>
      <xdr:nvPicPr>
        <xdr:cNvPr id="1442" name="图片 3" descr="12"/>
        <xdr:cNvPicPr/>
      </xdr:nvPicPr>
      <xdr:blipFill>
        <a:blip r:embed="rId33"/>
        <a:stretch/>
      </xdr:blipFill>
      <xdr:spPr>
        <a:xfrm>
          <a:off x="5605920" y="32503680"/>
          <a:ext cx="1170720" cy="1171440"/>
        </a:xfrm>
        <a:prstGeom prst="rect">
          <a:avLst/>
        </a:prstGeom>
        <a:noFill/>
        <a:ln w="9525">
          <a:noFill/>
        </a:ln>
      </xdr:spPr>
    </xdr:pic>
    <xdr:clientData/>
  </xdr:twoCellAnchor>
  <xdr:twoCellAnchor editAs="oneCell">
    <xdr:from>
      <xdr:col>2</xdr:col>
      <xdr:colOff>38160</xdr:colOff>
      <xdr:row>28</xdr:row>
      <xdr:rowOff>140400</xdr:rowOff>
    </xdr:from>
    <xdr:to>
      <xdr:col>2</xdr:col>
      <xdr:colOff>1208880</xdr:colOff>
      <xdr:row>28</xdr:row>
      <xdr:rowOff>1319400</xdr:rowOff>
    </xdr:to>
    <xdr:pic>
      <xdr:nvPicPr>
        <xdr:cNvPr id="1443" name="图片 4" descr="11"/>
        <xdr:cNvPicPr/>
      </xdr:nvPicPr>
      <xdr:blipFill>
        <a:blip r:embed="rId34"/>
        <a:stretch/>
      </xdr:blipFill>
      <xdr:spPr>
        <a:xfrm>
          <a:off x="5605920" y="31039560"/>
          <a:ext cx="1170720" cy="1179000"/>
        </a:xfrm>
        <a:prstGeom prst="rect">
          <a:avLst/>
        </a:prstGeom>
        <a:noFill/>
        <a:ln w="9525">
          <a:noFill/>
        </a:ln>
      </xdr:spPr>
    </xdr:pic>
    <xdr:clientData/>
  </xdr:twoCellAnchor>
  <xdr:twoCellAnchor editAs="twoCell">
    <xdr:from>
      <xdr:col>0</xdr:col>
      <xdr:colOff>0</xdr:colOff>
      <xdr:row>28</xdr:row>
      <xdr:rowOff>0</xdr:rowOff>
    </xdr:from>
    <xdr:to>
      <xdr:col>0</xdr:col>
      <xdr:colOff>828000</xdr:colOff>
      <xdr:row>28</xdr:row>
      <xdr:rowOff>297000</xdr:rowOff>
    </xdr:to>
    <xdr:pic>
      <xdr:nvPicPr>
        <xdr:cNvPr id="1444" name="图片 65" descr="新品"/>
        <xdr:cNvPicPr/>
      </xdr:nvPicPr>
      <xdr:blipFill>
        <a:blip r:embed="rId35"/>
        <a:stretch/>
      </xdr:blipFill>
      <xdr:spPr>
        <a:xfrm>
          <a:off x="0" y="30899160"/>
          <a:ext cx="828000" cy="297000"/>
        </a:xfrm>
        <a:prstGeom prst="rect">
          <a:avLst/>
        </a:prstGeom>
        <a:noFill/>
        <a:ln w="9525">
          <a:noFill/>
        </a:ln>
      </xdr:spPr>
    </xdr:pic>
    <xdr:clientData/>
  </xdr:twoCellAnchor>
  <xdr:twoCellAnchor editAs="twoCell">
    <xdr:from>
      <xdr:col>0</xdr:col>
      <xdr:colOff>0</xdr:colOff>
      <xdr:row>29</xdr:row>
      <xdr:rowOff>0</xdr:rowOff>
    </xdr:from>
    <xdr:to>
      <xdr:col>0</xdr:col>
      <xdr:colOff>828000</xdr:colOff>
      <xdr:row>29</xdr:row>
      <xdr:rowOff>297000</xdr:rowOff>
    </xdr:to>
    <xdr:pic>
      <xdr:nvPicPr>
        <xdr:cNvPr id="1445" name="图片 66" descr="新品"/>
        <xdr:cNvPicPr/>
      </xdr:nvPicPr>
      <xdr:blipFill>
        <a:blip r:embed="rId36"/>
        <a:stretch/>
      </xdr:blipFill>
      <xdr:spPr>
        <a:xfrm>
          <a:off x="0" y="32359680"/>
          <a:ext cx="828000" cy="297000"/>
        </a:xfrm>
        <a:prstGeom prst="rect">
          <a:avLst/>
        </a:prstGeom>
        <a:noFill/>
        <a:ln w="9525">
          <a:noFill/>
        </a:ln>
      </xdr:spPr>
    </xdr:pic>
    <xdr:clientData/>
  </xdr:twoCellAnchor>
  <xdr:twoCellAnchor editAs="oneCell">
    <xdr:from>
      <xdr:col>1</xdr:col>
      <xdr:colOff>38160</xdr:colOff>
      <xdr:row>28</xdr:row>
      <xdr:rowOff>144000</xdr:rowOff>
    </xdr:from>
    <xdr:to>
      <xdr:col>1</xdr:col>
      <xdr:colOff>1208880</xdr:colOff>
      <xdr:row>28</xdr:row>
      <xdr:rowOff>1315440</xdr:rowOff>
    </xdr:to>
    <xdr:pic>
      <xdr:nvPicPr>
        <xdr:cNvPr id="1446" name="图片 48" descr="4"/>
        <xdr:cNvPicPr/>
      </xdr:nvPicPr>
      <xdr:blipFill>
        <a:blip r:embed="rId37"/>
        <a:stretch/>
      </xdr:blipFill>
      <xdr:spPr>
        <a:xfrm>
          <a:off x="4039920" y="31043160"/>
          <a:ext cx="1170720" cy="1171440"/>
        </a:xfrm>
        <a:prstGeom prst="rect">
          <a:avLst/>
        </a:prstGeom>
        <a:noFill/>
        <a:ln w="9525">
          <a:noFill/>
        </a:ln>
      </xdr:spPr>
    </xdr:pic>
    <xdr:clientData/>
  </xdr:twoCellAnchor>
  <xdr:twoCellAnchor editAs="oneCell">
    <xdr:from>
      <xdr:col>1</xdr:col>
      <xdr:colOff>38160</xdr:colOff>
      <xdr:row>29</xdr:row>
      <xdr:rowOff>144000</xdr:rowOff>
    </xdr:from>
    <xdr:to>
      <xdr:col>1</xdr:col>
      <xdr:colOff>1208880</xdr:colOff>
      <xdr:row>29</xdr:row>
      <xdr:rowOff>1315440</xdr:rowOff>
    </xdr:to>
    <xdr:pic>
      <xdr:nvPicPr>
        <xdr:cNvPr id="1447" name="图片 49" descr="4"/>
        <xdr:cNvPicPr/>
      </xdr:nvPicPr>
      <xdr:blipFill>
        <a:blip r:embed="rId38"/>
        <a:stretch/>
      </xdr:blipFill>
      <xdr:spPr>
        <a:xfrm>
          <a:off x="4039920" y="32503680"/>
          <a:ext cx="1170720" cy="1171440"/>
        </a:xfrm>
        <a:prstGeom prst="rect">
          <a:avLst/>
        </a:prstGeom>
        <a:noFill/>
        <a:ln w="9525">
          <a:noFill/>
        </a:ln>
      </xdr:spPr>
    </xdr:pic>
    <xdr:clientData/>
  </xdr:twoCellAnchor>
  <xdr:twoCellAnchor editAs="oneCell">
    <xdr:from>
      <xdr:col>1</xdr:col>
      <xdr:colOff>38160</xdr:colOff>
      <xdr:row>4</xdr:row>
      <xdr:rowOff>141840</xdr:rowOff>
    </xdr:from>
    <xdr:to>
      <xdr:col>1</xdr:col>
      <xdr:colOff>1208880</xdr:colOff>
      <xdr:row>4</xdr:row>
      <xdr:rowOff>1317960</xdr:rowOff>
    </xdr:to>
    <xdr:pic>
      <xdr:nvPicPr>
        <xdr:cNvPr id="1448" name="图片 11" descr="1"/>
        <xdr:cNvPicPr/>
      </xdr:nvPicPr>
      <xdr:blipFill>
        <a:blip r:embed="rId39"/>
        <a:stretch/>
      </xdr:blipFill>
      <xdr:spPr>
        <a:xfrm>
          <a:off x="4039920" y="1539000"/>
          <a:ext cx="1170720" cy="1176120"/>
        </a:xfrm>
        <a:prstGeom prst="rect">
          <a:avLst/>
        </a:prstGeom>
        <a:noFill/>
        <a:ln w="0">
          <a:noFill/>
        </a:ln>
      </xdr:spPr>
    </xdr:pic>
    <xdr:clientData/>
  </xdr:twoCellAnchor>
  <xdr:twoCellAnchor editAs="oneCell">
    <xdr:from>
      <xdr:col>2</xdr:col>
      <xdr:colOff>38160</xdr:colOff>
      <xdr:row>4</xdr:row>
      <xdr:rowOff>141840</xdr:rowOff>
    </xdr:from>
    <xdr:to>
      <xdr:col>2</xdr:col>
      <xdr:colOff>1208880</xdr:colOff>
      <xdr:row>4</xdr:row>
      <xdr:rowOff>1317960</xdr:rowOff>
    </xdr:to>
    <xdr:pic>
      <xdr:nvPicPr>
        <xdr:cNvPr id="1449" name="图片 12" descr="11"/>
        <xdr:cNvPicPr/>
      </xdr:nvPicPr>
      <xdr:blipFill>
        <a:blip r:embed="rId40"/>
        <a:stretch/>
      </xdr:blipFill>
      <xdr:spPr>
        <a:xfrm>
          <a:off x="5605920" y="1539000"/>
          <a:ext cx="1170720" cy="1176120"/>
        </a:xfrm>
        <a:prstGeom prst="rect">
          <a:avLst/>
        </a:prstGeom>
        <a:noFill/>
        <a:ln w="0">
          <a:noFill/>
        </a:ln>
      </xdr:spPr>
    </xdr:pic>
    <xdr:clientData/>
  </xdr:twoCellAnchor>
  <xdr:twoCellAnchor editAs="oneCell">
    <xdr:from>
      <xdr:col>2</xdr:col>
      <xdr:colOff>38160</xdr:colOff>
      <xdr:row>5</xdr:row>
      <xdr:rowOff>141840</xdr:rowOff>
    </xdr:from>
    <xdr:to>
      <xdr:col>2</xdr:col>
      <xdr:colOff>1208880</xdr:colOff>
      <xdr:row>5</xdr:row>
      <xdr:rowOff>1317960</xdr:rowOff>
    </xdr:to>
    <xdr:pic>
      <xdr:nvPicPr>
        <xdr:cNvPr id="1450" name="图片 13" descr="10"/>
        <xdr:cNvPicPr/>
      </xdr:nvPicPr>
      <xdr:blipFill>
        <a:blip r:embed="rId41"/>
        <a:stretch/>
      </xdr:blipFill>
      <xdr:spPr>
        <a:xfrm>
          <a:off x="5605920" y="2999520"/>
          <a:ext cx="1170720" cy="1176120"/>
        </a:xfrm>
        <a:prstGeom prst="rect">
          <a:avLst/>
        </a:prstGeom>
        <a:noFill/>
        <a:ln w="0">
          <a:noFill/>
        </a:ln>
      </xdr:spPr>
    </xdr:pic>
    <xdr:clientData/>
  </xdr:twoCellAnchor>
  <xdr:twoCellAnchor editAs="oneCell">
    <xdr:from>
      <xdr:col>1</xdr:col>
      <xdr:colOff>38160</xdr:colOff>
      <xdr:row>5</xdr:row>
      <xdr:rowOff>141840</xdr:rowOff>
    </xdr:from>
    <xdr:to>
      <xdr:col>1</xdr:col>
      <xdr:colOff>1208880</xdr:colOff>
      <xdr:row>5</xdr:row>
      <xdr:rowOff>1317960</xdr:rowOff>
    </xdr:to>
    <xdr:pic>
      <xdr:nvPicPr>
        <xdr:cNvPr id="1451" name="图片 14" descr="1"/>
        <xdr:cNvPicPr/>
      </xdr:nvPicPr>
      <xdr:blipFill>
        <a:blip r:embed="rId42"/>
        <a:stretch/>
      </xdr:blipFill>
      <xdr:spPr>
        <a:xfrm>
          <a:off x="4039920" y="2999520"/>
          <a:ext cx="1170720" cy="1176120"/>
        </a:xfrm>
        <a:prstGeom prst="rect">
          <a:avLst/>
        </a:prstGeom>
        <a:noFill/>
        <a:ln w="0">
          <a:noFill/>
        </a:ln>
      </xdr:spPr>
    </xdr:pic>
    <xdr:clientData/>
  </xdr:twoCellAnchor>
  <xdr:twoCellAnchor editAs="oneCell">
    <xdr:from>
      <xdr:col>1</xdr:col>
      <xdr:colOff>38160</xdr:colOff>
      <xdr:row>6</xdr:row>
      <xdr:rowOff>141840</xdr:rowOff>
    </xdr:from>
    <xdr:to>
      <xdr:col>1</xdr:col>
      <xdr:colOff>1208880</xdr:colOff>
      <xdr:row>6</xdr:row>
      <xdr:rowOff>1317960</xdr:rowOff>
    </xdr:to>
    <xdr:pic>
      <xdr:nvPicPr>
        <xdr:cNvPr id="1452" name="图片 15" descr="1"/>
        <xdr:cNvPicPr/>
      </xdr:nvPicPr>
      <xdr:blipFill>
        <a:blip r:embed="rId43"/>
        <a:stretch/>
      </xdr:blipFill>
      <xdr:spPr>
        <a:xfrm>
          <a:off x="4039920" y="4459680"/>
          <a:ext cx="1170720" cy="1176120"/>
        </a:xfrm>
        <a:prstGeom prst="rect">
          <a:avLst/>
        </a:prstGeom>
        <a:noFill/>
        <a:ln w="0">
          <a:noFill/>
        </a:ln>
      </xdr:spPr>
    </xdr:pic>
    <xdr:clientData/>
  </xdr:twoCellAnchor>
  <xdr:twoCellAnchor editAs="oneCell">
    <xdr:from>
      <xdr:col>2</xdr:col>
      <xdr:colOff>38160</xdr:colOff>
      <xdr:row>6</xdr:row>
      <xdr:rowOff>144000</xdr:rowOff>
    </xdr:from>
    <xdr:to>
      <xdr:col>2</xdr:col>
      <xdr:colOff>1208880</xdr:colOff>
      <xdr:row>6</xdr:row>
      <xdr:rowOff>1315440</xdr:rowOff>
    </xdr:to>
    <xdr:pic>
      <xdr:nvPicPr>
        <xdr:cNvPr id="1453" name="图片 16" descr="9"/>
        <xdr:cNvPicPr/>
      </xdr:nvPicPr>
      <xdr:blipFill>
        <a:blip r:embed="rId44"/>
        <a:stretch/>
      </xdr:blipFill>
      <xdr:spPr>
        <a:xfrm>
          <a:off x="5605920" y="4461840"/>
          <a:ext cx="1170720" cy="1171440"/>
        </a:xfrm>
        <a:prstGeom prst="rect">
          <a:avLst/>
        </a:prstGeom>
        <a:noFill/>
        <a:ln w="0">
          <a:noFill/>
        </a:ln>
      </xdr:spPr>
    </xdr:pic>
    <xdr:clientData/>
  </xdr:twoCellAnchor>
  <xdr:twoCellAnchor editAs="oneCell">
    <xdr:from>
      <xdr:col>2</xdr:col>
      <xdr:colOff>38160</xdr:colOff>
      <xdr:row>7</xdr:row>
      <xdr:rowOff>141840</xdr:rowOff>
    </xdr:from>
    <xdr:to>
      <xdr:col>2</xdr:col>
      <xdr:colOff>1208880</xdr:colOff>
      <xdr:row>7</xdr:row>
      <xdr:rowOff>1317960</xdr:rowOff>
    </xdr:to>
    <xdr:pic>
      <xdr:nvPicPr>
        <xdr:cNvPr id="1454" name="图片 17" descr="10"/>
        <xdr:cNvPicPr/>
      </xdr:nvPicPr>
      <xdr:blipFill>
        <a:blip r:embed="rId45"/>
        <a:stretch/>
      </xdr:blipFill>
      <xdr:spPr>
        <a:xfrm>
          <a:off x="5605920" y="5920200"/>
          <a:ext cx="1170720" cy="1176120"/>
        </a:xfrm>
        <a:prstGeom prst="rect">
          <a:avLst/>
        </a:prstGeom>
        <a:noFill/>
        <a:ln w="0">
          <a:noFill/>
        </a:ln>
      </xdr:spPr>
    </xdr:pic>
    <xdr:clientData/>
  </xdr:twoCellAnchor>
  <xdr:twoCellAnchor editAs="oneCell">
    <xdr:from>
      <xdr:col>1</xdr:col>
      <xdr:colOff>38160</xdr:colOff>
      <xdr:row>7</xdr:row>
      <xdr:rowOff>141840</xdr:rowOff>
    </xdr:from>
    <xdr:to>
      <xdr:col>1</xdr:col>
      <xdr:colOff>1208880</xdr:colOff>
      <xdr:row>7</xdr:row>
      <xdr:rowOff>1317960</xdr:rowOff>
    </xdr:to>
    <xdr:pic>
      <xdr:nvPicPr>
        <xdr:cNvPr id="1455" name="图片 18" descr="1"/>
        <xdr:cNvPicPr/>
      </xdr:nvPicPr>
      <xdr:blipFill>
        <a:blip r:embed="rId46"/>
        <a:stretch/>
      </xdr:blipFill>
      <xdr:spPr>
        <a:xfrm>
          <a:off x="4039920" y="5920200"/>
          <a:ext cx="1170720" cy="1176120"/>
        </a:xfrm>
        <a:prstGeom prst="rect">
          <a:avLst/>
        </a:prstGeom>
        <a:noFill/>
        <a:ln w="0">
          <a:noFill/>
        </a:ln>
      </xdr:spPr>
    </xdr:pic>
    <xdr:clientData/>
  </xdr:twoCellAnchor>
  <xdr:twoCellAnchor editAs="twoCell">
    <xdr:from>
      <xdr:col>0</xdr:col>
      <xdr:colOff>0</xdr:colOff>
      <xdr:row>4</xdr:row>
      <xdr:rowOff>0</xdr:rowOff>
    </xdr:from>
    <xdr:to>
      <xdr:col>0</xdr:col>
      <xdr:colOff>827280</xdr:colOff>
      <xdr:row>4</xdr:row>
      <xdr:rowOff>295920</xdr:rowOff>
    </xdr:to>
    <xdr:pic>
      <xdr:nvPicPr>
        <xdr:cNvPr id="1456" name="图片 19" descr="新品"/>
        <xdr:cNvPicPr/>
      </xdr:nvPicPr>
      <xdr:blipFill>
        <a:blip r:embed="rId47"/>
        <a:stretch/>
      </xdr:blipFill>
      <xdr:spPr>
        <a:xfrm>
          <a:off x="0" y="1397160"/>
          <a:ext cx="827280" cy="295920"/>
        </a:xfrm>
        <a:prstGeom prst="rect">
          <a:avLst/>
        </a:prstGeom>
        <a:noFill/>
        <a:ln w="0">
          <a:noFill/>
        </a:ln>
      </xdr:spPr>
    </xdr:pic>
    <xdr:clientData/>
  </xdr:twoCellAnchor>
  <xdr:twoCellAnchor editAs="twoCell">
    <xdr:from>
      <xdr:col>0</xdr:col>
      <xdr:colOff>0</xdr:colOff>
      <xdr:row>5</xdr:row>
      <xdr:rowOff>0</xdr:rowOff>
    </xdr:from>
    <xdr:to>
      <xdr:col>0</xdr:col>
      <xdr:colOff>827280</xdr:colOff>
      <xdr:row>5</xdr:row>
      <xdr:rowOff>295920</xdr:rowOff>
    </xdr:to>
    <xdr:pic>
      <xdr:nvPicPr>
        <xdr:cNvPr id="1457" name="图片 20" descr="新品"/>
        <xdr:cNvPicPr/>
      </xdr:nvPicPr>
      <xdr:blipFill>
        <a:blip r:embed="rId48"/>
        <a:stretch/>
      </xdr:blipFill>
      <xdr:spPr>
        <a:xfrm>
          <a:off x="0" y="2857680"/>
          <a:ext cx="827280" cy="295920"/>
        </a:xfrm>
        <a:prstGeom prst="rect">
          <a:avLst/>
        </a:prstGeom>
        <a:noFill/>
        <a:ln w="0">
          <a:noFill/>
        </a:ln>
      </xdr:spPr>
    </xdr:pic>
    <xdr:clientData/>
  </xdr:twoCellAnchor>
  <xdr:twoCellAnchor editAs="twoCell">
    <xdr:from>
      <xdr:col>0</xdr:col>
      <xdr:colOff>0</xdr:colOff>
      <xdr:row>6</xdr:row>
      <xdr:rowOff>0</xdr:rowOff>
    </xdr:from>
    <xdr:to>
      <xdr:col>0</xdr:col>
      <xdr:colOff>827280</xdr:colOff>
      <xdr:row>6</xdr:row>
      <xdr:rowOff>295920</xdr:rowOff>
    </xdr:to>
    <xdr:pic>
      <xdr:nvPicPr>
        <xdr:cNvPr id="1458" name="图片 21" descr="新品"/>
        <xdr:cNvPicPr/>
      </xdr:nvPicPr>
      <xdr:blipFill>
        <a:blip r:embed="rId49"/>
        <a:stretch/>
      </xdr:blipFill>
      <xdr:spPr>
        <a:xfrm>
          <a:off x="0" y="4317840"/>
          <a:ext cx="827280" cy="295920"/>
        </a:xfrm>
        <a:prstGeom prst="rect">
          <a:avLst/>
        </a:prstGeom>
        <a:noFill/>
        <a:ln w="0">
          <a:noFill/>
        </a:ln>
      </xdr:spPr>
    </xdr:pic>
    <xdr:clientData/>
  </xdr:twoCellAnchor>
  <xdr:twoCellAnchor editAs="twoCell">
    <xdr:from>
      <xdr:col>0</xdr:col>
      <xdr:colOff>0</xdr:colOff>
      <xdr:row>7</xdr:row>
      <xdr:rowOff>0</xdr:rowOff>
    </xdr:from>
    <xdr:to>
      <xdr:col>0</xdr:col>
      <xdr:colOff>827280</xdr:colOff>
      <xdr:row>7</xdr:row>
      <xdr:rowOff>295920</xdr:rowOff>
    </xdr:to>
    <xdr:pic>
      <xdr:nvPicPr>
        <xdr:cNvPr id="1459" name="图片 22" descr="新品"/>
        <xdr:cNvPicPr/>
      </xdr:nvPicPr>
      <xdr:blipFill>
        <a:blip r:embed="rId50"/>
        <a:stretch/>
      </xdr:blipFill>
      <xdr:spPr>
        <a:xfrm>
          <a:off x="0" y="5778360"/>
          <a:ext cx="827280" cy="295920"/>
        </a:xfrm>
        <a:prstGeom prst="rect">
          <a:avLst/>
        </a:prstGeom>
        <a:noFill/>
        <a:ln w="0">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38160</xdr:colOff>
      <xdr:row>91</xdr:row>
      <xdr:rowOff>144000</xdr:rowOff>
    </xdr:from>
    <xdr:to>
      <xdr:col>2</xdr:col>
      <xdr:colOff>1208880</xdr:colOff>
      <xdr:row>91</xdr:row>
      <xdr:rowOff>1316160</xdr:rowOff>
    </xdr:to>
    <xdr:pic>
      <xdr:nvPicPr>
        <xdr:cNvPr id="1460" name="图片 29" descr="13_副本5"/>
        <xdr:cNvPicPr/>
      </xdr:nvPicPr>
      <xdr:blipFill>
        <a:blip r:embed="rId1"/>
        <a:stretch/>
      </xdr:blipFill>
      <xdr:spPr>
        <a:xfrm>
          <a:off x="5605920" y="121346280"/>
          <a:ext cx="1170720" cy="1172160"/>
        </a:xfrm>
        <a:prstGeom prst="rect">
          <a:avLst/>
        </a:prstGeom>
        <a:noFill/>
        <a:ln w="9525">
          <a:noFill/>
        </a:ln>
      </xdr:spPr>
    </xdr:pic>
    <xdr:clientData/>
  </xdr:twoCellAnchor>
  <xdr:twoCellAnchor editAs="oneCell">
    <xdr:from>
      <xdr:col>2</xdr:col>
      <xdr:colOff>38160</xdr:colOff>
      <xdr:row>98</xdr:row>
      <xdr:rowOff>143280</xdr:rowOff>
    </xdr:from>
    <xdr:to>
      <xdr:col>2</xdr:col>
      <xdr:colOff>1208880</xdr:colOff>
      <xdr:row>98</xdr:row>
      <xdr:rowOff>1316520</xdr:rowOff>
    </xdr:to>
    <xdr:pic>
      <xdr:nvPicPr>
        <xdr:cNvPr id="1461" name="图片 30" descr="13_副本6"/>
        <xdr:cNvPicPr/>
      </xdr:nvPicPr>
      <xdr:blipFill>
        <a:blip r:embed="rId2"/>
        <a:stretch/>
      </xdr:blipFill>
      <xdr:spPr>
        <a:xfrm>
          <a:off x="5605920" y="129057840"/>
          <a:ext cx="1170720" cy="1173240"/>
        </a:xfrm>
        <a:prstGeom prst="rect">
          <a:avLst/>
        </a:prstGeom>
        <a:noFill/>
        <a:ln w="9525">
          <a:noFill/>
        </a:ln>
      </xdr:spPr>
    </xdr:pic>
    <xdr:clientData/>
  </xdr:twoCellAnchor>
  <xdr:twoCellAnchor editAs="oneCell">
    <xdr:from>
      <xdr:col>1</xdr:col>
      <xdr:colOff>38160</xdr:colOff>
      <xdr:row>99</xdr:row>
      <xdr:rowOff>143280</xdr:rowOff>
    </xdr:from>
    <xdr:to>
      <xdr:col>1</xdr:col>
      <xdr:colOff>1208880</xdr:colOff>
      <xdr:row>99</xdr:row>
      <xdr:rowOff>1316520</xdr:rowOff>
    </xdr:to>
    <xdr:pic>
      <xdr:nvPicPr>
        <xdr:cNvPr id="1462" name="图片 31" descr="3_副本1"/>
        <xdr:cNvPicPr/>
      </xdr:nvPicPr>
      <xdr:blipFill>
        <a:blip r:embed="rId3"/>
        <a:stretch/>
      </xdr:blipFill>
      <xdr:spPr>
        <a:xfrm>
          <a:off x="4039920" y="130518360"/>
          <a:ext cx="1170720" cy="1173240"/>
        </a:xfrm>
        <a:prstGeom prst="rect">
          <a:avLst/>
        </a:prstGeom>
        <a:noFill/>
        <a:ln w="9525">
          <a:noFill/>
        </a:ln>
      </xdr:spPr>
    </xdr:pic>
    <xdr:clientData/>
  </xdr:twoCellAnchor>
  <xdr:twoCellAnchor editAs="oneCell">
    <xdr:from>
      <xdr:col>1</xdr:col>
      <xdr:colOff>38160</xdr:colOff>
      <xdr:row>78</xdr:row>
      <xdr:rowOff>143640</xdr:rowOff>
    </xdr:from>
    <xdr:to>
      <xdr:col>1</xdr:col>
      <xdr:colOff>1208880</xdr:colOff>
      <xdr:row>78</xdr:row>
      <xdr:rowOff>1316160</xdr:rowOff>
    </xdr:to>
    <xdr:pic>
      <xdr:nvPicPr>
        <xdr:cNvPr id="1463" name="图片 32" descr="4_副本"/>
        <xdr:cNvPicPr/>
      </xdr:nvPicPr>
      <xdr:blipFill>
        <a:blip r:embed="rId4"/>
        <a:stretch/>
      </xdr:blipFill>
      <xdr:spPr>
        <a:xfrm>
          <a:off x="4039920" y="104870880"/>
          <a:ext cx="1170720" cy="1172520"/>
        </a:xfrm>
        <a:prstGeom prst="rect">
          <a:avLst/>
        </a:prstGeom>
        <a:noFill/>
        <a:ln w="9525">
          <a:noFill/>
        </a:ln>
      </xdr:spPr>
    </xdr:pic>
    <xdr:clientData/>
  </xdr:twoCellAnchor>
  <xdr:twoCellAnchor editAs="oneCell">
    <xdr:from>
      <xdr:col>1</xdr:col>
      <xdr:colOff>38160</xdr:colOff>
      <xdr:row>76</xdr:row>
      <xdr:rowOff>144000</xdr:rowOff>
    </xdr:from>
    <xdr:to>
      <xdr:col>1</xdr:col>
      <xdr:colOff>1208880</xdr:colOff>
      <xdr:row>76</xdr:row>
      <xdr:rowOff>1316160</xdr:rowOff>
    </xdr:to>
    <xdr:pic>
      <xdr:nvPicPr>
        <xdr:cNvPr id="1464" name="图片 33" descr="5_副本"/>
        <xdr:cNvPicPr/>
      </xdr:nvPicPr>
      <xdr:blipFill>
        <a:blip r:embed="rId5"/>
        <a:stretch/>
      </xdr:blipFill>
      <xdr:spPr>
        <a:xfrm>
          <a:off x="4039920" y="101950200"/>
          <a:ext cx="1170720" cy="1172160"/>
        </a:xfrm>
        <a:prstGeom prst="rect">
          <a:avLst/>
        </a:prstGeom>
        <a:noFill/>
        <a:ln w="9525">
          <a:noFill/>
        </a:ln>
      </xdr:spPr>
    </xdr:pic>
    <xdr:clientData/>
  </xdr:twoCellAnchor>
  <xdr:twoCellAnchor editAs="oneCell">
    <xdr:from>
      <xdr:col>1</xdr:col>
      <xdr:colOff>38160</xdr:colOff>
      <xdr:row>90</xdr:row>
      <xdr:rowOff>143280</xdr:rowOff>
    </xdr:from>
    <xdr:to>
      <xdr:col>1</xdr:col>
      <xdr:colOff>1208880</xdr:colOff>
      <xdr:row>90</xdr:row>
      <xdr:rowOff>1316520</xdr:rowOff>
    </xdr:to>
    <xdr:pic>
      <xdr:nvPicPr>
        <xdr:cNvPr id="1465" name="图片 34" descr="6"/>
        <xdr:cNvPicPr/>
      </xdr:nvPicPr>
      <xdr:blipFill>
        <a:blip r:embed="rId6"/>
        <a:stretch/>
      </xdr:blipFill>
      <xdr:spPr>
        <a:xfrm>
          <a:off x="4039920" y="119885400"/>
          <a:ext cx="1170720" cy="1173240"/>
        </a:xfrm>
        <a:prstGeom prst="rect">
          <a:avLst/>
        </a:prstGeom>
        <a:noFill/>
        <a:ln w="9525">
          <a:noFill/>
        </a:ln>
      </xdr:spPr>
    </xdr:pic>
    <xdr:clientData/>
  </xdr:twoCellAnchor>
  <xdr:twoCellAnchor editAs="oneCell">
    <xdr:from>
      <xdr:col>2</xdr:col>
      <xdr:colOff>38160</xdr:colOff>
      <xdr:row>76</xdr:row>
      <xdr:rowOff>143280</xdr:rowOff>
    </xdr:from>
    <xdr:to>
      <xdr:col>2</xdr:col>
      <xdr:colOff>1208880</xdr:colOff>
      <xdr:row>76</xdr:row>
      <xdr:rowOff>1316520</xdr:rowOff>
    </xdr:to>
    <xdr:pic>
      <xdr:nvPicPr>
        <xdr:cNvPr id="1466" name="图片 35" descr="11_副本4"/>
        <xdr:cNvPicPr/>
      </xdr:nvPicPr>
      <xdr:blipFill>
        <a:blip r:embed="rId7"/>
        <a:stretch/>
      </xdr:blipFill>
      <xdr:spPr>
        <a:xfrm>
          <a:off x="5605920" y="101949480"/>
          <a:ext cx="1170720" cy="1173240"/>
        </a:xfrm>
        <a:prstGeom prst="rect">
          <a:avLst/>
        </a:prstGeom>
        <a:noFill/>
        <a:ln w="9525">
          <a:noFill/>
        </a:ln>
      </xdr:spPr>
    </xdr:pic>
    <xdr:clientData/>
  </xdr:twoCellAnchor>
  <xdr:twoCellAnchor editAs="oneCell">
    <xdr:from>
      <xdr:col>2</xdr:col>
      <xdr:colOff>38160</xdr:colOff>
      <xdr:row>79</xdr:row>
      <xdr:rowOff>143640</xdr:rowOff>
    </xdr:from>
    <xdr:to>
      <xdr:col>2</xdr:col>
      <xdr:colOff>1208880</xdr:colOff>
      <xdr:row>79</xdr:row>
      <xdr:rowOff>1316160</xdr:rowOff>
    </xdr:to>
    <xdr:pic>
      <xdr:nvPicPr>
        <xdr:cNvPr id="1467" name="图片 36" descr="11_副本5"/>
        <xdr:cNvPicPr/>
      </xdr:nvPicPr>
      <xdr:blipFill>
        <a:blip r:embed="rId8"/>
        <a:stretch/>
      </xdr:blipFill>
      <xdr:spPr>
        <a:xfrm>
          <a:off x="5605920" y="106331400"/>
          <a:ext cx="1170720" cy="1172520"/>
        </a:xfrm>
        <a:prstGeom prst="rect">
          <a:avLst/>
        </a:prstGeom>
        <a:noFill/>
        <a:ln w="9525">
          <a:noFill/>
        </a:ln>
      </xdr:spPr>
    </xdr:pic>
    <xdr:clientData/>
  </xdr:twoCellAnchor>
  <xdr:twoCellAnchor editAs="oneCell">
    <xdr:from>
      <xdr:col>2</xdr:col>
      <xdr:colOff>38160</xdr:colOff>
      <xdr:row>99</xdr:row>
      <xdr:rowOff>144000</xdr:rowOff>
    </xdr:from>
    <xdr:to>
      <xdr:col>2</xdr:col>
      <xdr:colOff>1208880</xdr:colOff>
      <xdr:row>99</xdr:row>
      <xdr:rowOff>1315440</xdr:rowOff>
    </xdr:to>
    <xdr:pic>
      <xdr:nvPicPr>
        <xdr:cNvPr id="1468" name="图片 37" descr="11_副本6"/>
        <xdr:cNvPicPr/>
      </xdr:nvPicPr>
      <xdr:blipFill>
        <a:blip r:embed="rId9"/>
        <a:stretch/>
      </xdr:blipFill>
      <xdr:spPr>
        <a:xfrm>
          <a:off x="5605920" y="130519080"/>
          <a:ext cx="1170720" cy="1171440"/>
        </a:xfrm>
        <a:prstGeom prst="rect">
          <a:avLst/>
        </a:prstGeom>
        <a:noFill/>
        <a:ln w="9525">
          <a:noFill/>
        </a:ln>
      </xdr:spPr>
    </xdr:pic>
    <xdr:clientData/>
  </xdr:twoCellAnchor>
  <xdr:twoCellAnchor editAs="oneCell">
    <xdr:from>
      <xdr:col>2</xdr:col>
      <xdr:colOff>38160</xdr:colOff>
      <xdr:row>77</xdr:row>
      <xdr:rowOff>143280</xdr:rowOff>
    </xdr:from>
    <xdr:to>
      <xdr:col>2</xdr:col>
      <xdr:colOff>1208880</xdr:colOff>
      <xdr:row>77</xdr:row>
      <xdr:rowOff>1316520</xdr:rowOff>
    </xdr:to>
    <xdr:pic>
      <xdr:nvPicPr>
        <xdr:cNvPr id="1469" name="图片 38" descr="12_副本8"/>
        <xdr:cNvPicPr/>
      </xdr:nvPicPr>
      <xdr:blipFill>
        <a:blip r:embed="rId10"/>
        <a:stretch/>
      </xdr:blipFill>
      <xdr:spPr>
        <a:xfrm>
          <a:off x="5605920" y="103410000"/>
          <a:ext cx="1170720" cy="1173240"/>
        </a:xfrm>
        <a:prstGeom prst="rect">
          <a:avLst/>
        </a:prstGeom>
        <a:noFill/>
        <a:ln w="9525">
          <a:noFill/>
        </a:ln>
      </xdr:spPr>
    </xdr:pic>
    <xdr:clientData/>
  </xdr:twoCellAnchor>
  <xdr:twoCellAnchor editAs="oneCell">
    <xdr:from>
      <xdr:col>2</xdr:col>
      <xdr:colOff>38160</xdr:colOff>
      <xdr:row>78</xdr:row>
      <xdr:rowOff>143280</xdr:rowOff>
    </xdr:from>
    <xdr:to>
      <xdr:col>2</xdr:col>
      <xdr:colOff>1208880</xdr:colOff>
      <xdr:row>78</xdr:row>
      <xdr:rowOff>1316520</xdr:rowOff>
    </xdr:to>
    <xdr:pic>
      <xdr:nvPicPr>
        <xdr:cNvPr id="1470" name="图片 39" descr="12_副本9"/>
        <xdr:cNvPicPr/>
      </xdr:nvPicPr>
      <xdr:blipFill>
        <a:blip r:embed="rId11"/>
        <a:stretch/>
      </xdr:blipFill>
      <xdr:spPr>
        <a:xfrm>
          <a:off x="5605920" y="104870520"/>
          <a:ext cx="1170720" cy="1173240"/>
        </a:xfrm>
        <a:prstGeom prst="rect">
          <a:avLst/>
        </a:prstGeom>
        <a:noFill/>
        <a:ln w="9525">
          <a:noFill/>
        </a:ln>
      </xdr:spPr>
    </xdr:pic>
    <xdr:clientData/>
  </xdr:twoCellAnchor>
  <xdr:twoCellAnchor editAs="oneCell">
    <xdr:from>
      <xdr:col>2</xdr:col>
      <xdr:colOff>38160</xdr:colOff>
      <xdr:row>90</xdr:row>
      <xdr:rowOff>144360</xdr:rowOff>
    </xdr:from>
    <xdr:to>
      <xdr:col>2</xdr:col>
      <xdr:colOff>1208880</xdr:colOff>
      <xdr:row>90</xdr:row>
      <xdr:rowOff>1315080</xdr:rowOff>
    </xdr:to>
    <xdr:pic>
      <xdr:nvPicPr>
        <xdr:cNvPr id="1471" name="图片 40" descr="12_副本10"/>
        <xdr:cNvPicPr/>
      </xdr:nvPicPr>
      <xdr:blipFill>
        <a:blip r:embed="rId12"/>
        <a:stretch/>
      </xdr:blipFill>
      <xdr:spPr>
        <a:xfrm>
          <a:off x="5605920" y="119886480"/>
          <a:ext cx="1170720" cy="1170720"/>
        </a:xfrm>
        <a:prstGeom prst="rect">
          <a:avLst/>
        </a:prstGeom>
        <a:noFill/>
        <a:ln w="9525">
          <a:noFill/>
        </a:ln>
      </xdr:spPr>
    </xdr:pic>
    <xdr:clientData/>
  </xdr:twoCellAnchor>
  <xdr:twoCellAnchor editAs="oneCell">
    <xdr:from>
      <xdr:col>2</xdr:col>
      <xdr:colOff>38160</xdr:colOff>
      <xdr:row>100</xdr:row>
      <xdr:rowOff>143280</xdr:rowOff>
    </xdr:from>
    <xdr:to>
      <xdr:col>2</xdr:col>
      <xdr:colOff>1208880</xdr:colOff>
      <xdr:row>100</xdr:row>
      <xdr:rowOff>1316520</xdr:rowOff>
    </xdr:to>
    <xdr:pic>
      <xdr:nvPicPr>
        <xdr:cNvPr id="1472" name="图片 41" descr="12_副本11"/>
        <xdr:cNvPicPr/>
      </xdr:nvPicPr>
      <xdr:blipFill>
        <a:blip r:embed="rId13"/>
        <a:stretch/>
      </xdr:blipFill>
      <xdr:spPr>
        <a:xfrm>
          <a:off x="5605920" y="131978880"/>
          <a:ext cx="1170720" cy="1173240"/>
        </a:xfrm>
        <a:prstGeom prst="rect">
          <a:avLst/>
        </a:prstGeom>
        <a:noFill/>
        <a:ln w="9525">
          <a:noFill/>
        </a:ln>
      </xdr:spPr>
    </xdr:pic>
    <xdr:clientData/>
  </xdr:twoCellAnchor>
  <xdr:twoCellAnchor editAs="oneCell">
    <xdr:from>
      <xdr:col>1</xdr:col>
      <xdr:colOff>38160</xdr:colOff>
      <xdr:row>98</xdr:row>
      <xdr:rowOff>144000</xdr:rowOff>
    </xdr:from>
    <xdr:to>
      <xdr:col>1</xdr:col>
      <xdr:colOff>1208880</xdr:colOff>
      <xdr:row>98</xdr:row>
      <xdr:rowOff>1316160</xdr:rowOff>
    </xdr:to>
    <xdr:pic>
      <xdr:nvPicPr>
        <xdr:cNvPr id="1473" name="图片 42" descr="3_副本1"/>
        <xdr:cNvPicPr/>
      </xdr:nvPicPr>
      <xdr:blipFill>
        <a:blip r:embed="rId14"/>
        <a:stretch/>
      </xdr:blipFill>
      <xdr:spPr>
        <a:xfrm>
          <a:off x="4039920" y="129058560"/>
          <a:ext cx="1170720" cy="1172160"/>
        </a:xfrm>
        <a:prstGeom prst="rect">
          <a:avLst/>
        </a:prstGeom>
        <a:noFill/>
        <a:ln w="9525">
          <a:noFill/>
        </a:ln>
      </xdr:spPr>
    </xdr:pic>
    <xdr:clientData/>
  </xdr:twoCellAnchor>
  <xdr:twoCellAnchor editAs="oneCell">
    <xdr:from>
      <xdr:col>1</xdr:col>
      <xdr:colOff>38160</xdr:colOff>
      <xdr:row>100</xdr:row>
      <xdr:rowOff>143280</xdr:rowOff>
    </xdr:from>
    <xdr:to>
      <xdr:col>1</xdr:col>
      <xdr:colOff>1208880</xdr:colOff>
      <xdr:row>100</xdr:row>
      <xdr:rowOff>1316520</xdr:rowOff>
    </xdr:to>
    <xdr:pic>
      <xdr:nvPicPr>
        <xdr:cNvPr id="1474" name="图片 43" descr="3_副本1"/>
        <xdr:cNvPicPr/>
      </xdr:nvPicPr>
      <xdr:blipFill>
        <a:blip r:embed="rId15"/>
        <a:stretch/>
      </xdr:blipFill>
      <xdr:spPr>
        <a:xfrm>
          <a:off x="4039920" y="131978880"/>
          <a:ext cx="1170720" cy="1173240"/>
        </a:xfrm>
        <a:prstGeom prst="rect">
          <a:avLst/>
        </a:prstGeom>
        <a:noFill/>
        <a:ln w="9525">
          <a:noFill/>
        </a:ln>
      </xdr:spPr>
    </xdr:pic>
    <xdr:clientData/>
  </xdr:twoCellAnchor>
  <xdr:twoCellAnchor editAs="oneCell">
    <xdr:from>
      <xdr:col>1</xdr:col>
      <xdr:colOff>38160</xdr:colOff>
      <xdr:row>91</xdr:row>
      <xdr:rowOff>146880</xdr:rowOff>
    </xdr:from>
    <xdr:to>
      <xdr:col>1</xdr:col>
      <xdr:colOff>1208880</xdr:colOff>
      <xdr:row>91</xdr:row>
      <xdr:rowOff>1313280</xdr:rowOff>
    </xdr:to>
    <xdr:pic>
      <xdr:nvPicPr>
        <xdr:cNvPr id="1475" name="图片 44" descr="6"/>
        <xdr:cNvPicPr/>
      </xdr:nvPicPr>
      <xdr:blipFill>
        <a:blip r:embed="rId16"/>
        <a:stretch/>
      </xdr:blipFill>
      <xdr:spPr>
        <a:xfrm>
          <a:off x="4039920" y="121349160"/>
          <a:ext cx="1170720" cy="1166400"/>
        </a:xfrm>
        <a:prstGeom prst="rect">
          <a:avLst/>
        </a:prstGeom>
        <a:noFill/>
        <a:ln w="9525">
          <a:noFill/>
        </a:ln>
      </xdr:spPr>
    </xdr:pic>
    <xdr:clientData/>
  </xdr:twoCellAnchor>
  <xdr:twoCellAnchor editAs="oneCell">
    <xdr:from>
      <xdr:col>1</xdr:col>
      <xdr:colOff>38160</xdr:colOff>
      <xdr:row>79</xdr:row>
      <xdr:rowOff>143280</xdr:rowOff>
    </xdr:from>
    <xdr:to>
      <xdr:col>1</xdr:col>
      <xdr:colOff>1208880</xdr:colOff>
      <xdr:row>79</xdr:row>
      <xdr:rowOff>1316520</xdr:rowOff>
    </xdr:to>
    <xdr:pic>
      <xdr:nvPicPr>
        <xdr:cNvPr id="1476" name="图片 45" descr="4_副本"/>
        <xdr:cNvPicPr/>
      </xdr:nvPicPr>
      <xdr:blipFill>
        <a:blip r:embed="rId17"/>
        <a:stretch/>
      </xdr:blipFill>
      <xdr:spPr>
        <a:xfrm>
          <a:off x="4039920" y="106331040"/>
          <a:ext cx="1170720" cy="1173240"/>
        </a:xfrm>
        <a:prstGeom prst="rect">
          <a:avLst/>
        </a:prstGeom>
        <a:noFill/>
        <a:ln w="9525">
          <a:noFill/>
        </a:ln>
      </xdr:spPr>
    </xdr:pic>
    <xdr:clientData/>
  </xdr:twoCellAnchor>
  <xdr:twoCellAnchor editAs="oneCell">
    <xdr:from>
      <xdr:col>1</xdr:col>
      <xdr:colOff>38160</xdr:colOff>
      <xdr:row>77</xdr:row>
      <xdr:rowOff>143280</xdr:rowOff>
    </xdr:from>
    <xdr:to>
      <xdr:col>1</xdr:col>
      <xdr:colOff>1208880</xdr:colOff>
      <xdr:row>77</xdr:row>
      <xdr:rowOff>1316520</xdr:rowOff>
    </xdr:to>
    <xdr:pic>
      <xdr:nvPicPr>
        <xdr:cNvPr id="1477" name="图片 46" descr="5_副本"/>
        <xdr:cNvPicPr/>
      </xdr:nvPicPr>
      <xdr:blipFill>
        <a:blip r:embed="rId18"/>
        <a:stretch/>
      </xdr:blipFill>
      <xdr:spPr>
        <a:xfrm>
          <a:off x="4039920" y="103410000"/>
          <a:ext cx="1170720" cy="1173240"/>
        </a:xfrm>
        <a:prstGeom prst="rect">
          <a:avLst/>
        </a:prstGeom>
        <a:noFill/>
        <a:ln w="9525">
          <a:noFill/>
        </a:ln>
      </xdr:spPr>
    </xdr:pic>
    <xdr:clientData/>
  </xdr:twoCellAnchor>
  <xdr:twoCellAnchor editAs="oneCell">
    <xdr:from>
      <xdr:col>1</xdr:col>
      <xdr:colOff>38160</xdr:colOff>
      <xdr:row>82</xdr:row>
      <xdr:rowOff>140760</xdr:rowOff>
    </xdr:from>
    <xdr:to>
      <xdr:col>1</xdr:col>
      <xdr:colOff>1208880</xdr:colOff>
      <xdr:row>82</xdr:row>
      <xdr:rowOff>1319040</xdr:rowOff>
    </xdr:to>
    <xdr:pic>
      <xdr:nvPicPr>
        <xdr:cNvPr id="1478" name="图片 47" descr="4"/>
        <xdr:cNvPicPr/>
      </xdr:nvPicPr>
      <xdr:blipFill>
        <a:blip r:embed="rId19"/>
        <a:stretch/>
      </xdr:blipFill>
      <xdr:spPr>
        <a:xfrm>
          <a:off x="4039920" y="110710080"/>
          <a:ext cx="1170720" cy="1178280"/>
        </a:xfrm>
        <a:prstGeom prst="rect">
          <a:avLst/>
        </a:prstGeom>
        <a:noFill/>
        <a:ln w="9525">
          <a:noFill/>
        </a:ln>
      </xdr:spPr>
    </xdr:pic>
    <xdr:clientData/>
  </xdr:twoCellAnchor>
  <xdr:twoCellAnchor editAs="oneCell">
    <xdr:from>
      <xdr:col>1</xdr:col>
      <xdr:colOff>38160</xdr:colOff>
      <xdr:row>101</xdr:row>
      <xdr:rowOff>144000</xdr:rowOff>
    </xdr:from>
    <xdr:to>
      <xdr:col>1</xdr:col>
      <xdr:colOff>1208880</xdr:colOff>
      <xdr:row>101</xdr:row>
      <xdr:rowOff>1315440</xdr:rowOff>
    </xdr:to>
    <xdr:pic>
      <xdr:nvPicPr>
        <xdr:cNvPr id="1479" name="图片 48" descr="4_副本"/>
        <xdr:cNvPicPr/>
      </xdr:nvPicPr>
      <xdr:blipFill>
        <a:blip r:embed="rId20"/>
        <a:stretch/>
      </xdr:blipFill>
      <xdr:spPr>
        <a:xfrm>
          <a:off x="4039920" y="133440120"/>
          <a:ext cx="1170720" cy="1171440"/>
        </a:xfrm>
        <a:prstGeom prst="rect">
          <a:avLst/>
        </a:prstGeom>
        <a:noFill/>
        <a:ln w="9525">
          <a:noFill/>
        </a:ln>
      </xdr:spPr>
    </xdr:pic>
    <xdr:clientData/>
  </xdr:twoCellAnchor>
  <xdr:twoCellAnchor editAs="oneCell">
    <xdr:from>
      <xdr:col>1</xdr:col>
      <xdr:colOff>38160</xdr:colOff>
      <xdr:row>80</xdr:row>
      <xdr:rowOff>141480</xdr:rowOff>
    </xdr:from>
    <xdr:to>
      <xdr:col>1</xdr:col>
      <xdr:colOff>1208880</xdr:colOff>
      <xdr:row>80</xdr:row>
      <xdr:rowOff>1317960</xdr:rowOff>
    </xdr:to>
    <xdr:pic>
      <xdr:nvPicPr>
        <xdr:cNvPr id="1480" name="图片 49" descr="6"/>
        <xdr:cNvPicPr/>
      </xdr:nvPicPr>
      <xdr:blipFill>
        <a:blip r:embed="rId21"/>
        <a:stretch/>
      </xdr:blipFill>
      <xdr:spPr>
        <a:xfrm>
          <a:off x="4039920" y="107789760"/>
          <a:ext cx="1170720" cy="1176480"/>
        </a:xfrm>
        <a:prstGeom prst="rect">
          <a:avLst/>
        </a:prstGeom>
        <a:noFill/>
        <a:ln w="9525">
          <a:noFill/>
        </a:ln>
      </xdr:spPr>
    </xdr:pic>
    <xdr:clientData/>
  </xdr:twoCellAnchor>
  <xdr:twoCellAnchor editAs="oneCell">
    <xdr:from>
      <xdr:col>2</xdr:col>
      <xdr:colOff>38160</xdr:colOff>
      <xdr:row>102</xdr:row>
      <xdr:rowOff>143280</xdr:rowOff>
    </xdr:from>
    <xdr:to>
      <xdr:col>2</xdr:col>
      <xdr:colOff>1208880</xdr:colOff>
      <xdr:row>102</xdr:row>
      <xdr:rowOff>1316520</xdr:rowOff>
    </xdr:to>
    <xdr:pic>
      <xdr:nvPicPr>
        <xdr:cNvPr id="1481" name="图片 50" descr="11_副本"/>
        <xdr:cNvPicPr/>
      </xdr:nvPicPr>
      <xdr:blipFill>
        <a:blip r:embed="rId22"/>
        <a:stretch/>
      </xdr:blipFill>
      <xdr:spPr>
        <a:xfrm>
          <a:off x="5605920" y="134899920"/>
          <a:ext cx="1170720" cy="1173240"/>
        </a:xfrm>
        <a:prstGeom prst="rect">
          <a:avLst/>
        </a:prstGeom>
        <a:noFill/>
        <a:ln w="9525">
          <a:noFill/>
        </a:ln>
      </xdr:spPr>
    </xdr:pic>
    <xdr:clientData/>
  </xdr:twoCellAnchor>
  <xdr:twoCellAnchor editAs="oneCell">
    <xdr:from>
      <xdr:col>2</xdr:col>
      <xdr:colOff>38160</xdr:colOff>
      <xdr:row>80</xdr:row>
      <xdr:rowOff>143280</xdr:rowOff>
    </xdr:from>
    <xdr:to>
      <xdr:col>2</xdr:col>
      <xdr:colOff>1208880</xdr:colOff>
      <xdr:row>80</xdr:row>
      <xdr:rowOff>1316520</xdr:rowOff>
    </xdr:to>
    <xdr:pic>
      <xdr:nvPicPr>
        <xdr:cNvPr id="1482" name="图片 51" descr="12"/>
        <xdr:cNvPicPr/>
      </xdr:nvPicPr>
      <xdr:blipFill>
        <a:blip r:embed="rId23"/>
        <a:stretch/>
      </xdr:blipFill>
      <xdr:spPr>
        <a:xfrm>
          <a:off x="5605920" y="107791560"/>
          <a:ext cx="1170720" cy="1173240"/>
        </a:xfrm>
        <a:prstGeom prst="rect">
          <a:avLst/>
        </a:prstGeom>
        <a:noFill/>
        <a:ln w="9525">
          <a:noFill/>
        </a:ln>
      </xdr:spPr>
    </xdr:pic>
    <xdr:clientData/>
  </xdr:twoCellAnchor>
  <xdr:twoCellAnchor editAs="oneCell">
    <xdr:from>
      <xdr:col>2</xdr:col>
      <xdr:colOff>38160</xdr:colOff>
      <xdr:row>82</xdr:row>
      <xdr:rowOff>141480</xdr:rowOff>
    </xdr:from>
    <xdr:to>
      <xdr:col>2</xdr:col>
      <xdr:colOff>1208880</xdr:colOff>
      <xdr:row>82</xdr:row>
      <xdr:rowOff>1317960</xdr:rowOff>
    </xdr:to>
    <xdr:pic>
      <xdr:nvPicPr>
        <xdr:cNvPr id="1483" name="图片 52" descr="12_副本"/>
        <xdr:cNvPicPr/>
      </xdr:nvPicPr>
      <xdr:blipFill>
        <a:blip r:embed="rId24"/>
        <a:stretch/>
      </xdr:blipFill>
      <xdr:spPr>
        <a:xfrm>
          <a:off x="5605920" y="110710800"/>
          <a:ext cx="1170720" cy="1176480"/>
        </a:xfrm>
        <a:prstGeom prst="rect">
          <a:avLst/>
        </a:prstGeom>
        <a:noFill/>
        <a:ln w="9525">
          <a:noFill/>
        </a:ln>
      </xdr:spPr>
    </xdr:pic>
    <xdr:clientData/>
  </xdr:twoCellAnchor>
  <xdr:twoCellAnchor editAs="oneCell">
    <xdr:from>
      <xdr:col>2</xdr:col>
      <xdr:colOff>38160</xdr:colOff>
      <xdr:row>81</xdr:row>
      <xdr:rowOff>143280</xdr:rowOff>
    </xdr:from>
    <xdr:to>
      <xdr:col>2</xdr:col>
      <xdr:colOff>1208880</xdr:colOff>
      <xdr:row>81</xdr:row>
      <xdr:rowOff>1316520</xdr:rowOff>
    </xdr:to>
    <xdr:pic>
      <xdr:nvPicPr>
        <xdr:cNvPr id="1484" name="图片 53" descr="13"/>
        <xdr:cNvPicPr/>
      </xdr:nvPicPr>
      <xdr:blipFill>
        <a:blip r:embed="rId25"/>
        <a:stretch/>
      </xdr:blipFill>
      <xdr:spPr>
        <a:xfrm>
          <a:off x="5605920" y="109252080"/>
          <a:ext cx="1170720" cy="1173240"/>
        </a:xfrm>
        <a:prstGeom prst="rect">
          <a:avLst/>
        </a:prstGeom>
        <a:noFill/>
        <a:ln w="9525">
          <a:noFill/>
        </a:ln>
      </xdr:spPr>
    </xdr:pic>
    <xdr:clientData/>
  </xdr:twoCellAnchor>
  <xdr:twoCellAnchor editAs="oneCell">
    <xdr:from>
      <xdr:col>2</xdr:col>
      <xdr:colOff>38160</xdr:colOff>
      <xdr:row>93</xdr:row>
      <xdr:rowOff>143280</xdr:rowOff>
    </xdr:from>
    <xdr:to>
      <xdr:col>2</xdr:col>
      <xdr:colOff>1208880</xdr:colOff>
      <xdr:row>93</xdr:row>
      <xdr:rowOff>1316520</xdr:rowOff>
    </xdr:to>
    <xdr:pic>
      <xdr:nvPicPr>
        <xdr:cNvPr id="1485" name="图片 54" descr="13_副本"/>
        <xdr:cNvPicPr/>
      </xdr:nvPicPr>
      <xdr:blipFill>
        <a:blip r:embed="rId26"/>
        <a:stretch/>
      </xdr:blipFill>
      <xdr:spPr>
        <a:xfrm>
          <a:off x="5605920" y="124266600"/>
          <a:ext cx="1170720" cy="1173240"/>
        </a:xfrm>
        <a:prstGeom prst="rect">
          <a:avLst/>
        </a:prstGeom>
        <a:noFill/>
        <a:ln w="9525">
          <a:noFill/>
        </a:ln>
      </xdr:spPr>
    </xdr:pic>
    <xdr:clientData/>
  </xdr:twoCellAnchor>
  <xdr:twoCellAnchor editAs="oneCell">
    <xdr:from>
      <xdr:col>2</xdr:col>
      <xdr:colOff>38160</xdr:colOff>
      <xdr:row>101</xdr:row>
      <xdr:rowOff>141480</xdr:rowOff>
    </xdr:from>
    <xdr:to>
      <xdr:col>2</xdr:col>
      <xdr:colOff>1208880</xdr:colOff>
      <xdr:row>101</xdr:row>
      <xdr:rowOff>1318680</xdr:rowOff>
    </xdr:to>
    <xdr:pic>
      <xdr:nvPicPr>
        <xdr:cNvPr id="1486" name="图片 55" descr="13_副本1"/>
        <xdr:cNvPicPr/>
      </xdr:nvPicPr>
      <xdr:blipFill>
        <a:blip r:embed="rId27"/>
        <a:stretch/>
      </xdr:blipFill>
      <xdr:spPr>
        <a:xfrm>
          <a:off x="5605920" y="133437600"/>
          <a:ext cx="1170720" cy="1177200"/>
        </a:xfrm>
        <a:prstGeom prst="rect">
          <a:avLst/>
        </a:prstGeom>
        <a:noFill/>
        <a:ln w="9525">
          <a:noFill/>
        </a:ln>
      </xdr:spPr>
    </xdr:pic>
    <xdr:clientData/>
  </xdr:twoCellAnchor>
  <xdr:twoCellAnchor editAs="oneCell">
    <xdr:from>
      <xdr:col>1</xdr:col>
      <xdr:colOff>38160</xdr:colOff>
      <xdr:row>102</xdr:row>
      <xdr:rowOff>140760</xdr:rowOff>
    </xdr:from>
    <xdr:to>
      <xdr:col>1</xdr:col>
      <xdr:colOff>1208880</xdr:colOff>
      <xdr:row>102</xdr:row>
      <xdr:rowOff>1319040</xdr:rowOff>
    </xdr:to>
    <xdr:pic>
      <xdr:nvPicPr>
        <xdr:cNvPr id="1487" name="图片 56" descr="4_副本"/>
        <xdr:cNvPicPr/>
      </xdr:nvPicPr>
      <xdr:blipFill>
        <a:blip r:embed="rId28"/>
        <a:stretch/>
      </xdr:blipFill>
      <xdr:spPr>
        <a:xfrm>
          <a:off x="4039920" y="134897400"/>
          <a:ext cx="1170720" cy="1178280"/>
        </a:xfrm>
        <a:prstGeom prst="rect">
          <a:avLst/>
        </a:prstGeom>
        <a:noFill/>
        <a:ln w="9525">
          <a:noFill/>
        </a:ln>
      </xdr:spPr>
    </xdr:pic>
    <xdr:clientData/>
  </xdr:twoCellAnchor>
  <xdr:twoCellAnchor editAs="oneCell">
    <xdr:from>
      <xdr:col>1</xdr:col>
      <xdr:colOff>38160</xdr:colOff>
      <xdr:row>103</xdr:row>
      <xdr:rowOff>140400</xdr:rowOff>
    </xdr:from>
    <xdr:to>
      <xdr:col>1</xdr:col>
      <xdr:colOff>1208880</xdr:colOff>
      <xdr:row>103</xdr:row>
      <xdr:rowOff>1319400</xdr:rowOff>
    </xdr:to>
    <xdr:pic>
      <xdr:nvPicPr>
        <xdr:cNvPr id="1488" name="图片 57" descr="4_副本"/>
        <xdr:cNvPicPr/>
      </xdr:nvPicPr>
      <xdr:blipFill>
        <a:blip r:embed="rId29"/>
        <a:stretch/>
      </xdr:blipFill>
      <xdr:spPr>
        <a:xfrm>
          <a:off x="4039920" y="136357560"/>
          <a:ext cx="1170720" cy="1179000"/>
        </a:xfrm>
        <a:prstGeom prst="rect">
          <a:avLst/>
        </a:prstGeom>
        <a:noFill/>
        <a:ln w="9525">
          <a:noFill/>
        </a:ln>
      </xdr:spPr>
    </xdr:pic>
    <xdr:clientData/>
  </xdr:twoCellAnchor>
  <xdr:twoCellAnchor editAs="oneCell">
    <xdr:from>
      <xdr:col>1</xdr:col>
      <xdr:colOff>38160</xdr:colOff>
      <xdr:row>83</xdr:row>
      <xdr:rowOff>144000</xdr:rowOff>
    </xdr:from>
    <xdr:to>
      <xdr:col>1</xdr:col>
      <xdr:colOff>1208880</xdr:colOff>
      <xdr:row>83</xdr:row>
      <xdr:rowOff>1315440</xdr:rowOff>
    </xdr:to>
    <xdr:pic>
      <xdr:nvPicPr>
        <xdr:cNvPr id="1489" name="图片 58" descr="4"/>
        <xdr:cNvPicPr/>
      </xdr:nvPicPr>
      <xdr:blipFill>
        <a:blip r:embed="rId30"/>
        <a:stretch/>
      </xdr:blipFill>
      <xdr:spPr>
        <a:xfrm>
          <a:off x="4039920" y="112173840"/>
          <a:ext cx="1170720" cy="1171440"/>
        </a:xfrm>
        <a:prstGeom prst="rect">
          <a:avLst/>
        </a:prstGeom>
        <a:noFill/>
        <a:ln w="9525">
          <a:noFill/>
        </a:ln>
      </xdr:spPr>
    </xdr:pic>
    <xdr:clientData/>
  </xdr:twoCellAnchor>
  <xdr:twoCellAnchor editAs="oneCell">
    <xdr:from>
      <xdr:col>1</xdr:col>
      <xdr:colOff>38160</xdr:colOff>
      <xdr:row>81</xdr:row>
      <xdr:rowOff>143640</xdr:rowOff>
    </xdr:from>
    <xdr:to>
      <xdr:col>1</xdr:col>
      <xdr:colOff>1208880</xdr:colOff>
      <xdr:row>81</xdr:row>
      <xdr:rowOff>1316160</xdr:rowOff>
    </xdr:to>
    <xdr:pic>
      <xdr:nvPicPr>
        <xdr:cNvPr id="1490" name="图片 59" descr="6"/>
        <xdr:cNvPicPr/>
      </xdr:nvPicPr>
      <xdr:blipFill>
        <a:blip r:embed="rId31"/>
        <a:stretch/>
      </xdr:blipFill>
      <xdr:spPr>
        <a:xfrm>
          <a:off x="4039920" y="109252440"/>
          <a:ext cx="1170720" cy="1172520"/>
        </a:xfrm>
        <a:prstGeom prst="rect">
          <a:avLst/>
        </a:prstGeom>
        <a:noFill/>
        <a:ln w="9525">
          <a:noFill/>
        </a:ln>
      </xdr:spPr>
    </xdr:pic>
    <xdr:clientData/>
  </xdr:twoCellAnchor>
  <xdr:twoCellAnchor editAs="oneCell">
    <xdr:from>
      <xdr:col>1</xdr:col>
      <xdr:colOff>38160</xdr:colOff>
      <xdr:row>92</xdr:row>
      <xdr:rowOff>144000</xdr:rowOff>
    </xdr:from>
    <xdr:to>
      <xdr:col>1</xdr:col>
      <xdr:colOff>1208880</xdr:colOff>
      <xdr:row>92</xdr:row>
      <xdr:rowOff>1316160</xdr:rowOff>
    </xdr:to>
    <xdr:pic>
      <xdr:nvPicPr>
        <xdr:cNvPr id="1491" name="图片 60" descr="6_副本"/>
        <xdr:cNvPicPr/>
      </xdr:nvPicPr>
      <xdr:blipFill>
        <a:blip r:embed="rId32"/>
        <a:stretch/>
      </xdr:blipFill>
      <xdr:spPr>
        <a:xfrm>
          <a:off x="4039920" y="122806800"/>
          <a:ext cx="1170720" cy="1172160"/>
        </a:xfrm>
        <a:prstGeom prst="rect">
          <a:avLst/>
        </a:prstGeom>
        <a:noFill/>
        <a:ln w="9525">
          <a:noFill/>
        </a:ln>
      </xdr:spPr>
    </xdr:pic>
    <xdr:clientData/>
  </xdr:twoCellAnchor>
  <xdr:twoCellAnchor editAs="oneCell">
    <xdr:from>
      <xdr:col>2</xdr:col>
      <xdr:colOff>38160</xdr:colOff>
      <xdr:row>83</xdr:row>
      <xdr:rowOff>143280</xdr:rowOff>
    </xdr:from>
    <xdr:to>
      <xdr:col>2</xdr:col>
      <xdr:colOff>1208880</xdr:colOff>
      <xdr:row>83</xdr:row>
      <xdr:rowOff>1316520</xdr:rowOff>
    </xdr:to>
    <xdr:pic>
      <xdr:nvPicPr>
        <xdr:cNvPr id="1492" name="图片 61" descr="11"/>
        <xdr:cNvPicPr/>
      </xdr:nvPicPr>
      <xdr:blipFill>
        <a:blip r:embed="rId33"/>
        <a:stretch/>
      </xdr:blipFill>
      <xdr:spPr>
        <a:xfrm>
          <a:off x="5605920" y="112173120"/>
          <a:ext cx="1170720" cy="1173240"/>
        </a:xfrm>
        <a:prstGeom prst="rect">
          <a:avLst/>
        </a:prstGeom>
        <a:noFill/>
        <a:ln w="9525">
          <a:noFill/>
        </a:ln>
      </xdr:spPr>
    </xdr:pic>
    <xdr:clientData/>
  </xdr:twoCellAnchor>
  <xdr:twoCellAnchor editAs="oneCell">
    <xdr:from>
      <xdr:col>2</xdr:col>
      <xdr:colOff>38160</xdr:colOff>
      <xdr:row>92</xdr:row>
      <xdr:rowOff>140760</xdr:rowOff>
    </xdr:from>
    <xdr:to>
      <xdr:col>2</xdr:col>
      <xdr:colOff>1208880</xdr:colOff>
      <xdr:row>92</xdr:row>
      <xdr:rowOff>1319040</xdr:rowOff>
    </xdr:to>
    <xdr:pic>
      <xdr:nvPicPr>
        <xdr:cNvPr id="1493" name="图片 62" descr="12_副本1"/>
        <xdr:cNvPicPr/>
      </xdr:nvPicPr>
      <xdr:blipFill>
        <a:blip r:embed="rId34"/>
        <a:stretch/>
      </xdr:blipFill>
      <xdr:spPr>
        <a:xfrm>
          <a:off x="5605920" y="122803560"/>
          <a:ext cx="1170720" cy="1178280"/>
        </a:xfrm>
        <a:prstGeom prst="rect">
          <a:avLst/>
        </a:prstGeom>
        <a:noFill/>
        <a:ln w="9525">
          <a:noFill/>
        </a:ln>
      </xdr:spPr>
    </xdr:pic>
    <xdr:clientData/>
  </xdr:twoCellAnchor>
  <xdr:twoCellAnchor editAs="oneCell">
    <xdr:from>
      <xdr:col>2</xdr:col>
      <xdr:colOff>38160</xdr:colOff>
      <xdr:row>103</xdr:row>
      <xdr:rowOff>144000</xdr:rowOff>
    </xdr:from>
    <xdr:to>
      <xdr:col>2</xdr:col>
      <xdr:colOff>1208880</xdr:colOff>
      <xdr:row>103</xdr:row>
      <xdr:rowOff>1316160</xdr:rowOff>
    </xdr:to>
    <xdr:pic>
      <xdr:nvPicPr>
        <xdr:cNvPr id="1494" name="图片 63" descr="12_副本2"/>
        <xdr:cNvPicPr/>
      </xdr:nvPicPr>
      <xdr:blipFill>
        <a:blip r:embed="rId35"/>
        <a:stretch/>
      </xdr:blipFill>
      <xdr:spPr>
        <a:xfrm>
          <a:off x="5605920" y="136361160"/>
          <a:ext cx="1170720" cy="1172160"/>
        </a:xfrm>
        <a:prstGeom prst="rect">
          <a:avLst/>
        </a:prstGeom>
        <a:noFill/>
        <a:ln w="9525">
          <a:noFill/>
        </a:ln>
      </xdr:spPr>
    </xdr:pic>
    <xdr:clientData/>
  </xdr:twoCellAnchor>
  <xdr:twoCellAnchor editAs="oneCell">
    <xdr:from>
      <xdr:col>1</xdr:col>
      <xdr:colOff>38160</xdr:colOff>
      <xdr:row>93</xdr:row>
      <xdr:rowOff>143280</xdr:rowOff>
    </xdr:from>
    <xdr:to>
      <xdr:col>1</xdr:col>
      <xdr:colOff>1208880</xdr:colOff>
      <xdr:row>93</xdr:row>
      <xdr:rowOff>1316520</xdr:rowOff>
    </xdr:to>
    <xdr:pic>
      <xdr:nvPicPr>
        <xdr:cNvPr id="1495" name="图片 64" descr="6_副本"/>
        <xdr:cNvPicPr/>
      </xdr:nvPicPr>
      <xdr:blipFill>
        <a:blip r:embed="rId36"/>
        <a:stretch/>
      </xdr:blipFill>
      <xdr:spPr>
        <a:xfrm>
          <a:off x="4039920" y="124266600"/>
          <a:ext cx="1170720" cy="1173240"/>
        </a:xfrm>
        <a:prstGeom prst="rect">
          <a:avLst/>
        </a:prstGeom>
        <a:noFill/>
        <a:ln w="9525">
          <a:noFill/>
        </a:ln>
      </xdr:spPr>
    </xdr:pic>
    <xdr:clientData/>
  </xdr:twoCellAnchor>
  <xdr:twoCellAnchor editAs="oneCell">
    <xdr:from>
      <xdr:col>1</xdr:col>
      <xdr:colOff>38160</xdr:colOff>
      <xdr:row>104</xdr:row>
      <xdr:rowOff>141480</xdr:rowOff>
    </xdr:from>
    <xdr:to>
      <xdr:col>1</xdr:col>
      <xdr:colOff>1208880</xdr:colOff>
      <xdr:row>104</xdr:row>
      <xdr:rowOff>1317960</xdr:rowOff>
    </xdr:to>
    <xdr:pic>
      <xdr:nvPicPr>
        <xdr:cNvPr id="1496" name="图片 65" descr="3"/>
        <xdr:cNvPicPr/>
      </xdr:nvPicPr>
      <xdr:blipFill>
        <a:blip r:embed="rId37"/>
        <a:stretch/>
      </xdr:blipFill>
      <xdr:spPr>
        <a:xfrm>
          <a:off x="4039920" y="137819160"/>
          <a:ext cx="1170720" cy="1176480"/>
        </a:xfrm>
        <a:prstGeom prst="rect">
          <a:avLst/>
        </a:prstGeom>
        <a:noFill/>
        <a:ln w="9525">
          <a:noFill/>
        </a:ln>
      </xdr:spPr>
    </xdr:pic>
    <xdr:clientData/>
  </xdr:twoCellAnchor>
  <xdr:twoCellAnchor editAs="oneCell">
    <xdr:from>
      <xdr:col>1</xdr:col>
      <xdr:colOff>38160</xdr:colOff>
      <xdr:row>86</xdr:row>
      <xdr:rowOff>140760</xdr:rowOff>
    </xdr:from>
    <xdr:to>
      <xdr:col>1</xdr:col>
      <xdr:colOff>1208880</xdr:colOff>
      <xdr:row>86</xdr:row>
      <xdr:rowOff>1319040</xdr:rowOff>
    </xdr:to>
    <xdr:pic>
      <xdr:nvPicPr>
        <xdr:cNvPr id="1497" name="图片 66" descr="4_副本1"/>
        <xdr:cNvPicPr/>
      </xdr:nvPicPr>
      <xdr:blipFill>
        <a:blip r:embed="rId38"/>
        <a:stretch/>
      </xdr:blipFill>
      <xdr:spPr>
        <a:xfrm>
          <a:off x="4039920" y="116552160"/>
          <a:ext cx="1170720" cy="1178280"/>
        </a:xfrm>
        <a:prstGeom prst="rect">
          <a:avLst/>
        </a:prstGeom>
        <a:noFill/>
        <a:ln w="9525">
          <a:noFill/>
        </a:ln>
      </xdr:spPr>
    </xdr:pic>
    <xdr:clientData/>
  </xdr:twoCellAnchor>
  <xdr:twoCellAnchor editAs="oneCell">
    <xdr:from>
      <xdr:col>1</xdr:col>
      <xdr:colOff>38160</xdr:colOff>
      <xdr:row>84</xdr:row>
      <xdr:rowOff>143280</xdr:rowOff>
    </xdr:from>
    <xdr:to>
      <xdr:col>1</xdr:col>
      <xdr:colOff>1208880</xdr:colOff>
      <xdr:row>84</xdr:row>
      <xdr:rowOff>1316520</xdr:rowOff>
    </xdr:to>
    <xdr:pic>
      <xdr:nvPicPr>
        <xdr:cNvPr id="1498" name="图片 67" descr="5"/>
        <xdr:cNvPicPr/>
      </xdr:nvPicPr>
      <xdr:blipFill>
        <a:blip r:embed="rId39"/>
        <a:stretch/>
      </xdr:blipFill>
      <xdr:spPr>
        <a:xfrm>
          <a:off x="4039920" y="113633640"/>
          <a:ext cx="1170720" cy="1173240"/>
        </a:xfrm>
        <a:prstGeom prst="rect">
          <a:avLst/>
        </a:prstGeom>
        <a:noFill/>
        <a:ln w="9525">
          <a:noFill/>
        </a:ln>
      </xdr:spPr>
    </xdr:pic>
    <xdr:clientData/>
  </xdr:twoCellAnchor>
  <xdr:twoCellAnchor editAs="oneCell">
    <xdr:from>
      <xdr:col>1</xdr:col>
      <xdr:colOff>38160</xdr:colOff>
      <xdr:row>94</xdr:row>
      <xdr:rowOff>143280</xdr:rowOff>
    </xdr:from>
    <xdr:to>
      <xdr:col>1</xdr:col>
      <xdr:colOff>1208880</xdr:colOff>
      <xdr:row>94</xdr:row>
      <xdr:rowOff>1316520</xdr:rowOff>
    </xdr:to>
    <xdr:pic>
      <xdr:nvPicPr>
        <xdr:cNvPr id="1499" name="图片 68" descr="6_副本1"/>
        <xdr:cNvPicPr/>
      </xdr:nvPicPr>
      <xdr:blipFill>
        <a:blip r:embed="rId40"/>
        <a:stretch/>
      </xdr:blipFill>
      <xdr:spPr>
        <a:xfrm>
          <a:off x="4039920" y="125727120"/>
          <a:ext cx="1170720" cy="1173240"/>
        </a:xfrm>
        <a:prstGeom prst="rect">
          <a:avLst/>
        </a:prstGeom>
        <a:noFill/>
        <a:ln w="9525">
          <a:noFill/>
        </a:ln>
      </xdr:spPr>
    </xdr:pic>
    <xdr:clientData/>
  </xdr:twoCellAnchor>
  <xdr:twoCellAnchor editAs="oneCell">
    <xdr:from>
      <xdr:col>2</xdr:col>
      <xdr:colOff>38160</xdr:colOff>
      <xdr:row>84</xdr:row>
      <xdr:rowOff>143640</xdr:rowOff>
    </xdr:from>
    <xdr:to>
      <xdr:col>2</xdr:col>
      <xdr:colOff>1208880</xdr:colOff>
      <xdr:row>84</xdr:row>
      <xdr:rowOff>1316160</xdr:rowOff>
    </xdr:to>
    <xdr:pic>
      <xdr:nvPicPr>
        <xdr:cNvPr id="1500" name="图片 69" descr="11_副本1"/>
        <xdr:cNvPicPr/>
      </xdr:nvPicPr>
      <xdr:blipFill>
        <a:blip r:embed="rId41"/>
        <a:stretch/>
      </xdr:blipFill>
      <xdr:spPr>
        <a:xfrm>
          <a:off x="5605920" y="113634000"/>
          <a:ext cx="1170720" cy="1172520"/>
        </a:xfrm>
        <a:prstGeom prst="rect">
          <a:avLst/>
        </a:prstGeom>
        <a:noFill/>
        <a:ln w="9525">
          <a:noFill/>
        </a:ln>
      </xdr:spPr>
    </xdr:pic>
    <xdr:clientData/>
  </xdr:twoCellAnchor>
  <xdr:twoCellAnchor editAs="oneCell">
    <xdr:from>
      <xdr:col>2</xdr:col>
      <xdr:colOff>38160</xdr:colOff>
      <xdr:row>87</xdr:row>
      <xdr:rowOff>144000</xdr:rowOff>
    </xdr:from>
    <xdr:to>
      <xdr:col>2</xdr:col>
      <xdr:colOff>1208880</xdr:colOff>
      <xdr:row>87</xdr:row>
      <xdr:rowOff>1316160</xdr:rowOff>
    </xdr:to>
    <xdr:pic>
      <xdr:nvPicPr>
        <xdr:cNvPr id="1501" name="图片 70" descr="11_副本2"/>
        <xdr:cNvPicPr/>
      </xdr:nvPicPr>
      <xdr:blipFill>
        <a:blip r:embed="rId42"/>
        <a:stretch/>
      </xdr:blipFill>
      <xdr:spPr>
        <a:xfrm>
          <a:off x="5605920" y="118015920"/>
          <a:ext cx="1170720" cy="1172160"/>
        </a:xfrm>
        <a:prstGeom prst="rect">
          <a:avLst/>
        </a:prstGeom>
        <a:noFill/>
        <a:ln w="9525">
          <a:noFill/>
        </a:ln>
      </xdr:spPr>
    </xdr:pic>
    <xdr:clientData/>
  </xdr:twoCellAnchor>
  <xdr:twoCellAnchor editAs="oneCell">
    <xdr:from>
      <xdr:col>2</xdr:col>
      <xdr:colOff>38160</xdr:colOff>
      <xdr:row>105</xdr:row>
      <xdr:rowOff>140760</xdr:rowOff>
    </xdr:from>
    <xdr:to>
      <xdr:col>2</xdr:col>
      <xdr:colOff>1208880</xdr:colOff>
      <xdr:row>105</xdr:row>
      <xdr:rowOff>1319040</xdr:rowOff>
    </xdr:to>
    <xdr:pic>
      <xdr:nvPicPr>
        <xdr:cNvPr id="1502" name="图片 71" descr="11_副本3"/>
        <xdr:cNvPicPr/>
      </xdr:nvPicPr>
      <xdr:blipFill>
        <a:blip r:embed="rId43"/>
        <a:stretch/>
      </xdr:blipFill>
      <xdr:spPr>
        <a:xfrm>
          <a:off x="5605920" y="139278960"/>
          <a:ext cx="1170720" cy="1178280"/>
        </a:xfrm>
        <a:prstGeom prst="rect">
          <a:avLst/>
        </a:prstGeom>
        <a:noFill/>
        <a:ln w="9525">
          <a:noFill/>
        </a:ln>
      </xdr:spPr>
    </xdr:pic>
    <xdr:clientData/>
  </xdr:twoCellAnchor>
  <xdr:twoCellAnchor editAs="oneCell">
    <xdr:from>
      <xdr:col>2</xdr:col>
      <xdr:colOff>38160</xdr:colOff>
      <xdr:row>85</xdr:row>
      <xdr:rowOff>144000</xdr:rowOff>
    </xdr:from>
    <xdr:to>
      <xdr:col>2</xdr:col>
      <xdr:colOff>1208880</xdr:colOff>
      <xdr:row>85</xdr:row>
      <xdr:rowOff>1315440</xdr:rowOff>
    </xdr:to>
    <xdr:pic>
      <xdr:nvPicPr>
        <xdr:cNvPr id="1503" name="图片 72" descr="12_副本3"/>
        <xdr:cNvPicPr/>
      </xdr:nvPicPr>
      <xdr:blipFill>
        <a:blip r:embed="rId44"/>
        <a:stretch/>
      </xdr:blipFill>
      <xdr:spPr>
        <a:xfrm>
          <a:off x="5605920" y="115094880"/>
          <a:ext cx="1170720" cy="1171440"/>
        </a:xfrm>
        <a:prstGeom prst="rect">
          <a:avLst/>
        </a:prstGeom>
        <a:noFill/>
        <a:ln w="9525">
          <a:noFill/>
        </a:ln>
      </xdr:spPr>
    </xdr:pic>
    <xdr:clientData/>
  </xdr:twoCellAnchor>
  <xdr:twoCellAnchor editAs="oneCell">
    <xdr:from>
      <xdr:col>2</xdr:col>
      <xdr:colOff>38160</xdr:colOff>
      <xdr:row>86</xdr:row>
      <xdr:rowOff>140760</xdr:rowOff>
    </xdr:from>
    <xdr:to>
      <xdr:col>2</xdr:col>
      <xdr:colOff>1208880</xdr:colOff>
      <xdr:row>86</xdr:row>
      <xdr:rowOff>1319040</xdr:rowOff>
    </xdr:to>
    <xdr:pic>
      <xdr:nvPicPr>
        <xdr:cNvPr id="1504" name="图片 73" descr="12_副本4"/>
        <xdr:cNvPicPr/>
      </xdr:nvPicPr>
      <xdr:blipFill>
        <a:blip r:embed="rId45"/>
        <a:stretch/>
      </xdr:blipFill>
      <xdr:spPr>
        <a:xfrm>
          <a:off x="5605920" y="116552160"/>
          <a:ext cx="1170720" cy="1178280"/>
        </a:xfrm>
        <a:prstGeom prst="rect">
          <a:avLst/>
        </a:prstGeom>
        <a:noFill/>
        <a:ln w="9525">
          <a:noFill/>
        </a:ln>
      </xdr:spPr>
    </xdr:pic>
    <xdr:clientData/>
  </xdr:twoCellAnchor>
  <xdr:twoCellAnchor editAs="oneCell">
    <xdr:from>
      <xdr:col>2</xdr:col>
      <xdr:colOff>38160</xdr:colOff>
      <xdr:row>94</xdr:row>
      <xdr:rowOff>143640</xdr:rowOff>
    </xdr:from>
    <xdr:to>
      <xdr:col>2</xdr:col>
      <xdr:colOff>1208880</xdr:colOff>
      <xdr:row>94</xdr:row>
      <xdr:rowOff>1316160</xdr:rowOff>
    </xdr:to>
    <xdr:pic>
      <xdr:nvPicPr>
        <xdr:cNvPr id="1505" name="图片 74" descr="12_副本5"/>
        <xdr:cNvPicPr/>
      </xdr:nvPicPr>
      <xdr:blipFill>
        <a:blip r:embed="rId46"/>
        <a:stretch/>
      </xdr:blipFill>
      <xdr:spPr>
        <a:xfrm>
          <a:off x="5605920" y="125727480"/>
          <a:ext cx="1170720" cy="1172520"/>
        </a:xfrm>
        <a:prstGeom prst="rect">
          <a:avLst/>
        </a:prstGeom>
        <a:noFill/>
        <a:ln w="9525">
          <a:noFill/>
        </a:ln>
      </xdr:spPr>
    </xdr:pic>
    <xdr:clientData/>
  </xdr:twoCellAnchor>
  <xdr:twoCellAnchor editAs="oneCell">
    <xdr:from>
      <xdr:col>2</xdr:col>
      <xdr:colOff>38160</xdr:colOff>
      <xdr:row>106</xdr:row>
      <xdr:rowOff>143640</xdr:rowOff>
    </xdr:from>
    <xdr:to>
      <xdr:col>2</xdr:col>
      <xdr:colOff>1208880</xdr:colOff>
      <xdr:row>106</xdr:row>
      <xdr:rowOff>1316160</xdr:rowOff>
    </xdr:to>
    <xdr:pic>
      <xdr:nvPicPr>
        <xdr:cNvPr id="1506" name="图片 75" descr="12_副本6"/>
        <xdr:cNvPicPr/>
      </xdr:nvPicPr>
      <xdr:blipFill>
        <a:blip r:embed="rId47"/>
        <a:stretch/>
      </xdr:blipFill>
      <xdr:spPr>
        <a:xfrm>
          <a:off x="5605920" y="140742000"/>
          <a:ext cx="1170720" cy="1172520"/>
        </a:xfrm>
        <a:prstGeom prst="rect">
          <a:avLst/>
        </a:prstGeom>
        <a:noFill/>
        <a:ln w="9525">
          <a:noFill/>
        </a:ln>
      </xdr:spPr>
    </xdr:pic>
    <xdr:clientData/>
  </xdr:twoCellAnchor>
  <xdr:twoCellAnchor editAs="oneCell">
    <xdr:from>
      <xdr:col>2</xdr:col>
      <xdr:colOff>38160</xdr:colOff>
      <xdr:row>95</xdr:row>
      <xdr:rowOff>143280</xdr:rowOff>
    </xdr:from>
    <xdr:to>
      <xdr:col>2</xdr:col>
      <xdr:colOff>1208880</xdr:colOff>
      <xdr:row>95</xdr:row>
      <xdr:rowOff>1316520</xdr:rowOff>
    </xdr:to>
    <xdr:pic>
      <xdr:nvPicPr>
        <xdr:cNvPr id="1507" name="图片 76" descr="13_副本2"/>
        <xdr:cNvPicPr/>
      </xdr:nvPicPr>
      <xdr:blipFill>
        <a:blip r:embed="rId48"/>
        <a:stretch/>
      </xdr:blipFill>
      <xdr:spPr>
        <a:xfrm>
          <a:off x="5605920" y="127187640"/>
          <a:ext cx="1170720" cy="1173240"/>
        </a:xfrm>
        <a:prstGeom prst="rect">
          <a:avLst/>
        </a:prstGeom>
        <a:noFill/>
        <a:ln w="9525">
          <a:noFill/>
        </a:ln>
      </xdr:spPr>
    </xdr:pic>
    <xdr:clientData/>
  </xdr:twoCellAnchor>
  <xdr:twoCellAnchor editAs="oneCell">
    <xdr:from>
      <xdr:col>2</xdr:col>
      <xdr:colOff>38160</xdr:colOff>
      <xdr:row>104</xdr:row>
      <xdr:rowOff>144000</xdr:rowOff>
    </xdr:from>
    <xdr:to>
      <xdr:col>2</xdr:col>
      <xdr:colOff>1208880</xdr:colOff>
      <xdr:row>104</xdr:row>
      <xdr:rowOff>1315440</xdr:rowOff>
    </xdr:to>
    <xdr:pic>
      <xdr:nvPicPr>
        <xdr:cNvPr id="1508" name="图片 77" descr="13_副本3"/>
        <xdr:cNvPicPr/>
      </xdr:nvPicPr>
      <xdr:blipFill>
        <a:blip r:embed="rId49"/>
        <a:stretch/>
      </xdr:blipFill>
      <xdr:spPr>
        <a:xfrm>
          <a:off x="5605920" y="137821680"/>
          <a:ext cx="1170720" cy="1171440"/>
        </a:xfrm>
        <a:prstGeom prst="rect">
          <a:avLst/>
        </a:prstGeom>
        <a:noFill/>
        <a:ln w="9525">
          <a:noFill/>
        </a:ln>
      </xdr:spPr>
    </xdr:pic>
    <xdr:clientData/>
  </xdr:twoCellAnchor>
  <xdr:twoCellAnchor editAs="oneCell">
    <xdr:from>
      <xdr:col>1</xdr:col>
      <xdr:colOff>38160</xdr:colOff>
      <xdr:row>105</xdr:row>
      <xdr:rowOff>140760</xdr:rowOff>
    </xdr:from>
    <xdr:to>
      <xdr:col>1</xdr:col>
      <xdr:colOff>1208880</xdr:colOff>
      <xdr:row>105</xdr:row>
      <xdr:rowOff>1319040</xdr:rowOff>
    </xdr:to>
    <xdr:pic>
      <xdr:nvPicPr>
        <xdr:cNvPr id="1509" name="图片 78" descr="3"/>
        <xdr:cNvPicPr/>
      </xdr:nvPicPr>
      <xdr:blipFill>
        <a:blip r:embed="rId50"/>
        <a:stretch/>
      </xdr:blipFill>
      <xdr:spPr>
        <a:xfrm>
          <a:off x="4039920" y="139278960"/>
          <a:ext cx="1170720" cy="1178280"/>
        </a:xfrm>
        <a:prstGeom prst="rect">
          <a:avLst/>
        </a:prstGeom>
        <a:noFill/>
        <a:ln w="9525">
          <a:noFill/>
        </a:ln>
      </xdr:spPr>
    </xdr:pic>
    <xdr:clientData/>
  </xdr:twoCellAnchor>
  <xdr:twoCellAnchor editAs="oneCell">
    <xdr:from>
      <xdr:col>1</xdr:col>
      <xdr:colOff>38160</xdr:colOff>
      <xdr:row>106</xdr:row>
      <xdr:rowOff>140760</xdr:rowOff>
    </xdr:from>
    <xdr:to>
      <xdr:col>1</xdr:col>
      <xdr:colOff>1208880</xdr:colOff>
      <xdr:row>106</xdr:row>
      <xdr:rowOff>1319040</xdr:rowOff>
    </xdr:to>
    <xdr:pic>
      <xdr:nvPicPr>
        <xdr:cNvPr id="1510" name="图片 79" descr="3"/>
        <xdr:cNvPicPr/>
      </xdr:nvPicPr>
      <xdr:blipFill>
        <a:blip r:embed="rId51"/>
        <a:stretch/>
      </xdr:blipFill>
      <xdr:spPr>
        <a:xfrm>
          <a:off x="4039920" y="140739120"/>
          <a:ext cx="1170720" cy="1178280"/>
        </a:xfrm>
        <a:prstGeom prst="rect">
          <a:avLst/>
        </a:prstGeom>
        <a:noFill/>
        <a:ln w="9525">
          <a:noFill/>
        </a:ln>
      </xdr:spPr>
    </xdr:pic>
    <xdr:clientData/>
  </xdr:twoCellAnchor>
  <xdr:twoCellAnchor editAs="oneCell">
    <xdr:from>
      <xdr:col>1</xdr:col>
      <xdr:colOff>38160</xdr:colOff>
      <xdr:row>95</xdr:row>
      <xdr:rowOff>143280</xdr:rowOff>
    </xdr:from>
    <xdr:to>
      <xdr:col>1</xdr:col>
      <xdr:colOff>1208880</xdr:colOff>
      <xdr:row>95</xdr:row>
      <xdr:rowOff>1316520</xdr:rowOff>
    </xdr:to>
    <xdr:pic>
      <xdr:nvPicPr>
        <xdr:cNvPr id="1511" name="图片 80" descr="6_副本1"/>
        <xdr:cNvPicPr/>
      </xdr:nvPicPr>
      <xdr:blipFill>
        <a:blip r:embed="rId52"/>
        <a:stretch/>
      </xdr:blipFill>
      <xdr:spPr>
        <a:xfrm>
          <a:off x="4039920" y="127187640"/>
          <a:ext cx="1170720" cy="1173240"/>
        </a:xfrm>
        <a:prstGeom prst="rect">
          <a:avLst/>
        </a:prstGeom>
        <a:noFill/>
        <a:ln w="9525">
          <a:noFill/>
        </a:ln>
      </xdr:spPr>
    </xdr:pic>
    <xdr:clientData/>
  </xdr:twoCellAnchor>
  <xdr:twoCellAnchor editAs="oneCell">
    <xdr:from>
      <xdr:col>1</xdr:col>
      <xdr:colOff>38160</xdr:colOff>
      <xdr:row>87</xdr:row>
      <xdr:rowOff>140760</xdr:rowOff>
    </xdr:from>
    <xdr:to>
      <xdr:col>1</xdr:col>
      <xdr:colOff>1208880</xdr:colOff>
      <xdr:row>87</xdr:row>
      <xdr:rowOff>1319040</xdr:rowOff>
    </xdr:to>
    <xdr:pic>
      <xdr:nvPicPr>
        <xdr:cNvPr id="1512" name="图片 81" descr="4_副本1"/>
        <xdr:cNvPicPr/>
      </xdr:nvPicPr>
      <xdr:blipFill>
        <a:blip r:embed="rId53"/>
        <a:stretch/>
      </xdr:blipFill>
      <xdr:spPr>
        <a:xfrm>
          <a:off x="4039920" y="118012680"/>
          <a:ext cx="1170720" cy="1178280"/>
        </a:xfrm>
        <a:prstGeom prst="rect">
          <a:avLst/>
        </a:prstGeom>
        <a:noFill/>
        <a:ln w="9525">
          <a:noFill/>
        </a:ln>
      </xdr:spPr>
    </xdr:pic>
    <xdr:clientData/>
  </xdr:twoCellAnchor>
  <xdr:twoCellAnchor editAs="oneCell">
    <xdr:from>
      <xdr:col>1</xdr:col>
      <xdr:colOff>38160</xdr:colOff>
      <xdr:row>85</xdr:row>
      <xdr:rowOff>140400</xdr:rowOff>
    </xdr:from>
    <xdr:to>
      <xdr:col>1</xdr:col>
      <xdr:colOff>1208880</xdr:colOff>
      <xdr:row>85</xdr:row>
      <xdr:rowOff>1319400</xdr:rowOff>
    </xdr:to>
    <xdr:pic>
      <xdr:nvPicPr>
        <xdr:cNvPr id="1513" name="图片 82" descr="5"/>
        <xdr:cNvPicPr/>
      </xdr:nvPicPr>
      <xdr:blipFill>
        <a:blip r:embed="rId54"/>
        <a:stretch/>
      </xdr:blipFill>
      <xdr:spPr>
        <a:xfrm>
          <a:off x="4039920" y="115091280"/>
          <a:ext cx="1170720" cy="1179000"/>
        </a:xfrm>
        <a:prstGeom prst="rect">
          <a:avLst/>
        </a:prstGeom>
        <a:noFill/>
        <a:ln w="9525">
          <a:noFill/>
        </a:ln>
      </xdr:spPr>
    </xdr:pic>
    <xdr:clientData/>
  </xdr:twoCellAnchor>
  <xdr:twoCellAnchor editAs="oneCell">
    <xdr:from>
      <xdr:col>1</xdr:col>
      <xdr:colOff>38160</xdr:colOff>
      <xdr:row>62</xdr:row>
      <xdr:rowOff>140760</xdr:rowOff>
    </xdr:from>
    <xdr:to>
      <xdr:col>1</xdr:col>
      <xdr:colOff>1208880</xdr:colOff>
      <xdr:row>62</xdr:row>
      <xdr:rowOff>1319040</xdr:rowOff>
    </xdr:to>
    <xdr:pic>
      <xdr:nvPicPr>
        <xdr:cNvPr id="1514" name="图片 1" descr="1_副本"/>
        <xdr:cNvPicPr/>
      </xdr:nvPicPr>
      <xdr:blipFill>
        <a:blip r:embed="rId55"/>
        <a:stretch/>
      </xdr:blipFill>
      <xdr:spPr>
        <a:xfrm>
          <a:off x="4039920" y="84011400"/>
          <a:ext cx="1170720" cy="1178280"/>
        </a:xfrm>
        <a:prstGeom prst="rect">
          <a:avLst/>
        </a:prstGeom>
        <a:noFill/>
        <a:ln w="9525">
          <a:noFill/>
        </a:ln>
      </xdr:spPr>
    </xdr:pic>
    <xdr:clientData/>
  </xdr:twoCellAnchor>
  <xdr:twoCellAnchor editAs="oneCell">
    <xdr:from>
      <xdr:col>1</xdr:col>
      <xdr:colOff>38160</xdr:colOff>
      <xdr:row>63</xdr:row>
      <xdr:rowOff>143280</xdr:rowOff>
    </xdr:from>
    <xdr:to>
      <xdr:col>1</xdr:col>
      <xdr:colOff>1208880</xdr:colOff>
      <xdr:row>63</xdr:row>
      <xdr:rowOff>1316520</xdr:rowOff>
    </xdr:to>
    <xdr:pic>
      <xdr:nvPicPr>
        <xdr:cNvPr id="1515" name="图片 3" descr="1_副本"/>
        <xdr:cNvPicPr/>
      </xdr:nvPicPr>
      <xdr:blipFill>
        <a:blip r:embed="rId56"/>
        <a:stretch/>
      </xdr:blipFill>
      <xdr:spPr>
        <a:xfrm>
          <a:off x="4039920" y="85474440"/>
          <a:ext cx="1170720" cy="1173240"/>
        </a:xfrm>
        <a:prstGeom prst="rect">
          <a:avLst/>
        </a:prstGeom>
        <a:noFill/>
        <a:ln w="9525">
          <a:noFill/>
        </a:ln>
      </xdr:spPr>
    </xdr:pic>
    <xdr:clientData/>
  </xdr:twoCellAnchor>
  <xdr:twoCellAnchor editAs="oneCell">
    <xdr:from>
      <xdr:col>2</xdr:col>
      <xdr:colOff>38160</xdr:colOff>
      <xdr:row>62</xdr:row>
      <xdr:rowOff>140760</xdr:rowOff>
    </xdr:from>
    <xdr:to>
      <xdr:col>2</xdr:col>
      <xdr:colOff>1208880</xdr:colOff>
      <xdr:row>62</xdr:row>
      <xdr:rowOff>1319040</xdr:rowOff>
    </xdr:to>
    <xdr:pic>
      <xdr:nvPicPr>
        <xdr:cNvPr id="1516" name="图片 4" descr="11_副本"/>
        <xdr:cNvPicPr/>
      </xdr:nvPicPr>
      <xdr:blipFill>
        <a:blip r:embed="rId57"/>
        <a:stretch/>
      </xdr:blipFill>
      <xdr:spPr>
        <a:xfrm>
          <a:off x="5605920" y="84011400"/>
          <a:ext cx="1170720" cy="1178280"/>
        </a:xfrm>
        <a:prstGeom prst="rect">
          <a:avLst/>
        </a:prstGeom>
        <a:noFill/>
        <a:ln w="9525">
          <a:noFill/>
        </a:ln>
      </xdr:spPr>
    </xdr:pic>
    <xdr:clientData/>
  </xdr:twoCellAnchor>
  <xdr:twoCellAnchor editAs="oneCell">
    <xdr:from>
      <xdr:col>2</xdr:col>
      <xdr:colOff>38160</xdr:colOff>
      <xdr:row>63</xdr:row>
      <xdr:rowOff>143280</xdr:rowOff>
    </xdr:from>
    <xdr:to>
      <xdr:col>2</xdr:col>
      <xdr:colOff>1208880</xdr:colOff>
      <xdr:row>63</xdr:row>
      <xdr:rowOff>1316520</xdr:rowOff>
    </xdr:to>
    <xdr:pic>
      <xdr:nvPicPr>
        <xdr:cNvPr id="1517" name="图片 5" descr="10_副本"/>
        <xdr:cNvPicPr/>
      </xdr:nvPicPr>
      <xdr:blipFill>
        <a:blip r:embed="rId58"/>
        <a:stretch/>
      </xdr:blipFill>
      <xdr:spPr>
        <a:xfrm>
          <a:off x="5605920" y="85474440"/>
          <a:ext cx="1170720" cy="1173240"/>
        </a:xfrm>
        <a:prstGeom prst="rect">
          <a:avLst/>
        </a:prstGeom>
        <a:noFill/>
        <a:ln w="9525">
          <a:noFill/>
        </a:ln>
      </xdr:spPr>
    </xdr:pic>
    <xdr:clientData/>
  </xdr:twoCellAnchor>
  <xdr:twoCellAnchor editAs="oneCell">
    <xdr:from>
      <xdr:col>1</xdr:col>
      <xdr:colOff>38160</xdr:colOff>
      <xdr:row>64</xdr:row>
      <xdr:rowOff>143280</xdr:rowOff>
    </xdr:from>
    <xdr:to>
      <xdr:col>1</xdr:col>
      <xdr:colOff>1208880</xdr:colOff>
      <xdr:row>64</xdr:row>
      <xdr:rowOff>1316520</xdr:rowOff>
    </xdr:to>
    <xdr:pic>
      <xdr:nvPicPr>
        <xdr:cNvPr id="1518" name="图片 6" descr="1_副本"/>
        <xdr:cNvPicPr/>
      </xdr:nvPicPr>
      <xdr:blipFill>
        <a:blip r:embed="rId59"/>
        <a:stretch/>
      </xdr:blipFill>
      <xdr:spPr>
        <a:xfrm>
          <a:off x="4039920" y="86934960"/>
          <a:ext cx="1170720" cy="1173240"/>
        </a:xfrm>
        <a:prstGeom prst="rect">
          <a:avLst/>
        </a:prstGeom>
        <a:noFill/>
        <a:ln w="9525">
          <a:noFill/>
        </a:ln>
      </xdr:spPr>
    </xdr:pic>
    <xdr:clientData/>
  </xdr:twoCellAnchor>
  <xdr:twoCellAnchor editAs="oneCell">
    <xdr:from>
      <xdr:col>2</xdr:col>
      <xdr:colOff>38160</xdr:colOff>
      <xdr:row>64</xdr:row>
      <xdr:rowOff>143280</xdr:rowOff>
    </xdr:from>
    <xdr:to>
      <xdr:col>2</xdr:col>
      <xdr:colOff>1208880</xdr:colOff>
      <xdr:row>64</xdr:row>
      <xdr:rowOff>1316520</xdr:rowOff>
    </xdr:to>
    <xdr:pic>
      <xdr:nvPicPr>
        <xdr:cNvPr id="1519" name="图片 7" descr="11_副本"/>
        <xdr:cNvPicPr/>
      </xdr:nvPicPr>
      <xdr:blipFill>
        <a:blip r:embed="rId60"/>
        <a:stretch/>
      </xdr:blipFill>
      <xdr:spPr>
        <a:xfrm>
          <a:off x="5605920" y="86934960"/>
          <a:ext cx="1170720" cy="1173240"/>
        </a:xfrm>
        <a:prstGeom prst="rect">
          <a:avLst/>
        </a:prstGeom>
        <a:noFill/>
        <a:ln w="9525">
          <a:noFill/>
        </a:ln>
      </xdr:spPr>
    </xdr:pic>
    <xdr:clientData/>
  </xdr:twoCellAnchor>
  <xdr:twoCellAnchor editAs="oneCell">
    <xdr:from>
      <xdr:col>1</xdr:col>
      <xdr:colOff>38160</xdr:colOff>
      <xdr:row>65</xdr:row>
      <xdr:rowOff>143280</xdr:rowOff>
    </xdr:from>
    <xdr:to>
      <xdr:col>1</xdr:col>
      <xdr:colOff>1208880</xdr:colOff>
      <xdr:row>65</xdr:row>
      <xdr:rowOff>1316520</xdr:rowOff>
    </xdr:to>
    <xdr:pic>
      <xdr:nvPicPr>
        <xdr:cNvPr id="1520" name="图片 8" descr="1_副本"/>
        <xdr:cNvPicPr/>
      </xdr:nvPicPr>
      <xdr:blipFill>
        <a:blip r:embed="rId61"/>
        <a:stretch/>
      </xdr:blipFill>
      <xdr:spPr>
        <a:xfrm>
          <a:off x="4039920" y="88395480"/>
          <a:ext cx="1170720" cy="1173240"/>
        </a:xfrm>
        <a:prstGeom prst="rect">
          <a:avLst/>
        </a:prstGeom>
        <a:noFill/>
        <a:ln w="9525">
          <a:noFill/>
        </a:ln>
      </xdr:spPr>
    </xdr:pic>
    <xdr:clientData/>
  </xdr:twoCellAnchor>
  <xdr:twoCellAnchor editAs="oneCell">
    <xdr:from>
      <xdr:col>2</xdr:col>
      <xdr:colOff>38160</xdr:colOff>
      <xdr:row>65</xdr:row>
      <xdr:rowOff>143280</xdr:rowOff>
    </xdr:from>
    <xdr:to>
      <xdr:col>2</xdr:col>
      <xdr:colOff>1208880</xdr:colOff>
      <xdr:row>65</xdr:row>
      <xdr:rowOff>1316520</xdr:rowOff>
    </xdr:to>
    <xdr:pic>
      <xdr:nvPicPr>
        <xdr:cNvPr id="1521" name="图片 9" descr="10_副本"/>
        <xdr:cNvPicPr/>
      </xdr:nvPicPr>
      <xdr:blipFill>
        <a:blip r:embed="rId62"/>
        <a:stretch/>
      </xdr:blipFill>
      <xdr:spPr>
        <a:xfrm>
          <a:off x="5605920" y="88395480"/>
          <a:ext cx="1170720" cy="1173240"/>
        </a:xfrm>
        <a:prstGeom prst="rect">
          <a:avLst/>
        </a:prstGeom>
        <a:noFill/>
        <a:ln w="9525">
          <a:noFill/>
        </a:ln>
      </xdr:spPr>
    </xdr:pic>
    <xdr:clientData/>
  </xdr:twoCellAnchor>
  <xdr:twoCellAnchor editAs="oneCell">
    <xdr:from>
      <xdr:col>1</xdr:col>
      <xdr:colOff>38160</xdr:colOff>
      <xdr:row>70</xdr:row>
      <xdr:rowOff>143280</xdr:rowOff>
    </xdr:from>
    <xdr:to>
      <xdr:col>1</xdr:col>
      <xdr:colOff>1208880</xdr:colOff>
      <xdr:row>70</xdr:row>
      <xdr:rowOff>1316520</xdr:rowOff>
    </xdr:to>
    <xdr:pic>
      <xdr:nvPicPr>
        <xdr:cNvPr id="1522" name="图片 10" descr="1_副本"/>
        <xdr:cNvPicPr/>
      </xdr:nvPicPr>
      <xdr:blipFill>
        <a:blip r:embed="rId63"/>
        <a:stretch/>
      </xdr:blipFill>
      <xdr:spPr>
        <a:xfrm>
          <a:off x="4039920" y="95698080"/>
          <a:ext cx="1170720" cy="1173240"/>
        </a:xfrm>
        <a:prstGeom prst="rect">
          <a:avLst/>
        </a:prstGeom>
        <a:noFill/>
        <a:ln w="9525">
          <a:noFill/>
        </a:ln>
      </xdr:spPr>
    </xdr:pic>
    <xdr:clientData/>
  </xdr:twoCellAnchor>
  <xdr:twoCellAnchor editAs="oneCell">
    <xdr:from>
      <xdr:col>1</xdr:col>
      <xdr:colOff>38160</xdr:colOff>
      <xdr:row>71</xdr:row>
      <xdr:rowOff>143280</xdr:rowOff>
    </xdr:from>
    <xdr:to>
      <xdr:col>1</xdr:col>
      <xdr:colOff>1208880</xdr:colOff>
      <xdr:row>71</xdr:row>
      <xdr:rowOff>1316520</xdr:rowOff>
    </xdr:to>
    <xdr:pic>
      <xdr:nvPicPr>
        <xdr:cNvPr id="1523" name="图片 11" descr="1_副本"/>
        <xdr:cNvPicPr/>
      </xdr:nvPicPr>
      <xdr:blipFill>
        <a:blip r:embed="rId64"/>
        <a:stretch/>
      </xdr:blipFill>
      <xdr:spPr>
        <a:xfrm>
          <a:off x="4039920" y="97158600"/>
          <a:ext cx="1170720" cy="1173240"/>
        </a:xfrm>
        <a:prstGeom prst="rect">
          <a:avLst/>
        </a:prstGeom>
        <a:noFill/>
        <a:ln w="9525">
          <a:noFill/>
        </a:ln>
      </xdr:spPr>
    </xdr:pic>
    <xdr:clientData/>
  </xdr:twoCellAnchor>
  <xdr:twoCellAnchor editAs="oneCell">
    <xdr:from>
      <xdr:col>2</xdr:col>
      <xdr:colOff>38160</xdr:colOff>
      <xdr:row>70</xdr:row>
      <xdr:rowOff>143280</xdr:rowOff>
    </xdr:from>
    <xdr:to>
      <xdr:col>2</xdr:col>
      <xdr:colOff>1208880</xdr:colOff>
      <xdr:row>70</xdr:row>
      <xdr:rowOff>1316520</xdr:rowOff>
    </xdr:to>
    <xdr:pic>
      <xdr:nvPicPr>
        <xdr:cNvPr id="1524" name="图片 12" descr="11_副本"/>
        <xdr:cNvPicPr/>
      </xdr:nvPicPr>
      <xdr:blipFill>
        <a:blip r:embed="rId65"/>
        <a:stretch/>
      </xdr:blipFill>
      <xdr:spPr>
        <a:xfrm>
          <a:off x="5605920" y="95698080"/>
          <a:ext cx="1170720" cy="1173240"/>
        </a:xfrm>
        <a:prstGeom prst="rect">
          <a:avLst/>
        </a:prstGeom>
        <a:noFill/>
        <a:ln w="9525">
          <a:noFill/>
        </a:ln>
      </xdr:spPr>
    </xdr:pic>
    <xdr:clientData/>
  </xdr:twoCellAnchor>
  <xdr:twoCellAnchor editAs="oneCell">
    <xdr:from>
      <xdr:col>2</xdr:col>
      <xdr:colOff>38160</xdr:colOff>
      <xdr:row>71</xdr:row>
      <xdr:rowOff>143280</xdr:rowOff>
    </xdr:from>
    <xdr:to>
      <xdr:col>2</xdr:col>
      <xdr:colOff>1208880</xdr:colOff>
      <xdr:row>71</xdr:row>
      <xdr:rowOff>1316520</xdr:rowOff>
    </xdr:to>
    <xdr:pic>
      <xdr:nvPicPr>
        <xdr:cNvPr id="1525" name="图片 13" descr="10_副本"/>
        <xdr:cNvPicPr/>
      </xdr:nvPicPr>
      <xdr:blipFill>
        <a:blip r:embed="rId66"/>
        <a:stretch/>
      </xdr:blipFill>
      <xdr:spPr>
        <a:xfrm>
          <a:off x="5605920" y="97158600"/>
          <a:ext cx="1170720" cy="1173240"/>
        </a:xfrm>
        <a:prstGeom prst="rect">
          <a:avLst/>
        </a:prstGeom>
        <a:noFill/>
        <a:ln w="9525">
          <a:noFill/>
        </a:ln>
      </xdr:spPr>
    </xdr:pic>
    <xdr:clientData/>
  </xdr:twoCellAnchor>
  <xdr:twoCellAnchor editAs="oneCell">
    <xdr:from>
      <xdr:col>1</xdr:col>
      <xdr:colOff>38160</xdr:colOff>
      <xdr:row>72</xdr:row>
      <xdr:rowOff>143280</xdr:rowOff>
    </xdr:from>
    <xdr:to>
      <xdr:col>1</xdr:col>
      <xdr:colOff>1208880</xdr:colOff>
      <xdr:row>72</xdr:row>
      <xdr:rowOff>1316520</xdr:rowOff>
    </xdr:to>
    <xdr:pic>
      <xdr:nvPicPr>
        <xdr:cNvPr id="1526" name="图片 14" descr="1_副本"/>
        <xdr:cNvPicPr/>
      </xdr:nvPicPr>
      <xdr:blipFill>
        <a:blip r:embed="rId67"/>
        <a:stretch/>
      </xdr:blipFill>
      <xdr:spPr>
        <a:xfrm>
          <a:off x="4039920" y="98619120"/>
          <a:ext cx="1170720" cy="1173240"/>
        </a:xfrm>
        <a:prstGeom prst="rect">
          <a:avLst/>
        </a:prstGeom>
        <a:noFill/>
        <a:ln w="9525">
          <a:noFill/>
        </a:ln>
      </xdr:spPr>
    </xdr:pic>
    <xdr:clientData/>
  </xdr:twoCellAnchor>
  <xdr:twoCellAnchor editAs="oneCell">
    <xdr:from>
      <xdr:col>2</xdr:col>
      <xdr:colOff>38160</xdr:colOff>
      <xdr:row>72</xdr:row>
      <xdr:rowOff>143280</xdr:rowOff>
    </xdr:from>
    <xdr:to>
      <xdr:col>2</xdr:col>
      <xdr:colOff>1208880</xdr:colOff>
      <xdr:row>72</xdr:row>
      <xdr:rowOff>1316520</xdr:rowOff>
    </xdr:to>
    <xdr:pic>
      <xdr:nvPicPr>
        <xdr:cNvPr id="1527" name="图片 15" descr="11_副本"/>
        <xdr:cNvPicPr/>
      </xdr:nvPicPr>
      <xdr:blipFill>
        <a:blip r:embed="rId68"/>
        <a:stretch/>
      </xdr:blipFill>
      <xdr:spPr>
        <a:xfrm>
          <a:off x="5605920" y="98619120"/>
          <a:ext cx="1170720" cy="1173240"/>
        </a:xfrm>
        <a:prstGeom prst="rect">
          <a:avLst/>
        </a:prstGeom>
        <a:noFill/>
        <a:ln w="9525">
          <a:noFill/>
        </a:ln>
      </xdr:spPr>
    </xdr:pic>
    <xdr:clientData/>
  </xdr:twoCellAnchor>
  <xdr:twoCellAnchor editAs="oneCell">
    <xdr:from>
      <xdr:col>1</xdr:col>
      <xdr:colOff>38160</xdr:colOff>
      <xdr:row>73</xdr:row>
      <xdr:rowOff>143280</xdr:rowOff>
    </xdr:from>
    <xdr:to>
      <xdr:col>1</xdr:col>
      <xdr:colOff>1208880</xdr:colOff>
      <xdr:row>73</xdr:row>
      <xdr:rowOff>1316520</xdr:rowOff>
    </xdr:to>
    <xdr:pic>
      <xdr:nvPicPr>
        <xdr:cNvPr id="1528" name="图片 16" descr="1_副本"/>
        <xdr:cNvPicPr/>
      </xdr:nvPicPr>
      <xdr:blipFill>
        <a:blip r:embed="rId69"/>
        <a:stretch/>
      </xdr:blipFill>
      <xdr:spPr>
        <a:xfrm>
          <a:off x="4039920" y="100079640"/>
          <a:ext cx="1170720" cy="1173240"/>
        </a:xfrm>
        <a:prstGeom prst="rect">
          <a:avLst/>
        </a:prstGeom>
        <a:noFill/>
        <a:ln w="9525">
          <a:noFill/>
        </a:ln>
      </xdr:spPr>
    </xdr:pic>
    <xdr:clientData/>
  </xdr:twoCellAnchor>
  <xdr:twoCellAnchor editAs="oneCell">
    <xdr:from>
      <xdr:col>2</xdr:col>
      <xdr:colOff>38160</xdr:colOff>
      <xdr:row>73</xdr:row>
      <xdr:rowOff>143280</xdr:rowOff>
    </xdr:from>
    <xdr:to>
      <xdr:col>2</xdr:col>
      <xdr:colOff>1208880</xdr:colOff>
      <xdr:row>73</xdr:row>
      <xdr:rowOff>1316520</xdr:rowOff>
    </xdr:to>
    <xdr:pic>
      <xdr:nvPicPr>
        <xdr:cNvPr id="1529" name="图片 17" descr="10_副本"/>
        <xdr:cNvPicPr/>
      </xdr:nvPicPr>
      <xdr:blipFill>
        <a:blip r:embed="rId70"/>
        <a:stretch/>
      </xdr:blipFill>
      <xdr:spPr>
        <a:xfrm>
          <a:off x="5605920" y="100079640"/>
          <a:ext cx="1170720" cy="1173240"/>
        </a:xfrm>
        <a:prstGeom prst="rect">
          <a:avLst/>
        </a:prstGeom>
        <a:noFill/>
        <a:ln w="9525">
          <a:noFill/>
        </a:ln>
      </xdr:spPr>
    </xdr:pic>
    <xdr:clientData/>
  </xdr:twoCellAnchor>
  <xdr:twoCellAnchor editAs="oneCell">
    <xdr:from>
      <xdr:col>1</xdr:col>
      <xdr:colOff>38160</xdr:colOff>
      <xdr:row>67</xdr:row>
      <xdr:rowOff>144360</xdr:rowOff>
    </xdr:from>
    <xdr:to>
      <xdr:col>1</xdr:col>
      <xdr:colOff>1208880</xdr:colOff>
      <xdr:row>67</xdr:row>
      <xdr:rowOff>1315080</xdr:rowOff>
    </xdr:to>
    <xdr:pic>
      <xdr:nvPicPr>
        <xdr:cNvPr id="1530" name="图片 18" descr="1"/>
        <xdr:cNvPicPr/>
      </xdr:nvPicPr>
      <xdr:blipFill>
        <a:blip r:embed="rId71"/>
        <a:stretch/>
      </xdr:blipFill>
      <xdr:spPr>
        <a:xfrm>
          <a:off x="4039920" y="91317600"/>
          <a:ext cx="1170720" cy="1170720"/>
        </a:xfrm>
        <a:prstGeom prst="rect">
          <a:avLst/>
        </a:prstGeom>
        <a:noFill/>
        <a:ln w="9525">
          <a:noFill/>
        </a:ln>
      </xdr:spPr>
    </xdr:pic>
    <xdr:clientData/>
  </xdr:twoCellAnchor>
  <xdr:twoCellAnchor editAs="oneCell">
    <xdr:from>
      <xdr:col>2</xdr:col>
      <xdr:colOff>38160</xdr:colOff>
      <xdr:row>67</xdr:row>
      <xdr:rowOff>145800</xdr:rowOff>
    </xdr:from>
    <xdr:to>
      <xdr:col>2</xdr:col>
      <xdr:colOff>1208880</xdr:colOff>
      <xdr:row>67</xdr:row>
      <xdr:rowOff>1313640</xdr:rowOff>
    </xdr:to>
    <xdr:pic>
      <xdr:nvPicPr>
        <xdr:cNvPr id="1531" name="图片 19" descr="2"/>
        <xdr:cNvPicPr/>
      </xdr:nvPicPr>
      <xdr:blipFill>
        <a:blip r:embed="rId72"/>
        <a:stretch/>
      </xdr:blipFill>
      <xdr:spPr>
        <a:xfrm>
          <a:off x="5605920" y="91319040"/>
          <a:ext cx="1170720" cy="1167840"/>
        </a:xfrm>
        <a:prstGeom prst="rect">
          <a:avLst/>
        </a:prstGeom>
        <a:noFill/>
        <a:ln w="9525">
          <a:noFill/>
        </a:ln>
      </xdr:spPr>
    </xdr:pic>
    <xdr:clientData/>
  </xdr:twoCellAnchor>
  <xdr:twoCellAnchor editAs="oneCell">
    <xdr:from>
      <xdr:col>1</xdr:col>
      <xdr:colOff>38160</xdr:colOff>
      <xdr:row>68</xdr:row>
      <xdr:rowOff>144000</xdr:rowOff>
    </xdr:from>
    <xdr:to>
      <xdr:col>1</xdr:col>
      <xdr:colOff>1208880</xdr:colOff>
      <xdr:row>68</xdr:row>
      <xdr:rowOff>1316160</xdr:rowOff>
    </xdr:to>
    <xdr:pic>
      <xdr:nvPicPr>
        <xdr:cNvPr id="1532" name="图片 20" descr="3"/>
        <xdr:cNvPicPr/>
      </xdr:nvPicPr>
      <xdr:blipFill>
        <a:blip r:embed="rId73"/>
        <a:stretch/>
      </xdr:blipFill>
      <xdr:spPr>
        <a:xfrm>
          <a:off x="4039920" y="92777760"/>
          <a:ext cx="1170720" cy="1172160"/>
        </a:xfrm>
        <a:prstGeom prst="rect">
          <a:avLst/>
        </a:prstGeom>
        <a:noFill/>
        <a:ln w="9525">
          <a:noFill/>
        </a:ln>
      </xdr:spPr>
    </xdr:pic>
    <xdr:clientData/>
  </xdr:twoCellAnchor>
  <xdr:twoCellAnchor editAs="oneCell">
    <xdr:from>
      <xdr:col>2</xdr:col>
      <xdr:colOff>38160</xdr:colOff>
      <xdr:row>68</xdr:row>
      <xdr:rowOff>144000</xdr:rowOff>
    </xdr:from>
    <xdr:to>
      <xdr:col>2</xdr:col>
      <xdr:colOff>1208880</xdr:colOff>
      <xdr:row>68</xdr:row>
      <xdr:rowOff>1316160</xdr:rowOff>
    </xdr:to>
    <xdr:pic>
      <xdr:nvPicPr>
        <xdr:cNvPr id="1533" name="图片 21" descr="4"/>
        <xdr:cNvPicPr/>
      </xdr:nvPicPr>
      <xdr:blipFill>
        <a:blip r:embed="rId74"/>
        <a:stretch/>
      </xdr:blipFill>
      <xdr:spPr>
        <a:xfrm>
          <a:off x="5605920" y="92777760"/>
          <a:ext cx="1170720" cy="1172160"/>
        </a:xfrm>
        <a:prstGeom prst="rect">
          <a:avLst/>
        </a:prstGeom>
        <a:noFill/>
        <a:ln w="9525">
          <a:noFill/>
        </a:ln>
      </xdr:spPr>
    </xdr:pic>
    <xdr:clientData/>
  </xdr:twoCellAnchor>
  <xdr:twoCellAnchor editAs="oneCell">
    <xdr:from>
      <xdr:col>1</xdr:col>
      <xdr:colOff>38160</xdr:colOff>
      <xdr:row>66</xdr:row>
      <xdr:rowOff>146160</xdr:rowOff>
    </xdr:from>
    <xdr:to>
      <xdr:col>1</xdr:col>
      <xdr:colOff>1208880</xdr:colOff>
      <xdr:row>66</xdr:row>
      <xdr:rowOff>1313640</xdr:rowOff>
    </xdr:to>
    <xdr:pic>
      <xdr:nvPicPr>
        <xdr:cNvPr id="1534" name="图片 22" descr="1"/>
        <xdr:cNvPicPr/>
      </xdr:nvPicPr>
      <xdr:blipFill>
        <a:blip r:embed="rId75"/>
        <a:stretch/>
      </xdr:blipFill>
      <xdr:spPr>
        <a:xfrm>
          <a:off x="4039920" y="89858880"/>
          <a:ext cx="1170720" cy="1167480"/>
        </a:xfrm>
        <a:prstGeom prst="rect">
          <a:avLst/>
        </a:prstGeom>
        <a:noFill/>
        <a:ln w="9525">
          <a:noFill/>
        </a:ln>
      </xdr:spPr>
    </xdr:pic>
    <xdr:clientData/>
  </xdr:twoCellAnchor>
  <xdr:twoCellAnchor editAs="oneCell">
    <xdr:from>
      <xdr:col>2</xdr:col>
      <xdr:colOff>38160</xdr:colOff>
      <xdr:row>66</xdr:row>
      <xdr:rowOff>144000</xdr:rowOff>
    </xdr:from>
    <xdr:to>
      <xdr:col>2</xdr:col>
      <xdr:colOff>1208880</xdr:colOff>
      <xdr:row>66</xdr:row>
      <xdr:rowOff>1315440</xdr:rowOff>
    </xdr:to>
    <xdr:pic>
      <xdr:nvPicPr>
        <xdr:cNvPr id="1535" name="图片 23" descr="2"/>
        <xdr:cNvPicPr/>
      </xdr:nvPicPr>
      <xdr:blipFill>
        <a:blip r:embed="rId76"/>
        <a:stretch/>
      </xdr:blipFill>
      <xdr:spPr>
        <a:xfrm>
          <a:off x="5605920" y="89856720"/>
          <a:ext cx="1170720" cy="1171440"/>
        </a:xfrm>
        <a:prstGeom prst="rect">
          <a:avLst/>
        </a:prstGeom>
        <a:noFill/>
        <a:ln w="9525">
          <a:noFill/>
        </a:ln>
      </xdr:spPr>
    </xdr:pic>
    <xdr:clientData/>
  </xdr:twoCellAnchor>
  <xdr:twoCellAnchor editAs="oneCell">
    <xdr:from>
      <xdr:col>1</xdr:col>
      <xdr:colOff>38160</xdr:colOff>
      <xdr:row>69</xdr:row>
      <xdr:rowOff>143640</xdr:rowOff>
    </xdr:from>
    <xdr:to>
      <xdr:col>1</xdr:col>
      <xdr:colOff>1208880</xdr:colOff>
      <xdr:row>69</xdr:row>
      <xdr:rowOff>1316160</xdr:rowOff>
    </xdr:to>
    <xdr:pic>
      <xdr:nvPicPr>
        <xdr:cNvPr id="1536" name="图片 24" descr="3"/>
        <xdr:cNvPicPr/>
      </xdr:nvPicPr>
      <xdr:blipFill>
        <a:blip r:embed="rId77"/>
        <a:stretch/>
      </xdr:blipFill>
      <xdr:spPr>
        <a:xfrm>
          <a:off x="4039920" y="94237920"/>
          <a:ext cx="1170720" cy="1172520"/>
        </a:xfrm>
        <a:prstGeom prst="rect">
          <a:avLst/>
        </a:prstGeom>
        <a:noFill/>
        <a:ln w="9525">
          <a:noFill/>
        </a:ln>
      </xdr:spPr>
    </xdr:pic>
    <xdr:clientData/>
  </xdr:twoCellAnchor>
  <xdr:twoCellAnchor editAs="oneCell">
    <xdr:from>
      <xdr:col>2</xdr:col>
      <xdr:colOff>38160</xdr:colOff>
      <xdr:row>69</xdr:row>
      <xdr:rowOff>143280</xdr:rowOff>
    </xdr:from>
    <xdr:to>
      <xdr:col>2</xdr:col>
      <xdr:colOff>1208880</xdr:colOff>
      <xdr:row>69</xdr:row>
      <xdr:rowOff>1316520</xdr:rowOff>
    </xdr:to>
    <xdr:pic>
      <xdr:nvPicPr>
        <xdr:cNvPr id="1537" name="图片 25" descr="4"/>
        <xdr:cNvPicPr/>
      </xdr:nvPicPr>
      <xdr:blipFill>
        <a:blip r:embed="rId78"/>
        <a:stretch/>
      </xdr:blipFill>
      <xdr:spPr>
        <a:xfrm>
          <a:off x="5605920" y="94237560"/>
          <a:ext cx="1170720" cy="1173240"/>
        </a:xfrm>
        <a:prstGeom prst="rect">
          <a:avLst/>
        </a:prstGeom>
        <a:noFill/>
        <a:ln w="9525">
          <a:noFill/>
        </a:ln>
      </xdr:spPr>
    </xdr:pic>
    <xdr:clientData/>
  </xdr:twoCellAnchor>
  <xdr:twoCellAnchor editAs="oneCell">
    <xdr:from>
      <xdr:col>1</xdr:col>
      <xdr:colOff>38160</xdr:colOff>
      <xdr:row>43</xdr:row>
      <xdr:rowOff>143280</xdr:rowOff>
    </xdr:from>
    <xdr:to>
      <xdr:col>1</xdr:col>
      <xdr:colOff>1208880</xdr:colOff>
      <xdr:row>43</xdr:row>
      <xdr:rowOff>1316520</xdr:rowOff>
    </xdr:to>
    <xdr:pic>
      <xdr:nvPicPr>
        <xdr:cNvPr id="1538" name="图片 26" descr="1"/>
        <xdr:cNvPicPr/>
      </xdr:nvPicPr>
      <xdr:blipFill>
        <a:blip r:embed="rId79"/>
        <a:stretch/>
      </xdr:blipFill>
      <xdr:spPr>
        <a:xfrm>
          <a:off x="4039920" y="57382200"/>
          <a:ext cx="1170720" cy="1173240"/>
        </a:xfrm>
        <a:prstGeom prst="rect">
          <a:avLst/>
        </a:prstGeom>
        <a:noFill/>
        <a:ln w="9525">
          <a:noFill/>
        </a:ln>
      </xdr:spPr>
    </xdr:pic>
    <xdr:clientData/>
  </xdr:twoCellAnchor>
  <xdr:twoCellAnchor editAs="oneCell">
    <xdr:from>
      <xdr:col>2</xdr:col>
      <xdr:colOff>38160</xdr:colOff>
      <xdr:row>43</xdr:row>
      <xdr:rowOff>143280</xdr:rowOff>
    </xdr:from>
    <xdr:to>
      <xdr:col>2</xdr:col>
      <xdr:colOff>1208880</xdr:colOff>
      <xdr:row>43</xdr:row>
      <xdr:rowOff>1316520</xdr:rowOff>
    </xdr:to>
    <xdr:pic>
      <xdr:nvPicPr>
        <xdr:cNvPr id="1539" name="图片 27" descr="2"/>
        <xdr:cNvPicPr/>
      </xdr:nvPicPr>
      <xdr:blipFill>
        <a:blip r:embed="rId80"/>
        <a:stretch/>
      </xdr:blipFill>
      <xdr:spPr>
        <a:xfrm>
          <a:off x="5605920" y="57382200"/>
          <a:ext cx="1170720" cy="1173240"/>
        </a:xfrm>
        <a:prstGeom prst="rect">
          <a:avLst/>
        </a:prstGeom>
        <a:noFill/>
        <a:ln w="9525">
          <a:noFill/>
        </a:ln>
      </xdr:spPr>
    </xdr:pic>
    <xdr:clientData/>
  </xdr:twoCellAnchor>
  <xdr:twoCellAnchor editAs="oneCell">
    <xdr:from>
      <xdr:col>2</xdr:col>
      <xdr:colOff>38160</xdr:colOff>
      <xdr:row>44</xdr:row>
      <xdr:rowOff>143280</xdr:rowOff>
    </xdr:from>
    <xdr:to>
      <xdr:col>2</xdr:col>
      <xdr:colOff>1208880</xdr:colOff>
      <xdr:row>44</xdr:row>
      <xdr:rowOff>1316520</xdr:rowOff>
    </xdr:to>
    <xdr:pic>
      <xdr:nvPicPr>
        <xdr:cNvPr id="1540" name="图片 28" descr="3"/>
        <xdr:cNvPicPr/>
      </xdr:nvPicPr>
      <xdr:blipFill>
        <a:blip r:embed="rId81"/>
        <a:stretch/>
      </xdr:blipFill>
      <xdr:spPr>
        <a:xfrm>
          <a:off x="5605920" y="58842720"/>
          <a:ext cx="1170720" cy="1173240"/>
        </a:xfrm>
        <a:prstGeom prst="rect">
          <a:avLst/>
        </a:prstGeom>
        <a:noFill/>
        <a:ln w="9525">
          <a:noFill/>
        </a:ln>
      </xdr:spPr>
    </xdr:pic>
    <xdr:clientData/>
  </xdr:twoCellAnchor>
  <xdr:twoCellAnchor editAs="oneCell">
    <xdr:from>
      <xdr:col>1</xdr:col>
      <xdr:colOff>38160</xdr:colOff>
      <xdr:row>44</xdr:row>
      <xdr:rowOff>143280</xdr:rowOff>
    </xdr:from>
    <xdr:to>
      <xdr:col>1</xdr:col>
      <xdr:colOff>1208880</xdr:colOff>
      <xdr:row>44</xdr:row>
      <xdr:rowOff>1316520</xdr:rowOff>
    </xdr:to>
    <xdr:pic>
      <xdr:nvPicPr>
        <xdr:cNvPr id="1541" name="图片 83" descr="1"/>
        <xdr:cNvPicPr/>
      </xdr:nvPicPr>
      <xdr:blipFill>
        <a:blip r:embed="rId82"/>
        <a:stretch/>
      </xdr:blipFill>
      <xdr:spPr>
        <a:xfrm>
          <a:off x="4039920" y="58842720"/>
          <a:ext cx="1170720" cy="1173240"/>
        </a:xfrm>
        <a:prstGeom prst="rect">
          <a:avLst/>
        </a:prstGeom>
        <a:noFill/>
        <a:ln w="9525">
          <a:noFill/>
        </a:ln>
      </xdr:spPr>
    </xdr:pic>
    <xdr:clientData/>
  </xdr:twoCellAnchor>
  <xdr:twoCellAnchor editAs="oneCell">
    <xdr:from>
      <xdr:col>1</xdr:col>
      <xdr:colOff>38160</xdr:colOff>
      <xdr:row>47</xdr:row>
      <xdr:rowOff>143280</xdr:rowOff>
    </xdr:from>
    <xdr:to>
      <xdr:col>1</xdr:col>
      <xdr:colOff>1208880</xdr:colOff>
      <xdr:row>47</xdr:row>
      <xdr:rowOff>1316520</xdr:rowOff>
    </xdr:to>
    <xdr:pic>
      <xdr:nvPicPr>
        <xdr:cNvPr id="1542" name="图片 84" descr="1"/>
        <xdr:cNvPicPr/>
      </xdr:nvPicPr>
      <xdr:blipFill>
        <a:blip r:embed="rId83"/>
        <a:stretch/>
      </xdr:blipFill>
      <xdr:spPr>
        <a:xfrm>
          <a:off x="4039920" y="63224280"/>
          <a:ext cx="1170720" cy="1173240"/>
        </a:xfrm>
        <a:prstGeom prst="rect">
          <a:avLst/>
        </a:prstGeom>
        <a:noFill/>
        <a:ln w="9525">
          <a:noFill/>
        </a:ln>
      </xdr:spPr>
    </xdr:pic>
    <xdr:clientData/>
  </xdr:twoCellAnchor>
  <xdr:twoCellAnchor editAs="oneCell">
    <xdr:from>
      <xdr:col>2</xdr:col>
      <xdr:colOff>38160</xdr:colOff>
      <xdr:row>47</xdr:row>
      <xdr:rowOff>143280</xdr:rowOff>
    </xdr:from>
    <xdr:to>
      <xdr:col>2</xdr:col>
      <xdr:colOff>1208880</xdr:colOff>
      <xdr:row>47</xdr:row>
      <xdr:rowOff>1316520</xdr:rowOff>
    </xdr:to>
    <xdr:pic>
      <xdr:nvPicPr>
        <xdr:cNvPr id="1543" name="图片 85" descr="2"/>
        <xdr:cNvPicPr/>
      </xdr:nvPicPr>
      <xdr:blipFill>
        <a:blip r:embed="rId84"/>
        <a:stretch/>
      </xdr:blipFill>
      <xdr:spPr>
        <a:xfrm>
          <a:off x="5605920" y="63224280"/>
          <a:ext cx="1170720" cy="1173240"/>
        </a:xfrm>
        <a:prstGeom prst="rect">
          <a:avLst/>
        </a:prstGeom>
        <a:noFill/>
        <a:ln w="9525">
          <a:noFill/>
        </a:ln>
      </xdr:spPr>
    </xdr:pic>
    <xdr:clientData/>
  </xdr:twoCellAnchor>
  <xdr:twoCellAnchor editAs="oneCell">
    <xdr:from>
      <xdr:col>2</xdr:col>
      <xdr:colOff>38160</xdr:colOff>
      <xdr:row>48</xdr:row>
      <xdr:rowOff>143280</xdr:rowOff>
    </xdr:from>
    <xdr:to>
      <xdr:col>2</xdr:col>
      <xdr:colOff>1208880</xdr:colOff>
      <xdr:row>48</xdr:row>
      <xdr:rowOff>1316520</xdr:rowOff>
    </xdr:to>
    <xdr:pic>
      <xdr:nvPicPr>
        <xdr:cNvPr id="1544" name="图片 86" descr="3"/>
        <xdr:cNvPicPr/>
      </xdr:nvPicPr>
      <xdr:blipFill>
        <a:blip r:embed="rId85"/>
        <a:stretch/>
      </xdr:blipFill>
      <xdr:spPr>
        <a:xfrm>
          <a:off x="5605920" y="64684800"/>
          <a:ext cx="1170720" cy="1173240"/>
        </a:xfrm>
        <a:prstGeom prst="rect">
          <a:avLst/>
        </a:prstGeom>
        <a:noFill/>
        <a:ln w="9525">
          <a:noFill/>
        </a:ln>
      </xdr:spPr>
    </xdr:pic>
    <xdr:clientData/>
  </xdr:twoCellAnchor>
  <xdr:twoCellAnchor editAs="oneCell">
    <xdr:from>
      <xdr:col>1</xdr:col>
      <xdr:colOff>38160</xdr:colOff>
      <xdr:row>48</xdr:row>
      <xdr:rowOff>143280</xdr:rowOff>
    </xdr:from>
    <xdr:to>
      <xdr:col>1</xdr:col>
      <xdr:colOff>1208880</xdr:colOff>
      <xdr:row>48</xdr:row>
      <xdr:rowOff>1316520</xdr:rowOff>
    </xdr:to>
    <xdr:pic>
      <xdr:nvPicPr>
        <xdr:cNvPr id="1545" name="图片 87" descr="1"/>
        <xdr:cNvPicPr/>
      </xdr:nvPicPr>
      <xdr:blipFill>
        <a:blip r:embed="rId86"/>
        <a:stretch/>
      </xdr:blipFill>
      <xdr:spPr>
        <a:xfrm>
          <a:off x="4039920" y="64684800"/>
          <a:ext cx="1170720" cy="1173240"/>
        </a:xfrm>
        <a:prstGeom prst="rect">
          <a:avLst/>
        </a:prstGeom>
        <a:noFill/>
        <a:ln w="9525">
          <a:noFill/>
        </a:ln>
      </xdr:spPr>
    </xdr:pic>
    <xdr:clientData/>
  </xdr:twoCellAnchor>
  <xdr:twoCellAnchor editAs="oneCell">
    <xdr:from>
      <xdr:col>1</xdr:col>
      <xdr:colOff>38160</xdr:colOff>
      <xdr:row>51</xdr:row>
      <xdr:rowOff>143280</xdr:rowOff>
    </xdr:from>
    <xdr:to>
      <xdr:col>1</xdr:col>
      <xdr:colOff>1208880</xdr:colOff>
      <xdr:row>51</xdr:row>
      <xdr:rowOff>1316520</xdr:rowOff>
    </xdr:to>
    <xdr:pic>
      <xdr:nvPicPr>
        <xdr:cNvPr id="1546" name="图片 88" descr="1"/>
        <xdr:cNvPicPr/>
      </xdr:nvPicPr>
      <xdr:blipFill>
        <a:blip r:embed="rId87"/>
        <a:stretch/>
      </xdr:blipFill>
      <xdr:spPr>
        <a:xfrm>
          <a:off x="4039920" y="69066360"/>
          <a:ext cx="1170720" cy="1173240"/>
        </a:xfrm>
        <a:prstGeom prst="rect">
          <a:avLst/>
        </a:prstGeom>
        <a:noFill/>
        <a:ln w="9525">
          <a:noFill/>
        </a:ln>
      </xdr:spPr>
    </xdr:pic>
    <xdr:clientData/>
  </xdr:twoCellAnchor>
  <xdr:twoCellAnchor editAs="oneCell">
    <xdr:from>
      <xdr:col>2</xdr:col>
      <xdr:colOff>38160</xdr:colOff>
      <xdr:row>51</xdr:row>
      <xdr:rowOff>143280</xdr:rowOff>
    </xdr:from>
    <xdr:to>
      <xdr:col>2</xdr:col>
      <xdr:colOff>1208880</xdr:colOff>
      <xdr:row>51</xdr:row>
      <xdr:rowOff>1316520</xdr:rowOff>
    </xdr:to>
    <xdr:pic>
      <xdr:nvPicPr>
        <xdr:cNvPr id="1547" name="图片 89" descr="2"/>
        <xdr:cNvPicPr/>
      </xdr:nvPicPr>
      <xdr:blipFill>
        <a:blip r:embed="rId88"/>
        <a:stretch/>
      </xdr:blipFill>
      <xdr:spPr>
        <a:xfrm>
          <a:off x="5605920" y="69066360"/>
          <a:ext cx="1170720" cy="1173240"/>
        </a:xfrm>
        <a:prstGeom prst="rect">
          <a:avLst/>
        </a:prstGeom>
        <a:noFill/>
        <a:ln w="9525">
          <a:noFill/>
        </a:ln>
      </xdr:spPr>
    </xdr:pic>
    <xdr:clientData/>
  </xdr:twoCellAnchor>
  <xdr:twoCellAnchor editAs="oneCell">
    <xdr:from>
      <xdr:col>2</xdr:col>
      <xdr:colOff>38160</xdr:colOff>
      <xdr:row>52</xdr:row>
      <xdr:rowOff>143640</xdr:rowOff>
    </xdr:from>
    <xdr:to>
      <xdr:col>2</xdr:col>
      <xdr:colOff>1208880</xdr:colOff>
      <xdr:row>52</xdr:row>
      <xdr:rowOff>1316160</xdr:rowOff>
    </xdr:to>
    <xdr:pic>
      <xdr:nvPicPr>
        <xdr:cNvPr id="1548" name="图片 90" descr="3"/>
        <xdr:cNvPicPr/>
      </xdr:nvPicPr>
      <xdr:blipFill>
        <a:blip r:embed="rId89"/>
        <a:stretch/>
      </xdr:blipFill>
      <xdr:spPr>
        <a:xfrm>
          <a:off x="5605920" y="70526880"/>
          <a:ext cx="1170720" cy="1172520"/>
        </a:xfrm>
        <a:prstGeom prst="rect">
          <a:avLst/>
        </a:prstGeom>
        <a:noFill/>
        <a:ln w="9525">
          <a:noFill/>
        </a:ln>
      </xdr:spPr>
    </xdr:pic>
    <xdr:clientData/>
  </xdr:twoCellAnchor>
  <xdr:twoCellAnchor editAs="oneCell">
    <xdr:from>
      <xdr:col>1</xdr:col>
      <xdr:colOff>38160</xdr:colOff>
      <xdr:row>52</xdr:row>
      <xdr:rowOff>143640</xdr:rowOff>
    </xdr:from>
    <xdr:to>
      <xdr:col>1</xdr:col>
      <xdr:colOff>1208880</xdr:colOff>
      <xdr:row>52</xdr:row>
      <xdr:rowOff>1316160</xdr:rowOff>
    </xdr:to>
    <xdr:pic>
      <xdr:nvPicPr>
        <xdr:cNvPr id="1549" name="图片 91" descr="1"/>
        <xdr:cNvPicPr/>
      </xdr:nvPicPr>
      <xdr:blipFill>
        <a:blip r:embed="rId90"/>
        <a:stretch/>
      </xdr:blipFill>
      <xdr:spPr>
        <a:xfrm>
          <a:off x="4039920" y="70526880"/>
          <a:ext cx="1170720" cy="1172520"/>
        </a:xfrm>
        <a:prstGeom prst="rect">
          <a:avLst/>
        </a:prstGeom>
        <a:noFill/>
        <a:ln w="9525">
          <a:noFill/>
        </a:ln>
      </xdr:spPr>
    </xdr:pic>
    <xdr:clientData/>
  </xdr:twoCellAnchor>
  <xdr:twoCellAnchor editAs="oneCell">
    <xdr:from>
      <xdr:col>1</xdr:col>
      <xdr:colOff>38160</xdr:colOff>
      <xdr:row>49</xdr:row>
      <xdr:rowOff>143280</xdr:rowOff>
    </xdr:from>
    <xdr:to>
      <xdr:col>1</xdr:col>
      <xdr:colOff>1208880</xdr:colOff>
      <xdr:row>49</xdr:row>
      <xdr:rowOff>1316520</xdr:rowOff>
    </xdr:to>
    <xdr:pic>
      <xdr:nvPicPr>
        <xdr:cNvPr id="1550" name="图片 92" descr="1"/>
        <xdr:cNvPicPr/>
      </xdr:nvPicPr>
      <xdr:blipFill>
        <a:blip r:embed="rId91"/>
        <a:stretch/>
      </xdr:blipFill>
      <xdr:spPr>
        <a:xfrm>
          <a:off x="4039920" y="66145320"/>
          <a:ext cx="1170720" cy="1173240"/>
        </a:xfrm>
        <a:prstGeom prst="rect">
          <a:avLst/>
        </a:prstGeom>
        <a:noFill/>
        <a:ln w="9525">
          <a:noFill/>
        </a:ln>
      </xdr:spPr>
    </xdr:pic>
    <xdr:clientData/>
  </xdr:twoCellAnchor>
  <xdr:twoCellAnchor editAs="oneCell">
    <xdr:from>
      <xdr:col>2</xdr:col>
      <xdr:colOff>38160</xdr:colOff>
      <xdr:row>49</xdr:row>
      <xdr:rowOff>143280</xdr:rowOff>
    </xdr:from>
    <xdr:to>
      <xdr:col>2</xdr:col>
      <xdr:colOff>1208880</xdr:colOff>
      <xdr:row>49</xdr:row>
      <xdr:rowOff>1316520</xdr:rowOff>
    </xdr:to>
    <xdr:pic>
      <xdr:nvPicPr>
        <xdr:cNvPr id="1551" name="图片 93" descr="2"/>
        <xdr:cNvPicPr/>
      </xdr:nvPicPr>
      <xdr:blipFill>
        <a:blip r:embed="rId92"/>
        <a:stretch/>
      </xdr:blipFill>
      <xdr:spPr>
        <a:xfrm>
          <a:off x="5605920" y="66145320"/>
          <a:ext cx="1170720" cy="1173240"/>
        </a:xfrm>
        <a:prstGeom prst="rect">
          <a:avLst/>
        </a:prstGeom>
        <a:noFill/>
        <a:ln w="9525">
          <a:noFill/>
        </a:ln>
      </xdr:spPr>
    </xdr:pic>
    <xdr:clientData/>
  </xdr:twoCellAnchor>
  <xdr:twoCellAnchor editAs="oneCell">
    <xdr:from>
      <xdr:col>2</xdr:col>
      <xdr:colOff>38160</xdr:colOff>
      <xdr:row>50</xdr:row>
      <xdr:rowOff>143280</xdr:rowOff>
    </xdr:from>
    <xdr:to>
      <xdr:col>2</xdr:col>
      <xdr:colOff>1208880</xdr:colOff>
      <xdr:row>50</xdr:row>
      <xdr:rowOff>1316520</xdr:rowOff>
    </xdr:to>
    <xdr:pic>
      <xdr:nvPicPr>
        <xdr:cNvPr id="1552" name="图片 94" descr="3"/>
        <xdr:cNvPicPr/>
      </xdr:nvPicPr>
      <xdr:blipFill>
        <a:blip r:embed="rId93"/>
        <a:stretch/>
      </xdr:blipFill>
      <xdr:spPr>
        <a:xfrm>
          <a:off x="5605920" y="67605840"/>
          <a:ext cx="1170720" cy="1173240"/>
        </a:xfrm>
        <a:prstGeom prst="rect">
          <a:avLst/>
        </a:prstGeom>
        <a:noFill/>
        <a:ln w="9525">
          <a:noFill/>
        </a:ln>
      </xdr:spPr>
    </xdr:pic>
    <xdr:clientData/>
  </xdr:twoCellAnchor>
  <xdr:twoCellAnchor editAs="oneCell">
    <xdr:from>
      <xdr:col>1</xdr:col>
      <xdr:colOff>38160</xdr:colOff>
      <xdr:row>50</xdr:row>
      <xdr:rowOff>143280</xdr:rowOff>
    </xdr:from>
    <xdr:to>
      <xdr:col>1</xdr:col>
      <xdr:colOff>1208880</xdr:colOff>
      <xdr:row>50</xdr:row>
      <xdr:rowOff>1316520</xdr:rowOff>
    </xdr:to>
    <xdr:pic>
      <xdr:nvPicPr>
        <xdr:cNvPr id="1553" name="图片 95" descr="1"/>
        <xdr:cNvPicPr/>
      </xdr:nvPicPr>
      <xdr:blipFill>
        <a:blip r:embed="rId94"/>
        <a:stretch/>
      </xdr:blipFill>
      <xdr:spPr>
        <a:xfrm>
          <a:off x="4039920" y="67605840"/>
          <a:ext cx="1170720" cy="1173240"/>
        </a:xfrm>
        <a:prstGeom prst="rect">
          <a:avLst/>
        </a:prstGeom>
        <a:noFill/>
        <a:ln w="9525">
          <a:noFill/>
        </a:ln>
      </xdr:spPr>
    </xdr:pic>
    <xdr:clientData/>
  </xdr:twoCellAnchor>
  <xdr:twoCellAnchor editAs="oneCell">
    <xdr:from>
      <xdr:col>1</xdr:col>
      <xdr:colOff>38160</xdr:colOff>
      <xdr:row>45</xdr:row>
      <xdr:rowOff>143280</xdr:rowOff>
    </xdr:from>
    <xdr:to>
      <xdr:col>1</xdr:col>
      <xdr:colOff>1208880</xdr:colOff>
      <xdr:row>45</xdr:row>
      <xdr:rowOff>1316520</xdr:rowOff>
    </xdr:to>
    <xdr:pic>
      <xdr:nvPicPr>
        <xdr:cNvPr id="1554" name="图片 96" descr="1"/>
        <xdr:cNvPicPr/>
      </xdr:nvPicPr>
      <xdr:blipFill>
        <a:blip r:embed="rId95"/>
        <a:stretch/>
      </xdr:blipFill>
      <xdr:spPr>
        <a:xfrm>
          <a:off x="4039920" y="60303240"/>
          <a:ext cx="1170720" cy="1173240"/>
        </a:xfrm>
        <a:prstGeom prst="rect">
          <a:avLst/>
        </a:prstGeom>
        <a:noFill/>
        <a:ln w="9525">
          <a:noFill/>
        </a:ln>
      </xdr:spPr>
    </xdr:pic>
    <xdr:clientData/>
  </xdr:twoCellAnchor>
  <xdr:twoCellAnchor editAs="oneCell">
    <xdr:from>
      <xdr:col>2</xdr:col>
      <xdr:colOff>38160</xdr:colOff>
      <xdr:row>45</xdr:row>
      <xdr:rowOff>143280</xdr:rowOff>
    </xdr:from>
    <xdr:to>
      <xdr:col>2</xdr:col>
      <xdr:colOff>1208880</xdr:colOff>
      <xdr:row>45</xdr:row>
      <xdr:rowOff>1316520</xdr:rowOff>
    </xdr:to>
    <xdr:pic>
      <xdr:nvPicPr>
        <xdr:cNvPr id="1555" name="图片 97" descr="2"/>
        <xdr:cNvPicPr/>
      </xdr:nvPicPr>
      <xdr:blipFill>
        <a:blip r:embed="rId96"/>
        <a:stretch/>
      </xdr:blipFill>
      <xdr:spPr>
        <a:xfrm>
          <a:off x="5605920" y="60303240"/>
          <a:ext cx="1170720" cy="1173240"/>
        </a:xfrm>
        <a:prstGeom prst="rect">
          <a:avLst/>
        </a:prstGeom>
        <a:noFill/>
        <a:ln w="9525">
          <a:noFill/>
        </a:ln>
      </xdr:spPr>
    </xdr:pic>
    <xdr:clientData/>
  </xdr:twoCellAnchor>
  <xdr:twoCellAnchor editAs="oneCell">
    <xdr:from>
      <xdr:col>2</xdr:col>
      <xdr:colOff>38160</xdr:colOff>
      <xdr:row>46</xdr:row>
      <xdr:rowOff>143280</xdr:rowOff>
    </xdr:from>
    <xdr:to>
      <xdr:col>2</xdr:col>
      <xdr:colOff>1208880</xdr:colOff>
      <xdr:row>46</xdr:row>
      <xdr:rowOff>1316520</xdr:rowOff>
    </xdr:to>
    <xdr:pic>
      <xdr:nvPicPr>
        <xdr:cNvPr id="1556" name="图片 98" descr="3"/>
        <xdr:cNvPicPr/>
      </xdr:nvPicPr>
      <xdr:blipFill>
        <a:blip r:embed="rId97"/>
        <a:stretch/>
      </xdr:blipFill>
      <xdr:spPr>
        <a:xfrm>
          <a:off x="5605920" y="61763760"/>
          <a:ext cx="1170720" cy="1173240"/>
        </a:xfrm>
        <a:prstGeom prst="rect">
          <a:avLst/>
        </a:prstGeom>
        <a:noFill/>
        <a:ln w="9525">
          <a:noFill/>
        </a:ln>
      </xdr:spPr>
    </xdr:pic>
    <xdr:clientData/>
  </xdr:twoCellAnchor>
  <xdr:twoCellAnchor editAs="oneCell">
    <xdr:from>
      <xdr:col>1</xdr:col>
      <xdr:colOff>38160</xdr:colOff>
      <xdr:row>46</xdr:row>
      <xdr:rowOff>143280</xdr:rowOff>
    </xdr:from>
    <xdr:to>
      <xdr:col>1</xdr:col>
      <xdr:colOff>1208880</xdr:colOff>
      <xdr:row>46</xdr:row>
      <xdr:rowOff>1316520</xdr:rowOff>
    </xdr:to>
    <xdr:pic>
      <xdr:nvPicPr>
        <xdr:cNvPr id="1557" name="图片 99" descr="1"/>
        <xdr:cNvPicPr/>
      </xdr:nvPicPr>
      <xdr:blipFill>
        <a:blip r:embed="rId98"/>
        <a:stretch/>
      </xdr:blipFill>
      <xdr:spPr>
        <a:xfrm>
          <a:off x="4039920" y="61763760"/>
          <a:ext cx="1170720" cy="1173240"/>
        </a:xfrm>
        <a:prstGeom prst="rect">
          <a:avLst/>
        </a:prstGeom>
        <a:noFill/>
        <a:ln w="9525">
          <a:noFill/>
        </a:ln>
      </xdr:spPr>
    </xdr:pic>
    <xdr:clientData/>
  </xdr:twoCellAnchor>
  <xdr:twoCellAnchor editAs="oneCell">
    <xdr:from>
      <xdr:col>1</xdr:col>
      <xdr:colOff>38160</xdr:colOff>
      <xdr:row>41</xdr:row>
      <xdr:rowOff>140760</xdr:rowOff>
    </xdr:from>
    <xdr:to>
      <xdr:col>1</xdr:col>
      <xdr:colOff>1208880</xdr:colOff>
      <xdr:row>41</xdr:row>
      <xdr:rowOff>1319040</xdr:rowOff>
    </xdr:to>
    <xdr:pic>
      <xdr:nvPicPr>
        <xdr:cNvPr id="1558" name="图片 100" descr="1"/>
        <xdr:cNvPicPr/>
      </xdr:nvPicPr>
      <xdr:blipFill>
        <a:blip r:embed="rId99"/>
        <a:stretch/>
      </xdr:blipFill>
      <xdr:spPr>
        <a:xfrm>
          <a:off x="4039920" y="54458640"/>
          <a:ext cx="1170720" cy="1178280"/>
        </a:xfrm>
        <a:prstGeom prst="rect">
          <a:avLst/>
        </a:prstGeom>
        <a:noFill/>
        <a:ln w="9525">
          <a:noFill/>
        </a:ln>
      </xdr:spPr>
    </xdr:pic>
    <xdr:clientData/>
  </xdr:twoCellAnchor>
  <xdr:twoCellAnchor editAs="oneCell">
    <xdr:from>
      <xdr:col>2</xdr:col>
      <xdr:colOff>38160</xdr:colOff>
      <xdr:row>41</xdr:row>
      <xdr:rowOff>140760</xdr:rowOff>
    </xdr:from>
    <xdr:to>
      <xdr:col>2</xdr:col>
      <xdr:colOff>1208880</xdr:colOff>
      <xdr:row>41</xdr:row>
      <xdr:rowOff>1319040</xdr:rowOff>
    </xdr:to>
    <xdr:pic>
      <xdr:nvPicPr>
        <xdr:cNvPr id="1559" name="图片 101" descr="2"/>
        <xdr:cNvPicPr/>
      </xdr:nvPicPr>
      <xdr:blipFill>
        <a:blip r:embed="rId100"/>
        <a:stretch/>
      </xdr:blipFill>
      <xdr:spPr>
        <a:xfrm>
          <a:off x="5605920" y="54458640"/>
          <a:ext cx="1170720" cy="1178280"/>
        </a:xfrm>
        <a:prstGeom prst="rect">
          <a:avLst/>
        </a:prstGeom>
        <a:noFill/>
        <a:ln w="9525">
          <a:noFill/>
        </a:ln>
      </xdr:spPr>
    </xdr:pic>
    <xdr:clientData/>
  </xdr:twoCellAnchor>
  <xdr:twoCellAnchor editAs="oneCell">
    <xdr:from>
      <xdr:col>2</xdr:col>
      <xdr:colOff>38160</xdr:colOff>
      <xdr:row>42</xdr:row>
      <xdr:rowOff>143640</xdr:rowOff>
    </xdr:from>
    <xdr:to>
      <xdr:col>2</xdr:col>
      <xdr:colOff>1208880</xdr:colOff>
      <xdr:row>42</xdr:row>
      <xdr:rowOff>1316160</xdr:rowOff>
    </xdr:to>
    <xdr:pic>
      <xdr:nvPicPr>
        <xdr:cNvPr id="1560" name="图片 102" descr="3"/>
        <xdr:cNvPicPr/>
      </xdr:nvPicPr>
      <xdr:blipFill>
        <a:blip r:embed="rId101"/>
        <a:stretch/>
      </xdr:blipFill>
      <xdr:spPr>
        <a:xfrm>
          <a:off x="5605920" y="55922040"/>
          <a:ext cx="1170720" cy="1172520"/>
        </a:xfrm>
        <a:prstGeom prst="rect">
          <a:avLst/>
        </a:prstGeom>
        <a:noFill/>
        <a:ln w="9525">
          <a:noFill/>
        </a:ln>
      </xdr:spPr>
    </xdr:pic>
    <xdr:clientData/>
  </xdr:twoCellAnchor>
  <xdr:twoCellAnchor editAs="oneCell">
    <xdr:from>
      <xdr:col>1</xdr:col>
      <xdr:colOff>38160</xdr:colOff>
      <xdr:row>42</xdr:row>
      <xdr:rowOff>140760</xdr:rowOff>
    </xdr:from>
    <xdr:to>
      <xdr:col>1</xdr:col>
      <xdr:colOff>1208880</xdr:colOff>
      <xdr:row>42</xdr:row>
      <xdr:rowOff>1319040</xdr:rowOff>
    </xdr:to>
    <xdr:pic>
      <xdr:nvPicPr>
        <xdr:cNvPr id="1561" name="图片 103" descr="1"/>
        <xdr:cNvPicPr/>
      </xdr:nvPicPr>
      <xdr:blipFill>
        <a:blip r:embed="rId102"/>
        <a:stretch/>
      </xdr:blipFill>
      <xdr:spPr>
        <a:xfrm>
          <a:off x="4039920" y="55919160"/>
          <a:ext cx="1170720" cy="1178280"/>
        </a:xfrm>
        <a:prstGeom prst="rect">
          <a:avLst/>
        </a:prstGeom>
        <a:noFill/>
        <a:ln w="9525">
          <a:noFill/>
        </a:ln>
      </xdr:spPr>
    </xdr:pic>
    <xdr:clientData/>
  </xdr:twoCellAnchor>
  <xdr:twoCellAnchor editAs="oneCell">
    <xdr:from>
      <xdr:col>2</xdr:col>
      <xdr:colOff>38160</xdr:colOff>
      <xdr:row>23</xdr:row>
      <xdr:rowOff>143280</xdr:rowOff>
    </xdr:from>
    <xdr:to>
      <xdr:col>2</xdr:col>
      <xdr:colOff>1208880</xdr:colOff>
      <xdr:row>23</xdr:row>
      <xdr:rowOff>1316520</xdr:rowOff>
    </xdr:to>
    <xdr:pic>
      <xdr:nvPicPr>
        <xdr:cNvPr id="1562" name="图片 2" descr="10"/>
        <xdr:cNvPicPr/>
      </xdr:nvPicPr>
      <xdr:blipFill>
        <a:blip r:embed="rId103"/>
        <a:stretch/>
      </xdr:blipFill>
      <xdr:spPr>
        <a:xfrm>
          <a:off x="5605920" y="29289960"/>
          <a:ext cx="1170720" cy="1173240"/>
        </a:xfrm>
        <a:prstGeom prst="rect">
          <a:avLst/>
        </a:prstGeom>
        <a:noFill/>
        <a:ln w="9525">
          <a:noFill/>
        </a:ln>
      </xdr:spPr>
    </xdr:pic>
    <xdr:clientData/>
  </xdr:twoCellAnchor>
  <xdr:twoCellAnchor editAs="oneCell">
    <xdr:from>
      <xdr:col>2</xdr:col>
      <xdr:colOff>38160</xdr:colOff>
      <xdr:row>25</xdr:row>
      <xdr:rowOff>143280</xdr:rowOff>
    </xdr:from>
    <xdr:to>
      <xdr:col>2</xdr:col>
      <xdr:colOff>1208880</xdr:colOff>
      <xdr:row>25</xdr:row>
      <xdr:rowOff>1316520</xdr:rowOff>
    </xdr:to>
    <xdr:pic>
      <xdr:nvPicPr>
        <xdr:cNvPr id="1563" name="图片 8" descr="10"/>
        <xdr:cNvPicPr/>
      </xdr:nvPicPr>
      <xdr:blipFill>
        <a:blip r:embed="rId104"/>
        <a:stretch/>
      </xdr:blipFill>
      <xdr:spPr>
        <a:xfrm>
          <a:off x="5605920" y="32210640"/>
          <a:ext cx="1170720" cy="1173240"/>
        </a:xfrm>
        <a:prstGeom prst="rect">
          <a:avLst/>
        </a:prstGeom>
        <a:noFill/>
        <a:ln w="9525">
          <a:noFill/>
        </a:ln>
      </xdr:spPr>
    </xdr:pic>
    <xdr:clientData/>
  </xdr:twoCellAnchor>
  <xdr:twoCellAnchor editAs="oneCell">
    <xdr:from>
      <xdr:col>2</xdr:col>
      <xdr:colOff>38160</xdr:colOff>
      <xdr:row>27</xdr:row>
      <xdr:rowOff>141480</xdr:rowOff>
    </xdr:from>
    <xdr:to>
      <xdr:col>2</xdr:col>
      <xdr:colOff>1208880</xdr:colOff>
      <xdr:row>27</xdr:row>
      <xdr:rowOff>1318680</xdr:rowOff>
    </xdr:to>
    <xdr:pic>
      <xdr:nvPicPr>
        <xdr:cNvPr id="1564" name="图片 10" descr="12"/>
        <xdr:cNvPicPr/>
      </xdr:nvPicPr>
      <xdr:blipFill>
        <a:blip r:embed="rId105"/>
        <a:stretch/>
      </xdr:blipFill>
      <xdr:spPr>
        <a:xfrm>
          <a:off x="5605920" y="35129880"/>
          <a:ext cx="1170720" cy="1177200"/>
        </a:xfrm>
        <a:prstGeom prst="rect">
          <a:avLst/>
        </a:prstGeom>
        <a:noFill/>
        <a:ln w="9525">
          <a:noFill/>
        </a:ln>
      </xdr:spPr>
    </xdr:pic>
    <xdr:clientData/>
  </xdr:twoCellAnchor>
  <xdr:twoCellAnchor editAs="oneCell">
    <xdr:from>
      <xdr:col>2</xdr:col>
      <xdr:colOff>38160</xdr:colOff>
      <xdr:row>26</xdr:row>
      <xdr:rowOff>143280</xdr:rowOff>
    </xdr:from>
    <xdr:to>
      <xdr:col>2</xdr:col>
      <xdr:colOff>1208880</xdr:colOff>
      <xdr:row>26</xdr:row>
      <xdr:rowOff>1316520</xdr:rowOff>
    </xdr:to>
    <xdr:pic>
      <xdr:nvPicPr>
        <xdr:cNvPr id="1565" name="图片 11" descr="11"/>
        <xdr:cNvPicPr/>
      </xdr:nvPicPr>
      <xdr:blipFill>
        <a:blip r:embed="rId106"/>
        <a:stretch/>
      </xdr:blipFill>
      <xdr:spPr>
        <a:xfrm>
          <a:off x="5605920" y="33671160"/>
          <a:ext cx="1170720" cy="1173240"/>
        </a:xfrm>
        <a:prstGeom prst="rect">
          <a:avLst/>
        </a:prstGeom>
        <a:noFill/>
        <a:ln w="9525">
          <a:noFill/>
        </a:ln>
      </xdr:spPr>
    </xdr:pic>
    <xdr:clientData/>
  </xdr:twoCellAnchor>
  <xdr:twoCellAnchor editAs="oneCell">
    <xdr:from>
      <xdr:col>2</xdr:col>
      <xdr:colOff>38160</xdr:colOff>
      <xdr:row>21</xdr:row>
      <xdr:rowOff>144360</xdr:rowOff>
    </xdr:from>
    <xdr:to>
      <xdr:col>2</xdr:col>
      <xdr:colOff>1208880</xdr:colOff>
      <xdr:row>21</xdr:row>
      <xdr:rowOff>1315080</xdr:rowOff>
    </xdr:to>
    <xdr:pic>
      <xdr:nvPicPr>
        <xdr:cNvPr id="1566" name="图片 30" descr="10"/>
        <xdr:cNvPicPr/>
      </xdr:nvPicPr>
      <xdr:blipFill>
        <a:blip r:embed="rId107"/>
        <a:stretch/>
      </xdr:blipFill>
      <xdr:spPr>
        <a:xfrm>
          <a:off x="5605920" y="26370000"/>
          <a:ext cx="1170720" cy="1170720"/>
        </a:xfrm>
        <a:prstGeom prst="rect">
          <a:avLst/>
        </a:prstGeom>
        <a:noFill/>
        <a:ln w="9525">
          <a:noFill/>
        </a:ln>
      </xdr:spPr>
    </xdr:pic>
    <xdr:clientData/>
  </xdr:twoCellAnchor>
  <xdr:twoCellAnchor editAs="twoCell">
    <xdr:from>
      <xdr:col>0</xdr:col>
      <xdr:colOff>0</xdr:colOff>
      <xdr:row>21</xdr:row>
      <xdr:rowOff>0</xdr:rowOff>
    </xdr:from>
    <xdr:to>
      <xdr:col>0</xdr:col>
      <xdr:colOff>828000</xdr:colOff>
      <xdr:row>21</xdr:row>
      <xdr:rowOff>297000</xdr:rowOff>
    </xdr:to>
    <xdr:pic>
      <xdr:nvPicPr>
        <xdr:cNvPr id="1567" name="图片 61" descr="新品"/>
        <xdr:cNvPicPr/>
      </xdr:nvPicPr>
      <xdr:blipFill>
        <a:blip r:embed="rId108"/>
        <a:stretch/>
      </xdr:blipFill>
      <xdr:spPr>
        <a:xfrm>
          <a:off x="0" y="26225640"/>
          <a:ext cx="828000" cy="297000"/>
        </a:xfrm>
        <a:prstGeom prst="rect">
          <a:avLst/>
        </a:prstGeom>
        <a:noFill/>
        <a:ln w="9525">
          <a:noFill/>
        </a:ln>
      </xdr:spPr>
    </xdr:pic>
    <xdr:clientData/>
  </xdr:twoCellAnchor>
  <xdr:twoCellAnchor editAs="twoCell">
    <xdr:from>
      <xdr:col>0</xdr:col>
      <xdr:colOff>0</xdr:colOff>
      <xdr:row>23</xdr:row>
      <xdr:rowOff>0</xdr:rowOff>
    </xdr:from>
    <xdr:to>
      <xdr:col>0</xdr:col>
      <xdr:colOff>828000</xdr:colOff>
      <xdr:row>23</xdr:row>
      <xdr:rowOff>297000</xdr:rowOff>
    </xdr:to>
    <xdr:pic>
      <xdr:nvPicPr>
        <xdr:cNvPr id="1568" name="图片 64" descr="新品"/>
        <xdr:cNvPicPr/>
      </xdr:nvPicPr>
      <xdr:blipFill>
        <a:blip r:embed="rId109"/>
        <a:stretch/>
      </xdr:blipFill>
      <xdr:spPr>
        <a:xfrm>
          <a:off x="0" y="29146680"/>
          <a:ext cx="828000" cy="297000"/>
        </a:xfrm>
        <a:prstGeom prst="rect">
          <a:avLst/>
        </a:prstGeom>
        <a:noFill/>
        <a:ln w="9525">
          <a:noFill/>
        </a:ln>
      </xdr:spPr>
    </xdr:pic>
    <xdr:clientData/>
  </xdr:twoCellAnchor>
  <xdr:twoCellAnchor editAs="twoCell">
    <xdr:from>
      <xdr:col>0</xdr:col>
      <xdr:colOff>0</xdr:colOff>
      <xdr:row>25</xdr:row>
      <xdr:rowOff>0</xdr:rowOff>
    </xdr:from>
    <xdr:to>
      <xdr:col>0</xdr:col>
      <xdr:colOff>828000</xdr:colOff>
      <xdr:row>25</xdr:row>
      <xdr:rowOff>297000</xdr:rowOff>
    </xdr:to>
    <xdr:pic>
      <xdr:nvPicPr>
        <xdr:cNvPr id="1569" name="图片 67" descr="新品"/>
        <xdr:cNvPicPr/>
      </xdr:nvPicPr>
      <xdr:blipFill>
        <a:blip r:embed="rId110"/>
        <a:stretch/>
      </xdr:blipFill>
      <xdr:spPr>
        <a:xfrm>
          <a:off x="0" y="32067360"/>
          <a:ext cx="828000" cy="297000"/>
        </a:xfrm>
        <a:prstGeom prst="rect">
          <a:avLst/>
        </a:prstGeom>
        <a:noFill/>
        <a:ln w="9525">
          <a:noFill/>
        </a:ln>
      </xdr:spPr>
    </xdr:pic>
    <xdr:clientData/>
  </xdr:twoCellAnchor>
  <xdr:twoCellAnchor editAs="twoCell">
    <xdr:from>
      <xdr:col>0</xdr:col>
      <xdr:colOff>0</xdr:colOff>
      <xdr:row>26</xdr:row>
      <xdr:rowOff>0</xdr:rowOff>
    </xdr:from>
    <xdr:to>
      <xdr:col>0</xdr:col>
      <xdr:colOff>828000</xdr:colOff>
      <xdr:row>26</xdr:row>
      <xdr:rowOff>297000</xdr:rowOff>
    </xdr:to>
    <xdr:pic>
      <xdr:nvPicPr>
        <xdr:cNvPr id="1570" name="图片 68" descr="新品"/>
        <xdr:cNvPicPr/>
      </xdr:nvPicPr>
      <xdr:blipFill>
        <a:blip r:embed="rId111"/>
        <a:stretch/>
      </xdr:blipFill>
      <xdr:spPr>
        <a:xfrm>
          <a:off x="0" y="33527880"/>
          <a:ext cx="828000" cy="297000"/>
        </a:xfrm>
        <a:prstGeom prst="rect">
          <a:avLst/>
        </a:prstGeom>
        <a:noFill/>
        <a:ln w="9525">
          <a:noFill/>
        </a:ln>
      </xdr:spPr>
    </xdr:pic>
    <xdr:clientData/>
  </xdr:twoCellAnchor>
  <xdr:twoCellAnchor editAs="twoCell">
    <xdr:from>
      <xdr:col>0</xdr:col>
      <xdr:colOff>0</xdr:colOff>
      <xdr:row>27</xdr:row>
      <xdr:rowOff>0</xdr:rowOff>
    </xdr:from>
    <xdr:to>
      <xdr:col>0</xdr:col>
      <xdr:colOff>828000</xdr:colOff>
      <xdr:row>27</xdr:row>
      <xdr:rowOff>297000</xdr:rowOff>
    </xdr:to>
    <xdr:pic>
      <xdr:nvPicPr>
        <xdr:cNvPr id="1571" name="图片 69" descr="新品"/>
        <xdr:cNvPicPr/>
      </xdr:nvPicPr>
      <xdr:blipFill>
        <a:blip r:embed="rId112"/>
        <a:stretch/>
      </xdr:blipFill>
      <xdr:spPr>
        <a:xfrm>
          <a:off x="0" y="34988400"/>
          <a:ext cx="828000" cy="297000"/>
        </a:xfrm>
        <a:prstGeom prst="rect">
          <a:avLst/>
        </a:prstGeom>
        <a:noFill/>
        <a:ln w="9525">
          <a:noFill/>
        </a:ln>
      </xdr:spPr>
    </xdr:pic>
    <xdr:clientData/>
  </xdr:twoCellAnchor>
  <xdr:twoCellAnchor editAs="oneCell">
    <xdr:from>
      <xdr:col>2</xdr:col>
      <xdr:colOff>38160</xdr:colOff>
      <xdr:row>20</xdr:row>
      <xdr:rowOff>143280</xdr:rowOff>
    </xdr:from>
    <xdr:to>
      <xdr:col>2</xdr:col>
      <xdr:colOff>1208880</xdr:colOff>
      <xdr:row>20</xdr:row>
      <xdr:rowOff>1316520</xdr:rowOff>
    </xdr:to>
    <xdr:pic>
      <xdr:nvPicPr>
        <xdr:cNvPr id="1572" name="图片 37" descr="2"/>
        <xdr:cNvPicPr/>
      </xdr:nvPicPr>
      <xdr:blipFill>
        <a:blip r:embed="rId113"/>
        <a:stretch/>
      </xdr:blipFill>
      <xdr:spPr>
        <a:xfrm>
          <a:off x="5605920" y="24908400"/>
          <a:ext cx="1170720" cy="1173240"/>
        </a:xfrm>
        <a:prstGeom prst="rect">
          <a:avLst/>
        </a:prstGeom>
        <a:noFill/>
        <a:ln w="9525">
          <a:noFill/>
        </a:ln>
      </xdr:spPr>
    </xdr:pic>
    <xdr:clientData/>
  </xdr:twoCellAnchor>
  <xdr:twoCellAnchor editAs="oneCell">
    <xdr:from>
      <xdr:col>2</xdr:col>
      <xdr:colOff>38160</xdr:colOff>
      <xdr:row>22</xdr:row>
      <xdr:rowOff>143280</xdr:rowOff>
    </xdr:from>
    <xdr:to>
      <xdr:col>2</xdr:col>
      <xdr:colOff>1208880</xdr:colOff>
      <xdr:row>22</xdr:row>
      <xdr:rowOff>1316520</xdr:rowOff>
    </xdr:to>
    <xdr:pic>
      <xdr:nvPicPr>
        <xdr:cNvPr id="1573" name="图片 39" descr="2"/>
        <xdr:cNvPicPr/>
      </xdr:nvPicPr>
      <xdr:blipFill>
        <a:blip r:embed="rId114"/>
        <a:stretch/>
      </xdr:blipFill>
      <xdr:spPr>
        <a:xfrm>
          <a:off x="5605920" y="27829440"/>
          <a:ext cx="1170720" cy="1173240"/>
        </a:xfrm>
        <a:prstGeom prst="rect">
          <a:avLst/>
        </a:prstGeom>
        <a:noFill/>
        <a:ln w="9525">
          <a:noFill/>
        </a:ln>
      </xdr:spPr>
    </xdr:pic>
    <xdr:clientData/>
  </xdr:twoCellAnchor>
  <xdr:twoCellAnchor editAs="oneCell">
    <xdr:from>
      <xdr:col>2</xdr:col>
      <xdr:colOff>38160</xdr:colOff>
      <xdr:row>24</xdr:row>
      <xdr:rowOff>143280</xdr:rowOff>
    </xdr:from>
    <xdr:to>
      <xdr:col>2</xdr:col>
      <xdr:colOff>1208880</xdr:colOff>
      <xdr:row>24</xdr:row>
      <xdr:rowOff>1316520</xdr:rowOff>
    </xdr:to>
    <xdr:pic>
      <xdr:nvPicPr>
        <xdr:cNvPr id="1574" name="图片 41" descr="2"/>
        <xdr:cNvPicPr/>
      </xdr:nvPicPr>
      <xdr:blipFill>
        <a:blip r:embed="rId115"/>
        <a:stretch/>
      </xdr:blipFill>
      <xdr:spPr>
        <a:xfrm>
          <a:off x="5605920" y="30750120"/>
          <a:ext cx="1170720" cy="1173240"/>
        </a:xfrm>
        <a:prstGeom prst="rect">
          <a:avLst/>
        </a:prstGeom>
        <a:noFill/>
        <a:ln w="9525">
          <a:noFill/>
        </a:ln>
      </xdr:spPr>
    </xdr:pic>
    <xdr:clientData/>
  </xdr:twoCellAnchor>
  <xdr:twoCellAnchor editAs="oneCell">
    <xdr:from>
      <xdr:col>1</xdr:col>
      <xdr:colOff>38160</xdr:colOff>
      <xdr:row>25</xdr:row>
      <xdr:rowOff>144360</xdr:rowOff>
    </xdr:from>
    <xdr:to>
      <xdr:col>1</xdr:col>
      <xdr:colOff>1208880</xdr:colOff>
      <xdr:row>25</xdr:row>
      <xdr:rowOff>1315080</xdr:rowOff>
    </xdr:to>
    <xdr:pic>
      <xdr:nvPicPr>
        <xdr:cNvPr id="1575" name="图片 42" descr="2"/>
        <xdr:cNvPicPr/>
      </xdr:nvPicPr>
      <xdr:blipFill>
        <a:blip r:embed="rId116"/>
        <a:stretch/>
      </xdr:blipFill>
      <xdr:spPr>
        <a:xfrm>
          <a:off x="4039920" y="32211720"/>
          <a:ext cx="1170720" cy="1170720"/>
        </a:xfrm>
        <a:prstGeom prst="rect">
          <a:avLst/>
        </a:prstGeom>
        <a:noFill/>
        <a:ln w="9525">
          <a:noFill/>
        </a:ln>
      </xdr:spPr>
    </xdr:pic>
    <xdr:clientData/>
  </xdr:twoCellAnchor>
  <xdr:twoCellAnchor editAs="oneCell">
    <xdr:from>
      <xdr:col>1</xdr:col>
      <xdr:colOff>38160</xdr:colOff>
      <xdr:row>26</xdr:row>
      <xdr:rowOff>144360</xdr:rowOff>
    </xdr:from>
    <xdr:to>
      <xdr:col>1</xdr:col>
      <xdr:colOff>1208880</xdr:colOff>
      <xdr:row>26</xdr:row>
      <xdr:rowOff>1315080</xdr:rowOff>
    </xdr:to>
    <xdr:pic>
      <xdr:nvPicPr>
        <xdr:cNvPr id="1576" name="图片 43" descr="1"/>
        <xdr:cNvPicPr/>
      </xdr:nvPicPr>
      <xdr:blipFill>
        <a:blip r:embed="rId117"/>
        <a:stretch/>
      </xdr:blipFill>
      <xdr:spPr>
        <a:xfrm>
          <a:off x="4039920" y="33672240"/>
          <a:ext cx="1170720" cy="1170720"/>
        </a:xfrm>
        <a:prstGeom prst="rect">
          <a:avLst/>
        </a:prstGeom>
        <a:noFill/>
        <a:ln w="9525">
          <a:noFill/>
        </a:ln>
      </xdr:spPr>
    </xdr:pic>
    <xdr:clientData/>
  </xdr:twoCellAnchor>
  <xdr:twoCellAnchor editAs="oneCell">
    <xdr:from>
      <xdr:col>1</xdr:col>
      <xdr:colOff>38160</xdr:colOff>
      <xdr:row>27</xdr:row>
      <xdr:rowOff>144360</xdr:rowOff>
    </xdr:from>
    <xdr:to>
      <xdr:col>1</xdr:col>
      <xdr:colOff>1208880</xdr:colOff>
      <xdr:row>27</xdr:row>
      <xdr:rowOff>1315080</xdr:rowOff>
    </xdr:to>
    <xdr:pic>
      <xdr:nvPicPr>
        <xdr:cNvPr id="1577" name="图片 44" descr="1"/>
        <xdr:cNvPicPr/>
      </xdr:nvPicPr>
      <xdr:blipFill>
        <a:blip r:embed="rId118"/>
        <a:stretch/>
      </xdr:blipFill>
      <xdr:spPr>
        <a:xfrm>
          <a:off x="4039920" y="35132760"/>
          <a:ext cx="1170720" cy="1170720"/>
        </a:xfrm>
        <a:prstGeom prst="rect">
          <a:avLst/>
        </a:prstGeom>
        <a:noFill/>
        <a:ln w="9525">
          <a:noFill/>
        </a:ln>
      </xdr:spPr>
    </xdr:pic>
    <xdr:clientData/>
  </xdr:twoCellAnchor>
  <xdr:twoCellAnchor editAs="oneCell">
    <xdr:from>
      <xdr:col>1</xdr:col>
      <xdr:colOff>38160</xdr:colOff>
      <xdr:row>24</xdr:row>
      <xdr:rowOff>144000</xdr:rowOff>
    </xdr:from>
    <xdr:to>
      <xdr:col>1</xdr:col>
      <xdr:colOff>1208880</xdr:colOff>
      <xdr:row>24</xdr:row>
      <xdr:rowOff>1315440</xdr:rowOff>
    </xdr:to>
    <xdr:pic>
      <xdr:nvPicPr>
        <xdr:cNvPr id="1578" name="图片 45" descr="1"/>
        <xdr:cNvPicPr/>
      </xdr:nvPicPr>
      <xdr:blipFill>
        <a:blip r:embed="rId119"/>
        <a:stretch/>
      </xdr:blipFill>
      <xdr:spPr>
        <a:xfrm>
          <a:off x="4039920" y="30750840"/>
          <a:ext cx="1170720" cy="1171440"/>
        </a:xfrm>
        <a:prstGeom prst="rect">
          <a:avLst/>
        </a:prstGeom>
        <a:noFill/>
        <a:ln w="9525">
          <a:noFill/>
        </a:ln>
      </xdr:spPr>
    </xdr:pic>
    <xdr:clientData/>
  </xdr:twoCellAnchor>
  <xdr:twoCellAnchor editAs="oneCell">
    <xdr:from>
      <xdr:col>1</xdr:col>
      <xdr:colOff>38160</xdr:colOff>
      <xdr:row>22</xdr:row>
      <xdr:rowOff>144000</xdr:rowOff>
    </xdr:from>
    <xdr:to>
      <xdr:col>1</xdr:col>
      <xdr:colOff>1208880</xdr:colOff>
      <xdr:row>22</xdr:row>
      <xdr:rowOff>1315440</xdr:rowOff>
    </xdr:to>
    <xdr:pic>
      <xdr:nvPicPr>
        <xdr:cNvPr id="1579" name="图片 46" descr="2"/>
        <xdr:cNvPicPr/>
      </xdr:nvPicPr>
      <xdr:blipFill>
        <a:blip r:embed="rId120"/>
        <a:stretch/>
      </xdr:blipFill>
      <xdr:spPr>
        <a:xfrm>
          <a:off x="4039920" y="27830160"/>
          <a:ext cx="1170720" cy="1171440"/>
        </a:xfrm>
        <a:prstGeom prst="rect">
          <a:avLst/>
        </a:prstGeom>
        <a:noFill/>
        <a:ln w="9525">
          <a:noFill/>
        </a:ln>
      </xdr:spPr>
    </xdr:pic>
    <xdr:clientData/>
  </xdr:twoCellAnchor>
  <xdr:twoCellAnchor editAs="oneCell">
    <xdr:from>
      <xdr:col>1</xdr:col>
      <xdr:colOff>38160</xdr:colOff>
      <xdr:row>23</xdr:row>
      <xdr:rowOff>144000</xdr:rowOff>
    </xdr:from>
    <xdr:to>
      <xdr:col>1</xdr:col>
      <xdr:colOff>1208880</xdr:colOff>
      <xdr:row>23</xdr:row>
      <xdr:rowOff>1315440</xdr:rowOff>
    </xdr:to>
    <xdr:pic>
      <xdr:nvPicPr>
        <xdr:cNvPr id="1580" name="图片 47" descr="3"/>
        <xdr:cNvPicPr/>
      </xdr:nvPicPr>
      <xdr:blipFill>
        <a:blip r:embed="rId121"/>
        <a:stretch/>
      </xdr:blipFill>
      <xdr:spPr>
        <a:xfrm>
          <a:off x="4039920" y="29290680"/>
          <a:ext cx="1170720" cy="1171440"/>
        </a:xfrm>
        <a:prstGeom prst="rect">
          <a:avLst/>
        </a:prstGeom>
        <a:noFill/>
        <a:ln w="9525">
          <a:noFill/>
        </a:ln>
      </xdr:spPr>
    </xdr:pic>
    <xdr:clientData/>
  </xdr:twoCellAnchor>
  <xdr:twoCellAnchor editAs="oneCell">
    <xdr:from>
      <xdr:col>1</xdr:col>
      <xdr:colOff>38160</xdr:colOff>
      <xdr:row>20</xdr:row>
      <xdr:rowOff>146880</xdr:rowOff>
    </xdr:from>
    <xdr:to>
      <xdr:col>1</xdr:col>
      <xdr:colOff>1208880</xdr:colOff>
      <xdr:row>20</xdr:row>
      <xdr:rowOff>1312560</xdr:rowOff>
    </xdr:to>
    <xdr:pic>
      <xdr:nvPicPr>
        <xdr:cNvPr id="1581" name="图片 50" descr="2"/>
        <xdr:cNvPicPr/>
      </xdr:nvPicPr>
      <xdr:blipFill>
        <a:blip r:embed="rId122"/>
        <a:stretch/>
      </xdr:blipFill>
      <xdr:spPr>
        <a:xfrm>
          <a:off x="4039920" y="24912000"/>
          <a:ext cx="1170720" cy="1165680"/>
        </a:xfrm>
        <a:prstGeom prst="rect">
          <a:avLst/>
        </a:prstGeom>
        <a:noFill/>
        <a:ln w="9525">
          <a:noFill/>
        </a:ln>
      </xdr:spPr>
    </xdr:pic>
    <xdr:clientData/>
  </xdr:twoCellAnchor>
  <xdr:twoCellAnchor editAs="oneCell">
    <xdr:from>
      <xdr:col>1</xdr:col>
      <xdr:colOff>38160</xdr:colOff>
      <xdr:row>21</xdr:row>
      <xdr:rowOff>144000</xdr:rowOff>
    </xdr:from>
    <xdr:to>
      <xdr:col>1</xdr:col>
      <xdr:colOff>1208880</xdr:colOff>
      <xdr:row>21</xdr:row>
      <xdr:rowOff>1315440</xdr:rowOff>
    </xdr:to>
    <xdr:pic>
      <xdr:nvPicPr>
        <xdr:cNvPr id="1582" name="图片 51" descr="3"/>
        <xdr:cNvPicPr/>
      </xdr:nvPicPr>
      <xdr:blipFill>
        <a:blip r:embed="rId123"/>
        <a:stretch/>
      </xdr:blipFill>
      <xdr:spPr>
        <a:xfrm>
          <a:off x="4039920" y="26369640"/>
          <a:ext cx="1170720" cy="1171440"/>
        </a:xfrm>
        <a:prstGeom prst="rect">
          <a:avLst/>
        </a:prstGeom>
        <a:noFill/>
        <a:ln w="9525">
          <a:noFill/>
        </a:ln>
      </xdr:spPr>
    </xdr:pic>
    <xdr:clientData/>
  </xdr:twoCellAnchor>
  <xdr:twoCellAnchor editAs="oneCell">
    <xdr:from>
      <xdr:col>1</xdr:col>
      <xdr:colOff>38160</xdr:colOff>
      <xdr:row>54</xdr:row>
      <xdr:rowOff>142200</xdr:rowOff>
    </xdr:from>
    <xdr:to>
      <xdr:col>1</xdr:col>
      <xdr:colOff>1208880</xdr:colOff>
      <xdr:row>54</xdr:row>
      <xdr:rowOff>1317600</xdr:rowOff>
    </xdr:to>
    <xdr:pic>
      <xdr:nvPicPr>
        <xdr:cNvPr id="1583" name="图片 34" descr="1"/>
        <xdr:cNvPicPr/>
      </xdr:nvPicPr>
      <xdr:blipFill>
        <a:blip r:embed="rId124"/>
        <a:stretch/>
      </xdr:blipFill>
      <xdr:spPr>
        <a:xfrm>
          <a:off x="4039920" y="72329040"/>
          <a:ext cx="1170720" cy="1175400"/>
        </a:xfrm>
        <a:prstGeom prst="rect">
          <a:avLst/>
        </a:prstGeom>
        <a:noFill/>
        <a:ln w="0">
          <a:noFill/>
        </a:ln>
      </xdr:spPr>
    </xdr:pic>
    <xdr:clientData/>
  </xdr:twoCellAnchor>
  <xdr:twoCellAnchor editAs="oneCell">
    <xdr:from>
      <xdr:col>2</xdr:col>
      <xdr:colOff>38160</xdr:colOff>
      <xdr:row>55</xdr:row>
      <xdr:rowOff>144000</xdr:rowOff>
    </xdr:from>
    <xdr:to>
      <xdr:col>2</xdr:col>
      <xdr:colOff>1208880</xdr:colOff>
      <xdr:row>55</xdr:row>
      <xdr:rowOff>1316160</xdr:rowOff>
    </xdr:to>
    <xdr:pic>
      <xdr:nvPicPr>
        <xdr:cNvPr id="1584" name="图片 35" descr="4"/>
        <xdr:cNvPicPr/>
      </xdr:nvPicPr>
      <xdr:blipFill>
        <a:blip r:embed="rId125"/>
        <a:stretch/>
      </xdr:blipFill>
      <xdr:spPr>
        <a:xfrm>
          <a:off x="5605920" y="73791360"/>
          <a:ext cx="1170720" cy="1172160"/>
        </a:xfrm>
        <a:prstGeom prst="rect">
          <a:avLst/>
        </a:prstGeom>
        <a:noFill/>
        <a:ln w="0">
          <a:noFill/>
        </a:ln>
      </xdr:spPr>
    </xdr:pic>
    <xdr:clientData/>
  </xdr:twoCellAnchor>
  <xdr:twoCellAnchor editAs="oneCell">
    <xdr:from>
      <xdr:col>2</xdr:col>
      <xdr:colOff>38160</xdr:colOff>
      <xdr:row>54</xdr:row>
      <xdr:rowOff>144000</xdr:rowOff>
    </xdr:from>
    <xdr:to>
      <xdr:col>2</xdr:col>
      <xdr:colOff>1208880</xdr:colOff>
      <xdr:row>54</xdr:row>
      <xdr:rowOff>1316160</xdr:rowOff>
    </xdr:to>
    <xdr:pic>
      <xdr:nvPicPr>
        <xdr:cNvPr id="1585" name="图片 36" descr="3"/>
        <xdr:cNvPicPr/>
      </xdr:nvPicPr>
      <xdr:blipFill>
        <a:blip r:embed="rId126"/>
        <a:stretch/>
      </xdr:blipFill>
      <xdr:spPr>
        <a:xfrm>
          <a:off x="5605920" y="72330840"/>
          <a:ext cx="1170720" cy="1172160"/>
        </a:xfrm>
        <a:prstGeom prst="rect">
          <a:avLst/>
        </a:prstGeom>
        <a:noFill/>
        <a:ln w="0">
          <a:noFill/>
        </a:ln>
      </xdr:spPr>
    </xdr:pic>
    <xdr:clientData/>
  </xdr:twoCellAnchor>
  <xdr:twoCellAnchor editAs="oneCell">
    <xdr:from>
      <xdr:col>1</xdr:col>
      <xdr:colOff>38160</xdr:colOff>
      <xdr:row>55</xdr:row>
      <xdr:rowOff>142200</xdr:rowOff>
    </xdr:from>
    <xdr:to>
      <xdr:col>1</xdr:col>
      <xdr:colOff>1208880</xdr:colOff>
      <xdr:row>55</xdr:row>
      <xdr:rowOff>1317600</xdr:rowOff>
    </xdr:to>
    <xdr:pic>
      <xdr:nvPicPr>
        <xdr:cNvPr id="1586" name="图片 37" descr="1"/>
        <xdr:cNvPicPr/>
      </xdr:nvPicPr>
      <xdr:blipFill>
        <a:blip r:embed="rId127"/>
        <a:stretch/>
      </xdr:blipFill>
      <xdr:spPr>
        <a:xfrm>
          <a:off x="4039920" y="73789560"/>
          <a:ext cx="1170720" cy="1175400"/>
        </a:xfrm>
        <a:prstGeom prst="rect">
          <a:avLst/>
        </a:prstGeom>
        <a:noFill/>
        <a:ln w="0">
          <a:noFill/>
        </a:ln>
      </xdr:spPr>
    </xdr:pic>
    <xdr:clientData/>
  </xdr:twoCellAnchor>
  <xdr:twoCellAnchor editAs="oneCell">
    <xdr:from>
      <xdr:col>1</xdr:col>
      <xdr:colOff>38160</xdr:colOff>
      <xdr:row>58</xdr:row>
      <xdr:rowOff>140400</xdr:rowOff>
    </xdr:from>
    <xdr:to>
      <xdr:col>1</xdr:col>
      <xdr:colOff>1208880</xdr:colOff>
      <xdr:row>58</xdr:row>
      <xdr:rowOff>1319400</xdr:rowOff>
    </xdr:to>
    <xdr:pic>
      <xdr:nvPicPr>
        <xdr:cNvPr id="1587" name="图片 38" descr="BF10-iP15-Pro&amp;15-Pro-Max-1"/>
        <xdr:cNvPicPr/>
      </xdr:nvPicPr>
      <xdr:blipFill>
        <a:blip r:embed="rId128"/>
        <a:stretch/>
      </xdr:blipFill>
      <xdr:spPr>
        <a:xfrm>
          <a:off x="4039920" y="78169320"/>
          <a:ext cx="1170720" cy="1179000"/>
        </a:xfrm>
        <a:prstGeom prst="rect">
          <a:avLst/>
        </a:prstGeom>
        <a:noFill/>
        <a:ln w="0">
          <a:noFill/>
        </a:ln>
      </xdr:spPr>
    </xdr:pic>
    <xdr:clientData/>
  </xdr:twoCellAnchor>
  <xdr:twoCellAnchor editAs="oneCell">
    <xdr:from>
      <xdr:col>2</xdr:col>
      <xdr:colOff>38160</xdr:colOff>
      <xdr:row>58</xdr:row>
      <xdr:rowOff>142200</xdr:rowOff>
    </xdr:from>
    <xdr:to>
      <xdr:col>2</xdr:col>
      <xdr:colOff>1208880</xdr:colOff>
      <xdr:row>58</xdr:row>
      <xdr:rowOff>1317600</xdr:rowOff>
    </xdr:to>
    <xdr:pic>
      <xdr:nvPicPr>
        <xdr:cNvPr id="1588" name="图片 39" descr="BF10-iP15-Pro&amp;15-Pro-Max-3"/>
        <xdr:cNvPicPr/>
      </xdr:nvPicPr>
      <xdr:blipFill>
        <a:blip r:embed="rId129"/>
        <a:stretch/>
      </xdr:blipFill>
      <xdr:spPr>
        <a:xfrm>
          <a:off x="5605920" y="78171120"/>
          <a:ext cx="1170720" cy="1175400"/>
        </a:xfrm>
        <a:prstGeom prst="rect">
          <a:avLst/>
        </a:prstGeom>
        <a:noFill/>
        <a:ln w="0">
          <a:noFill/>
        </a:ln>
      </xdr:spPr>
    </xdr:pic>
    <xdr:clientData/>
  </xdr:twoCellAnchor>
  <xdr:twoCellAnchor editAs="oneCell">
    <xdr:from>
      <xdr:col>2</xdr:col>
      <xdr:colOff>38160</xdr:colOff>
      <xdr:row>59</xdr:row>
      <xdr:rowOff>142200</xdr:rowOff>
    </xdr:from>
    <xdr:to>
      <xdr:col>2</xdr:col>
      <xdr:colOff>1208880</xdr:colOff>
      <xdr:row>59</xdr:row>
      <xdr:rowOff>1317600</xdr:rowOff>
    </xdr:to>
    <xdr:pic>
      <xdr:nvPicPr>
        <xdr:cNvPr id="1589" name="图片 40" descr="BF10-iP15-Pro&amp;15-Pro-Max-4"/>
        <xdr:cNvPicPr/>
      </xdr:nvPicPr>
      <xdr:blipFill>
        <a:blip r:embed="rId130"/>
        <a:stretch/>
      </xdr:blipFill>
      <xdr:spPr>
        <a:xfrm>
          <a:off x="5605920" y="79631640"/>
          <a:ext cx="1170720" cy="1175400"/>
        </a:xfrm>
        <a:prstGeom prst="rect">
          <a:avLst/>
        </a:prstGeom>
        <a:noFill/>
        <a:ln w="0">
          <a:noFill/>
        </a:ln>
      </xdr:spPr>
    </xdr:pic>
    <xdr:clientData/>
  </xdr:twoCellAnchor>
  <xdr:twoCellAnchor editAs="oneCell">
    <xdr:from>
      <xdr:col>1</xdr:col>
      <xdr:colOff>38160</xdr:colOff>
      <xdr:row>59</xdr:row>
      <xdr:rowOff>142200</xdr:rowOff>
    </xdr:from>
    <xdr:to>
      <xdr:col>1</xdr:col>
      <xdr:colOff>1208880</xdr:colOff>
      <xdr:row>59</xdr:row>
      <xdr:rowOff>1317600</xdr:rowOff>
    </xdr:to>
    <xdr:pic>
      <xdr:nvPicPr>
        <xdr:cNvPr id="1590" name="图片 41" descr="BF10-iP15-Pro&amp;15-Pro-Max-1"/>
        <xdr:cNvPicPr/>
      </xdr:nvPicPr>
      <xdr:blipFill>
        <a:blip r:embed="rId131"/>
        <a:stretch/>
      </xdr:blipFill>
      <xdr:spPr>
        <a:xfrm>
          <a:off x="4039920" y="79631640"/>
          <a:ext cx="1170720" cy="1175400"/>
        </a:xfrm>
        <a:prstGeom prst="rect">
          <a:avLst/>
        </a:prstGeom>
        <a:noFill/>
        <a:ln w="0">
          <a:noFill/>
        </a:ln>
      </xdr:spPr>
    </xdr:pic>
    <xdr:clientData/>
  </xdr:twoCellAnchor>
  <xdr:twoCellAnchor editAs="oneCell">
    <xdr:from>
      <xdr:col>1</xdr:col>
      <xdr:colOff>38160</xdr:colOff>
      <xdr:row>56</xdr:row>
      <xdr:rowOff>142200</xdr:rowOff>
    </xdr:from>
    <xdr:to>
      <xdr:col>1</xdr:col>
      <xdr:colOff>1208880</xdr:colOff>
      <xdr:row>56</xdr:row>
      <xdr:rowOff>1317600</xdr:rowOff>
    </xdr:to>
    <xdr:pic>
      <xdr:nvPicPr>
        <xdr:cNvPr id="1591" name="图片 42" descr="1"/>
        <xdr:cNvPicPr/>
      </xdr:nvPicPr>
      <xdr:blipFill>
        <a:blip r:embed="rId132"/>
        <a:stretch/>
      </xdr:blipFill>
      <xdr:spPr>
        <a:xfrm>
          <a:off x="4039920" y="75250080"/>
          <a:ext cx="1170720" cy="1175400"/>
        </a:xfrm>
        <a:prstGeom prst="rect">
          <a:avLst/>
        </a:prstGeom>
        <a:noFill/>
        <a:ln w="0">
          <a:noFill/>
        </a:ln>
      </xdr:spPr>
    </xdr:pic>
    <xdr:clientData/>
  </xdr:twoCellAnchor>
  <xdr:twoCellAnchor editAs="oneCell">
    <xdr:from>
      <xdr:col>2</xdr:col>
      <xdr:colOff>38160</xdr:colOff>
      <xdr:row>56</xdr:row>
      <xdr:rowOff>144360</xdr:rowOff>
    </xdr:from>
    <xdr:to>
      <xdr:col>2</xdr:col>
      <xdr:colOff>1208880</xdr:colOff>
      <xdr:row>56</xdr:row>
      <xdr:rowOff>1315080</xdr:rowOff>
    </xdr:to>
    <xdr:pic>
      <xdr:nvPicPr>
        <xdr:cNvPr id="1592" name="图片 43" descr="3"/>
        <xdr:cNvPicPr/>
      </xdr:nvPicPr>
      <xdr:blipFill>
        <a:blip r:embed="rId133"/>
        <a:stretch/>
      </xdr:blipFill>
      <xdr:spPr>
        <a:xfrm>
          <a:off x="5605920" y="75252240"/>
          <a:ext cx="1170720" cy="1170720"/>
        </a:xfrm>
        <a:prstGeom prst="rect">
          <a:avLst/>
        </a:prstGeom>
        <a:noFill/>
        <a:ln w="0">
          <a:noFill/>
        </a:ln>
      </xdr:spPr>
    </xdr:pic>
    <xdr:clientData/>
  </xdr:twoCellAnchor>
  <xdr:twoCellAnchor editAs="oneCell">
    <xdr:from>
      <xdr:col>2</xdr:col>
      <xdr:colOff>38160</xdr:colOff>
      <xdr:row>57</xdr:row>
      <xdr:rowOff>144360</xdr:rowOff>
    </xdr:from>
    <xdr:to>
      <xdr:col>2</xdr:col>
      <xdr:colOff>1208880</xdr:colOff>
      <xdr:row>57</xdr:row>
      <xdr:rowOff>1315080</xdr:rowOff>
    </xdr:to>
    <xdr:pic>
      <xdr:nvPicPr>
        <xdr:cNvPr id="1593" name="图片 44" descr="4"/>
        <xdr:cNvPicPr/>
      </xdr:nvPicPr>
      <xdr:blipFill>
        <a:blip r:embed="rId134"/>
        <a:stretch/>
      </xdr:blipFill>
      <xdr:spPr>
        <a:xfrm>
          <a:off x="5605920" y="76712760"/>
          <a:ext cx="1170720" cy="1170720"/>
        </a:xfrm>
        <a:prstGeom prst="rect">
          <a:avLst/>
        </a:prstGeom>
        <a:noFill/>
        <a:ln w="0">
          <a:noFill/>
        </a:ln>
      </xdr:spPr>
    </xdr:pic>
    <xdr:clientData/>
  </xdr:twoCellAnchor>
  <xdr:twoCellAnchor editAs="oneCell">
    <xdr:from>
      <xdr:col>1</xdr:col>
      <xdr:colOff>38160</xdr:colOff>
      <xdr:row>57</xdr:row>
      <xdr:rowOff>142200</xdr:rowOff>
    </xdr:from>
    <xdr:to>
      <xdr:col>1</xdr:col>
      <xdr:colOff>1208880</xdr:colOff>
      <xdr:row>57</xdr:row>
      <xdr:rowOff>1317600</xdr:rowOff>
    </xdr:to>
    <xdr:pic>
      <xdr:nvPicPr>
        <xdr:cNvPr id="1594" name="图片 45" descr="1"/>
        <xdr:cNvPicPr/>
      </xdr:nvPicPr>
      <xdr:blipFill>
        <a:blip r:embed="rId135"/>
        <a:stretch/>
      </xdr:blipFill>
      <xdr:spPr>
        <a:xfrm>
          <a:off x="4039920" y="76710600"/>
          <a:ext cx="1170720" cy="1175400"/>
        </a:xfrm>
        <a:prstGeom prst="rect">
          <a:avLst/>
        </a:prstGeom>
        <a:noFill/>
        <a:ln w="0">
          <a:noFill/>
        </a:ln>
      </xdr:spPr>
    </xdr:pic>
    <xdr:clientData/>
  </xdr:twoCellAnchor>
  <xdr:twoCellAnchor editAs="oneCell">
    <xdr:from>
      <xdr:col>1</xdr:col>
      <xdr:colOff>38160</xdr:colOff>
      <xdr:row>60</xdr:row>
      <xdr:rowOff>142200</xdr:rowOff>
    </xdr:from>
    <xdr:to>
      <xdr:col>1</xdr:col>
      <xdr:colOff>1208880</xdr:colOff>
      <xdr:row>60</xdr:row>
      <xdr:rowOff>1317600</xdr:rowOff>
    </xdr:to>
    <xdr:pic>
      <xdr:nvPicPr>
        <xdr:cNvPr id="1595" name="图片 46" descr="BF9-iP15-Pro&amp;15-Pro-Max-1"/>
        <xdr:cNvPicPr/>
      </xdr:nvPicPr>
      <xdr:blipFill>
        <a:blip r:embed="rId136"/>
        <a:stretch/>
      </xdr:blipFill>
      <xdr:spPr>
        <a:xfrm>
          <a:off x="4039920" y="81092160"/>
          <a:ext cx="1170720" cy="1175400"/>
        </a:xfrm>
        <a:prstGeom prst="rect">
          <a:avLst/>
        </a:prstGeom>
        <a:noFill/>
        <a:ln w="0">
          <a:noFill/>
        </a:ln>
      </xdr:spPr>
    </xdr:pic>
    <xdr:clientData/>
  </xdr:twoCellAnchor>
  <xdr:twoCellAnchor editAs="oneCell">
    <xdr:from>
      <xdr:col>2</xdr:col>
      <xdr:colOff>38160</xdr:colOff>
      <xdr:row>60</xdr:row>
      <xdr:rowOff>144360</xdr:rowOff>
    </xdr:from>
    <xdr:to>
      <xdr:col>2</xdr:col>
      <xdr:colOff>1208880</xdr:colOff>
      <xdr:row>60</xdr:row>
      <xdr:rowOff>1315080</xdr:rowOff>
    </xdr:to>
    <xdr:pic>
      <xdr:nvPicPr>
        <xdr:cNvPr id="1596" name="图片 47" descr="BF9-iP15-Pro&amp;15-Pro-Max-3"/>
        <xdr:cNvPicPr/>
      </xdr:nvPicPr>
      <xdr:blipFill>
        <a:blip r:embed="rId137"/>
        <a:stretch/>
      </xdr:blipFill>
      <xdr:spPr>
        <a:xfrm>
          <a:off x="5605920" y="81094320"/>
          <a:ext cx="1170720" cy="1170720"/>
        </a:xfrm>
        <a:prstGeom prst="rect">
          <a:avLst/>
        </a:prstGeom>
        <a:noFill/>
        <a:ln w="0">
          <a:noFill/>
        </a:ln>
      </xdr:spPr>
    </xdr:pic>
    <xdr:clientData/>
  </xdr:twoCellAnchor>
  <xdr:twoCellAnchor editAs="oneCell">
    <xdr:from>
      <xdr:col>2</xdr:col>
      <xdr:colOff>38160</xdr:colOff>
      <xdr:row>61</xdr:row>
      <xdr:rowOff>144000</xdr:rowOff>
    </xdr:from>
    <xdr:to>
      <xdr:col>2</xdr:col>
      <xdr:colOff>1208880</xdr:colOff>
      <xdr:row>61</xdr:row>
      <xdr:rowOff>1316160</xdr:rowOff>
    </xdr:to>
    <xdr:pic>
      <xdr:nvPicPr>
        <xdr:cNvPr id="1597" name="图片 48" descr="BF9-iP15-Pro&amp;15-Pro-Max-4"/>
        <xdr:cNvPicPr/>
      </xdr:nvPicPr>
      <xdr:blipFill>
        <a:blip r:embed="rId138"/>
        <a:stretch/>
      </xdr:blipFill>
      <xdr:spPr>
        <a:xfrm>
          <a:off x="5605920" y="82554480"/>
          <a:ext cx="1170720" cy="1172160"/>
        </a:xfrm>
        <a:prstGeom prst="rect">
          <a:avLst/>
        </a:prstGeom>
        <a:noFill/>
        <a:ln w="0">
          <a:noFill/>
        </a:ln>
      </xdr:spPr>
    </xdr:pic>
    <xdr:clientData/>
  </xdr:twoCellAnchor>
  <xdr:twoCellAnchor editAs="oneCell">
    <xdr:from>
      <xdr:col>1</xdr:col>
      <xdr:colOff>38160</xdr:colOff>
      <xdr:row>61</xdr:row>
      <xdr:rowOff>142200</xdr:rowOff>
    </xdr:from>
    <xdr:to>
      <xdr:col>1</xdr:col>
      <xdr:colOff>1208880</xdr:colOff>
      <xdr:row>61</xdr:row>
      <xdr:rowOff>1317600</xdr:rowOff>
    </xdr:to>
    <xdr:pic>
      <xdr:nvPicPr>
        <xdr:cNvPr id="1598" name="图片 49" descr="BF9-iP15-Pro&amp;15-Pro-Max-1"/>
        <xdr:cNvPicPr/>
      </xdr:nvPicPr>
      <xdr:blipFill>
        <a:blip r:embed="rId139"/>
        <a:stretch/>
      </xdr:blipFill>
      <xdr:spPr>
        <a:xfrm>
          <a:off x="4039920" y="82552680"/>
          <a:ext cx="1170720" cy="1175400"/>
        </a:xfrm>
        <a:prstGeom prst="rect">
          <a:avLst/>
        </a:prstGeom>
        <a:noFill/>
        <a:ln w="0">
          <a:noFill/>
        </a:ln>
      </xdr:spPr>
    </xdr:pic>
    <xdr:clientData/>
  </xdr:twoCellAnchor>
  <xdr:twoCellAnchor editAs="twoCell">
    <xdr:from>
      <xdr:col>0</xdr:col>
      <xdr:colOff>0</xdr:colOff>
      <xdr:row>61</xdr:row>
      <xdr:rowOff>0</xdr:rowOff>
    </xdr:from>
    <xdr:to>
      <xdr:col>0</xdr:col>
      <xdr:colOff>828000</xdr:colOff>
      <xdr:row>61</xdr:row>
      <xdr:rowOff>297000</xdr:rowOff>
    </xdr:to>
    <xdr:pic>
      <xdr:nvPicPr>
        <xdr:cNvPr id="1599" name="图片 63" descr="新品"/>
        <xdr:cNvPicPr/>
      </xdr:nvPicPr>
      <xdr:blipFill>
        <a:blip r:embed="rId140"/>
        <a:stretch/>
      </xdr:blipFill>
      <xdr:spPr>
        <a:xfrm>
          <a:off x="0" y="82410480"/>
          <a:ext cx="828000" cy="297000"/>
        </a:xfrm>
        <a:prstGeom prst="rect">
          <a:avLst/>
        </a:prstGeom>
        <a:noFill/>
        <a:ln w="9525">
          <a:noFill/>
        </a:ln>
      </xdr:spPr>
    </xdr:pic>
    <xdr:clientData/>
  </xdr:twoCellAnchor>
  <xdr:twoCellAnchor editAs="twoCell">
    <xdr:from>
      <xdr:col>0</xdr:col>
      <xdr:colOff>0</xdr:colOff>
      <xdr:row>60</xdr:row>
      <xdr:rowOff>0</xdr:rowOff>
    </xdr:from>
    <xdr:to>
      <xdr:col>0</xdr:col>
      <xdr:colOff>828000</xdr:colOff>
      <xdr:row>60</xdr:row>
      <xdr:rowOff>297000</xdr:rowOff>
    </xdr:to>
    <xdr:pic>
      <xdr:nvPicPr>
        <xdr:cNvPr id="1600" name="图片 63" descr="新品"/>
        <xdr:cNvPicPr/>
      </xdr:nvPicPr>
      <xdr:blipFill>
        <a:blip r:embed="rId141"/>
        <a:stretch/>
      </xdr:blipFill>
      <xdr:spPr>
        <a:xfrm>
          <a:off x="0" y="80949960"/>
          <a:ext cx="828000" cy="297000"/>
        </a:xfrm>
        <a:prstGeom prst="rect">
          <a:avLst/>
        </a:prstGeom>
        <a:noFill/>
        <a:ln w="9525">
          <a:noFill/>
        </a:ln>
      </xdr:spPr>
    </xdr:pic>
    <xdr:clientData/>
  </xdr:twoCellAnchor>
  <xdr:twoCellAnchor editAs="twoCell">
    <xdr:from>
      <xdr:col>0</xdr:col>
      <xdr:colOff>0</xdr:colOff>
      <xdr:row>59</xdr:row>
      <xdr:rowOff>0</xdr:rowOff>
    </xdr:from>
    <xdr:to>
      <xdr:col>0</xdr:col>
      <xdr:colOff>828000</xdr:colOff>
      <xdr:row>59</xdr:row>
      <xdr:rowOff>297000</xdr:rowOff>
    </xdr:to>
    <xdr:pic>
      <xdr:nvPicPr>
        <xdr:cNvPr id="1601" name="图片 63" descr="新品"/>
        <xdr:cNvPicPr/>
      </xdr:nvPicPr>
      <xdr:blipFill>
        <a:blip r:embed="rId142"/>
        <a:stretch/>
      </xdr:blipFill>
      <xdr:spPr>
        <a:xfrm>
          <a:off x="0" y="79489440"/>
          <a:ext cx="828000" cy="297000"/>
        </a:xfrm>
        <a:prstGeom prst="rect">
          <a:avLst/>
        </a:prstGeom>
        <a:noFill/>
        <a:ln w="9525">
          <a:noFill/>
        </a:ln>
      </xdr:spPr>
    </xdr:pic>
    <xdr:clientData/>
  </xdr:twoCellAnchor>
  <xdr:twoCellAnchor editAs="twoCell">
    <xdr:from>
      <xdr:col>0</xdr:col>
      <xdr:colOff>0</xdr:colOff>
      <xdr:row>58</xdr:row>
      <xdr:rowOff>0</xdr:rowOff>
    </xdr:from>
    <xdr:to>
      <xdr:col>0</xdr:col>
      <xdr:colOff>828000</xdr:colOff>
      <xdr:row>58</xdr:row>
      <xdr:rowOff>297000</xdr:rowOff>
    </xdr:to>
    <xdr:pic>
      <xdr:nvPicPr>
        <xdr:cNvPr id="1602" name="图片 63" descr="新品"/>
        <xdr:cNvPicPr/>
      </xdr:nvPicPr>
      <xdr:blipFill>
        <a:blip r:embed="rId143"/>
        <a:stretch/>
      </xdr:blipFill>
      <xdr:spPr>
        <a:xfrm>
          <a:off x="0" y="78028920"/>
          <a:ext cx="828000" cy="297000"/>
        </a:xfrm>
        <a:prstGeom prst="rect">
          <a:avLst/>
        </a:prstGeom>
        <a:noFill/>
        <a:ln w="9525">
          <a:noFill/>
        </a:ln>
      </xdr:spPr>
    </xdr:pic>
    <xdr:clientData/>
  </xdr:twoCellAnchor>
  <xdr:twoCellAnchor editAs="twoCell">
    <xdr:from>
      <xdr:col>0</xdr:col>
      <xdr:colOff>0</xdr:colOff>
      <xdr:row>57</xdr:row>
      <xdr:rowOff>0</xdr:rowOff>
    </xdr:from>
    <xdr:to>
      <xdr:col>0</xdr:col>
      <xdr:colOff>828000</xdr:colOff>
      <xdr:row>57</xdr:row>
      <xdr:rowOff>297000</xdr:rowOff>
    </xdr:to>
    <xdr:pic>
      <xdr:nvPicPr>
        <xdr:cNvPr id="1603" name="图片 63" descr="新品"/>
        <xdr:cNvPicPr/>
      </xdr:nvPicPr>
      <xdr:blipFill>
        <a:blip r:embed="rId144"/>
        <a:stretch/>
      </xdr:blipFill>
      <xdr:spPr>
        <a:xfrm>
          <a:off x="0" y="76568400"/>
          <a:ext cx="828000" cy="297000"/>
        </a:xfrm>
        <a:prstGeom prst="rect">
          <a:avLst/>
        </a:prstGeom>
        <a:noFill/>
        <a:ln w="9525">
          <a:noFill/>
        </a:ln>
      </xdr:spPr>
    </xdr:pic>
    <xdr:clientData/>
  </xdr:twoCellAnchor>
  <xdr:twoCellAnchor editAs="twoCell">
    <xdr:from>
      <xdr:col>0</xdr:col>
      <xdr:colOff>0</xdr:colOff>
      <xdr:row>56</xdr:row>
      <xdr:rowOff>0</xdr:rowOff>
    </xdr:from>
    <xdr:to>
      <xdr:col>0</xdr:col>
      <xdr:colOff>828000</xdr:colOff>
      <xdr:row>56</xdr:row>
      <xdr:rowOff>297000</xdr:rowOff>
    </xdr:to>
    <xdr:pic>
      <xdr:nvPicPr>
        <xdr:cNvPr id="1604" name="图片 63" descr="新品"/>
        <xdr:cNvPicPr/>
      </xdr:nvPicPr>
      <xdr:blipFill>
        <a:blip r:embed="rId145"/>
        <a:stretch/>
      </xdr:blipFill>
      <xdr:spPr>
        <a:xfrm>
          <a:off x="0" y="75107880"/>
          <a:ext cx="828000" cy="297000"/>
        </a:xfrm>
        <a:prstGeom prst="rect">
          <a:avLst/>
        </a:prstGeom>
        <a:noFill/>
        <a:ln w="9525">
          <a:noFill/>
        </a:ln>
      </xdr:spPr>
    </xdr:pic>
    <xdr:clientData/>
  </xdr:twoCellAnchor>
  <xdr:twoCellAnchor editAs="twoCell">
    <xdr:from>
      <xdr:col>0</xdr:col>
      <xdr:colOff>0</xdr:colOff>
      <xdr:row>55</xdr:row>
      <xdr:rowOff>0</xdr:rowOff>
    </xdr:from>
    <xdr:to>
      <xdr:col>0</xdr:col>
      <xdr:colOff>828000</xdr:colOff>
      <xdr:row>55</xdr:row>
      <xdr:rowOff>297000</xdr:rowOff>
    </xdr:to>
    <xdr:pic>
      <xdr:nvPicPr>
        <xdr:cNvPr id="1605" name="图片 63" descr="新品"/>
        <xdr:cNvPicPr/>
      </xdr:nvPicPr>
      <xdr:blipFill>
        <a:blip r:embed="rId146"/>
        <a:stretch/>
      </xdr:blipFill>
      <xdr:spPr>
        <a:xfrm>
          <a:off x="0" y="73647360"/>
          <a:ext cx="828000" cy="297000"/>
        </a:xfrm>
        <a:prstGeom prst="rect">
          <a:avLst/>
        </a:prstGeom>
        <a:noFill/>
        <a:ln w="9525">
          <a:noFill/>
        </a:ln>
      </xdr:spPr>
    </xdr:pic>
    <xdr:clientData/>
  </xdr:twoCellAnchor>
  <xdr:twoCellAnchor editAs="twoCell">
    <xdr:from>
      <xdr:col>0</xdr:col>
      <xdr:colOff>0</xdr:colOff>
      <xdr:row>54</xdr:row>
      <xdr:rowOff>0</xdr:rowOff>
    </xdr:from>
    <xdr:to>
      <xdr:col>0</xdr:col>
      <xdr:colOff>828000</xdr:colOff>
      <xdr:row>54</xdr:row>
      <xdr:rowOff>297000</xdr:rowOff>
    </xdr:to>
    <xdr:pic>
      <xdr:nvPicPr>
        <xdr:cNvPr id="1606" name="图片 63" descr="新品"/>
        <xdr:cNvPicPr/>
      </xdr:nvPicPr>
      <xdr:blipFill>
        <a:blip r:embed="rId147"/>
        <a:stretch/>
      </xdr:blipFill>
      <xdr:spPr>
        <a:xfrm>
          <a:off x="0" y="72186840"/>
          <a:ext cx="828000" cy="297000"/>
        </a:xfrm>
        <a:prstGeom prst="rect">
          <a:avLst/>
        </a:prstGeom>
        <a:noFill/>
        <a:ln w="9525">
          <a:noFill/>
        </a:ln>
      </xdr:spPr>
    </xdr:pic>
    <xdr:clientData/>
  </xdr:twoCellAnchor>
  <xdr:twoCellAnchor editAs="oneCell">
    <xdr:from>
      <xdr:col>2</xdr:col>
      <xdr:colOff>38160</xdr:colOff>
      <xdr:row>31</xdr:row>
      <xdr:rowOff>144000</xdr:rowOff>
    </xdr:from>
    <xdr:to>
      <xdr:col>2</xdr:col>
      <xdr:colOff>1208880</xdr:colOff>
      <xdr:row>31</xdr:row>
      <xdr:rowOff>1316160</xdr:rowOff>
    </xdr:to>
    <xdr:pic>
      <xdr:nvPicPr>
        <xdr:cNvPr id="1607" name="图片 58" descr="4"/>
        <xdr:cNvPicPr/>
      </xdr:nvPicPr>
      <xdr:blipFill>
        <a:blip r:embed="rId148"/>
        <a:stretch/>
      </xdr:blipFill>
      <xdr:spPr>
        <a:xfrm>
          <a:off x="5605920" y="39857040"/>
          <a:ext cx="1170720" cy="1172160"/>
        </a:xfrm>
        <a:prstGeom prst="rect">
          <a:avLst/>
        </a:prstGeom>
        <a:noFill/>
        <a:ln w="0">
          <a:noFill/>
        </a:ln>
      </xdr:spPr>
    </xdr:pic>
    <xdr:clientData/>
  </xdr:twoCellAnchor>
  <xdr:twoCellAnchor editAs="oneCell">
    <xdr:from>
      <xdr:col>1</xdr:col>
      <xdr:colOff>38160</xdr:colOff>
      <xdr:row>29</xdr:row>
      <xdr:rowOff>142200</xdr:rowOff>
    </xdr:from>
    <xdr:to>
      <xdr:col>1</xdr:col>
      <xdr:colOff>1208880</xdr:colOff>
      <xdr:row>29</xdr:row>
      <xdr:rowOff>1317600</xdr:rowOff>
    </xdr:to>
    <xdr:pic>
      <xdr:nvPicPr>
        <xdr:cNvPr id="1608" name="图片 59" descr="1"/>
        <xdr:cNvPicPr/>
      </xdr:nvPicPr>
      <xdr:blipFill>
        <a:blip r:embed="rId149"/>
        <a:stretch/>
      </xdr:blipFill>
      <xdr:spPr>
        <a:xfrm>
          <a:off x="4039920" y="36934200"/>
          <a:ext cx="1170720" cy="1175400"/>
        </a:xfrm>
        <a:prstGeom prst="rect">
          <a:avLst/>
        </a:prstGeom>
        <a:noFill/>
        <a:ln w="0">
          <a:noFill/>
        </a:ln>
      </xdr:spPr>
    </xdr:pic>
    <xdr:clientData/>
  </xdr:twoCellAnchor>
  <xdr:twoCellAnchor editAs="oneCell">
    <xdr:from>
      <xdr:col>2</xdr:col>
      <xdr:colOff>38160</xdr:colOff>
      <xdr:row>30</xdr:row>
      <xdr:rowOff>144000</xdr:rowOff>
    </xdr:from>
    <xdr:to>
      <xdr:col>2</xdr:col>
      <xdr:colOff>1208880</xdr:colOff>
      <xdr:row>30</xdr:row>
      <xdr:rowOff>1316160</xdr:rowOff>
    </xdr:to>
    <xdr:pic>
      <xdr:nvPicPr>
        <xdr:cNvPr id="1609" name="图片 60" descr="4"/>
        <xdr:cNvPicPr/>
      </xdr:nvPicPr>
      <xdr:blipFill>
        <a:blip r:embed="rId150"/>
        <a:stretch/>
      </xdr:blipFill>
      <xdr:spPr>
        <a:xfrm>
          <a:off x="5605920" y="38396520"/>
          <a:ext cx="1170720" cy="1172160"/>
        </a:xfrm>
        <a:prstGeom prst="rect">
          <a:avLst/>
        </a:prstGeom>
        <a:noFill/>
        <a:ln w="0">
          <a:noFill/>
        </a:ln>
      </xdr:spPr>
    </xdr:pic>
    <xdr:clientData/>
  </xdr:twoCellAnchor>
  <xdr:twoCellAnchor editAs="oneCell">
    <xdr:from>
      <xdr:col>2</xdr:col>
      <xdr:colOff>38160</xdr:colOff>
      <xdr:row>29</xdr:row>
      <xdr:rowOff>144360</xdr:rowOff>
    </xdr:from>
    <xdr:to>
      <xdr:col>2</xdr:col>
      <xdr:colOff>1208880</xdr:colOff>
      <xdr:row>29</xdr:row>
      <xdr:rowOff>1315080</xdr:rowOff>
    </xdr:to>
    <xdr:pic>
      <xdr:nvPicPr>
        <xdr:cNvPr id="1610" name="图片 61" descr="3"/>
        <xdr:cNvPicPr/>
      </xdr:nvPicPr>
      <xdr:blipFill>
        <a:blip r:embed="rId151"/>
        <a:stretch/>
      </xdr:blipFill>
      <xdr:spPr>
        <a:xfrm>
          <a:off x="5605920" y="36936360"/>
          <a:ext cx="1170720" cy="1170720"/>
        </a:xfrm>
        <a:prstGeom prst="rect">
          <a:avLst/>
        </a:prstGeom>
        <a:noFill/>
        <a:ln w="0">
          <a:noFill/>
        </a:ln>
      </xdr:spPr>
    </xdr:pic>
    <xdr:clientData/>
  </xdr:twoCellAnchor>
  <xdr:twoCellAnchor editAs="oneCell">
    <xdr:from>
      <xdr:col>1</xdr:col>
      <xdr:colOff>38160</xdr:colOff>
      <xdr:row>31</xdr:row>
      <xdr:rowOff>142200</xdr:rowOff>
    </xdr:from>
    <xdr:to>
      <xdr:col>1</xdr:col>
      <xdr:colOff>1208880</xdr:colOff>
      <xdr:row>31</xdr:row>
      <xdr:rowOff>1317600</xdr:rowOff>
    </xdr:to>
    <xdr:pic>
      <xdr:nvPicPr>
        <xdr:cNvPr id="1611" name="图片 62" descr="1"/>
        <xdr:cNvPicPr/>
      </xdr:nvPicPr>
      <xdr:blipFill>
        <a:blip r:embed="rId152"/>
        <a:stretch/>
      </xdr:blipFill>
      <xdr:spPr>
        <a:xfrm>
          <a:off x="4039920" y="39855240"/>
          <a:ext cx="1170720" cy="1175400"/>
        </a:xfrm>
        <a:prstGeom prst="rect">
          <a:avLst/>
        </a:prstGeom>
        <a:noFill/>
        <a:ln w="0">
          <a:noFill/>
        </a:ln>
      </xdr:spPr>
    </xdr:pic>
    <xdr:clientData/>
  </xdr:twoCellAnchor>
  <xdr:twoCellAnchor editAs="oneCell">
    <xdr:from>
      <xdr:col>1</xdr:col>
      <xdr:colOff>38160</xdr:colOff>
      <xdr:row>30</xdr:row>
      <xdr:rowOff>142200</xdr:rowOff>
    </xdr:from>
    <xdr:to>
      <xdr:col>1</xdr:col>
      <xdr:colOff>1208880</xdr:colOff>
      <xdr:row>30</xdr:row>
      <xdr:rowOff>1317600</xdr:rowOff>
    </xdr:to>
    <xdr:pic>
      <xdr:nvPicPr>
        <xdr:cNvPr id="1612" name="图片 63" descr="1"/>
        <xdr:cNvPicPr/>
      </xdr:nvPicPr>
      <xdr:blipFill>
        <a:blip r:embed="rId153"/>
        <a:stretch/>
      </xdr:blipFill>
      <xdr:spPr>
        <a:xfrm>
          <a:off x="4039920" y="38394720"/>
          <a:ext cx="1170720" cy="1175400"/>
        </a:xfrm>
        <a:prstGeom prst="rect">
          <a:avLst/>
        </a:prstGeom>
        <a:noFill/>
        <a:ln w="0">
          <a:noFill/>
        </a:ln>
      </xdr:spPr>
    </xdr:pic>
    <xdr:clientData/>
  </xdr:twoCellAnchor>
  <xdr:twoCellAnchor editAs="oneCell">
    <xdr:from>
      <xdr:col>1</xdr:col>
      <xdr:colOff>38160</xdr:colOff>
      <xdr:row>35</xdr:row>
      <xdr:rowOff>142200</xdr:rowOff>
    </xdr:from>
    <xdr:to>
      <xdr:col>1</xdr:col>
      <xdr:colOff>1208880</xdr:colOff>
      <xdr:row>35</xdr:row>
      <xdr:rowOff>1317600</xdr:rowOff>
    </xdr:to>
    <xdr:pic>
      <xdr:nvPicPr>
        <xdr:cNvPr id="1613" name="图片 64" descr="BF10-iP16&amp;15&amp;16-Plus&amp;15-Plus-1"/>
        <xdr:cNvPicPr/>
      </xdr:nvPicPr>
      <xdr:blipFill>
        <a:blip r:embed="rId154"/>
        <a:stretch/>
      </xdr:blipFill>
      <xdr:spPr>
        <a:xfrm>
          <a:off x="4039920" y="45696960"/>
          <a:ext cx="1170720" cy="1175400"/>
        </a:xfrm>
        <a:prstGeom prst="rect">
          <a:avLst/>
        </a:prstGeom>
        <a:noFill/>
        <a:ln w="0">
          <a:noFill/>
        </a:ln>
      </xdr:spPr>
    </xdr:pic>
    <xdr:clientData/>
  </xdr:twoCellAnchor>
  <xdr:twoCellAnchor editAs="oneCell">
    <xdr:from>
      <xdr:col>2</xdr:col>
      <xdr:colOff>38160</xdr:colOff>
      <xdr:row>35</xdr:row>
      <xdr:rowOff>144000</xdr:rowOff>
    </xdr:from>
    <xdr:to>
      <xdr:col>2</xdr:col>
      <xdr:colOff>1208880</xdr:colOff>
      <xdr:row>35</xdr:row>
      <xdr:rowOff>1316160</xdr:rowOff>
    </xdr:to>
    <xdr:pic>
      <xdr:nvPicPr>
        <xdr:cNvPr id="1614" name="图片 65" descr="BF10-iP16&amp;15&amp;16-Plus&amp;15-Plus-3"/>
        <xdr:cNvPicPr/>
      </xdr:nvPicPr>
      <xdr:blipFill>
        <a:blip r:embed="rId155"/>
        <a:stretch/>
      </xdr:blipFill>
      <xdr:spPr>
        <a:xfrm>
          <a:off x="5605920" y="45698760"/>
          <a:ext cx="1170720" cy="1172160"/>
        </a:xfrm>
        <a:prstGeom prst="rect">
          <a:avLst/>
        </a:prstGeom>
        <a:noFill/>
        <a:ln w="0">
          <a:noFill/>
        </a:ln>
      </xdr:spPr>
    </xdr:pic>
    <xdr:clientData/>
  </xdr:twoCellAnchor>
  <xdr:twoCellAnchor editAs="oneCell">
    <xdr:from>
      <xdr:col>2</xdr:col>
      <xdr:colOff>38160</xdr:colOff>
      <xdr:row>36</xdr:row>
      <xdr:rowOff>144000</xdr:rowOff>
    </xdr:from>
    <xdr:to>
      <xdr:col>2</xdr:col>
      <xdr:colOff>1208880</xdr:colOff>
      <xdr:row>36</xdr:row>
      <xdr:rowOff>1316160</xdr:rowOff>
    </xdr:to>
    <xdr:pic>
      <xdr:nvPicPr>
        <xdr:cNvPr id="1615" name="图片 66" descr="BF10-iP16&amp;15&amp;16-Plus&amp;15-Plus-4"/>
        <xdr:cNvPicPr/>
      </xdr:nvPicPr>
      <xdr:blipFill>
        <a:blip r:embed="rId156"/>
        <a:stretch/>
      </xdr:blipFill>
      <xdr:spPr>
        <a:xfrm>
          <a:off x="5605920" y="47159280"/>
          <a:ext cx="1170720" cy="1172160"/>
        </a:xfrm>
        <a:prstGeom prst="rect">
          <a:avLst/>
        </a:prstGeom>
        <a:noFill/>
        <a:ln w="0">
          <a:noFill/>
        </a:ln>
      </xdr:spPr>
    </xdr:pic>
    <xdr:clientData/>
  </xdr:twoCellAnchor>
  <xdr:twoCellAnchor editAs="oneCell">
    <xdr:from>
      <xdr:col>2</xdr:col>
      <xdr:colOff>38160</xdr:colOff>
      <xdr:row>37</xdr:row>
      <xdr:rowOff>142200</xdr:rowOff>
    </xdr:from>
    <xdr:to>
      <xdr:col>2</xdr:col>
      <xdr:colOff>1208880</xdr:colOff>
      <xdr:row>37</xdr:row>
      <xdr:rowOff>1317600</xdr:rowOff>
    </xdr:to>
    <xdr:pic>
      <xdr:nvPicPr>
        <xdr:cNvPr id="1616" name="图片 67" descr="BF10-iP17&amp;16-Pro&amp;16-Pro-Max-4"/>
        <xdr:cNvPicPr/>
      </xdr:nvPicPr>
      <xdr:blipFill>
        <a:blip r:embed="rId157"/>
        <a:stretch/>
      </xdr:blipFill>
      <xdr:spPr>
        <a:xfrm>
          <a:off x="5605920" y="48618000"/>
          <a:ext cx="1170720" cy="1175400"/>
        </a:xfrm>
        <a:prstGeom prst="rect">
          <a:avLst/>
        </a:prstGeom>
        <a:noFill/>
        <a:ln w="0">
          <a:noFill/>
        </a:ln>
      </xdr:spPr>
    </xdr:pic>
    <xdr:clientData/>
  </xdr:twoCellAnchor>
  <xdr:twoCellAnchor editAs="oneCell">
    <xdr:from>
      <xdr:col>1</xdr:col>
      <xdr:colOff>38160</xdr:colOff>
      <xdr:row>36</xdr:row>
      <xdr:rowOff>142200</xdr:rowOff>
    </xdr:from>
    <xdr:to>
      <xdr:col>1</xdr:col>
      <xdr:colOff>1208880</xdr:colOff>
      <xdr:row>36</xdr:row>
      <xdr:rowOff>1317600</xdr:rowOff>
    </xdr:to>
    <xdr:pic>
      <xdr:nvPicPr>
        <xdr:cNvPr id="1617" name="图片 68" descr="BF10-iP16&amp;15&amp;16-Plus&amp;15-Plus-1"/>
        <xdr:cNvPicPr/>
      </xdr:nvPicPr>
      <xdr:blipFill>
        <a:blip r:embed="rId158"/>
        <a:stretch/>
      </xdr:blipFill>
      <xdr:spPr>
        <a:xfrm>
          <a:off x="4039920" y="47157480"/>
          <a:ext cx="1170720" cy="1175400"/>
        </a:xfrm>
        <a:prstGeom prst="rect">
          <a:avLst/>
        </a:prstGeom>
        <a:noFill/>
        <a:ln w="0">
          <a:noFill/>
        </a:ln>
      </xdr:spPr>
    </xdr:pic>
    <xdr:clientData/>
  </xdr:twoCellAnchor>
  <xdr:twoCellAnchor editAs="oneCell">
    <xdr:from>
      <xdr:col>1</xdr:col>
      <xdr:colOff>38160</xdr:colOff>
      <xdr:row>37</xdr:row>
      <xdr:rowOff>142200</xdr:rowOff>
    </xdr:from>
    <xdr:to>
      <xdr:col>1</xdr:col>
      <xdr:colOff>1208880</xdr:colOff>
      <xdr:row>37</xdr:row>
      <xdr:rowOff>1317600</xdr:rowOff>
    </xdr:to>
    <xdr:pic>
      <xdr:nvPicPr>
        <xdr:cNvPr id="1618" name="图片 69" descr="BF10-iP17&amp;16-Pro&amp;16-Pro-Max-1"/>
        <xdr:cNvPicPr/>
      </xdr:nvPicPr>
      <xdr:blipFill>
        <a:blip r:embed="rId159"/>
        <a:stretch/>
      </xdr:blipFill>
      <xdr:spPr>
        <a:xfrm>
          <a:off x="4039920" y="48618000"/>
          <a:ext cx="1170720" cy="1175400"/>
        </a:xfrm>
        <a:prstGeom prst="rect">
          <a:avLst/>
        </a:prstGeom>
        <a:noFill/>
        <a:ln w="0">
          <a:noFill/>
        </a:ln>
      </xdr:spPr>
    </xdr:pic>
    <xdr:clientData/>
  </xdr:twoCellAnchor>
  <xdr:twoCellAnchor editAs="oneCell">
    <xdr:from>
      <xdr:col>2</xdr:col>
      <xdr:colOff>38160</xdr:colOff>
      <xdr:row>34</xdr:row>
      <xdr:rowOff>144360</xdr:rowOff>
    </xdr:from>
    <xdr:to>
      <xdr:col>2</xdr:col>
      <xdr:colOff>1208880</xdr:colOff>
      <xdr:row>34</xdr:row>
      <xdr:rowOff>1315080</xdr:rowOff>
    </xdr:to>
    <xdr:pic>
      <xdr:nvPicPr>
        <xdr:cNvPr id="1619" name="图片 70" descr="4"/>
        <xdr:cNvPicPr/>
      </xdr:nvPicPr>
      <xdr:blipFill>
        <a:blip r:embed="rId160"/>
        <a:stretch/>
      </xdr:blipFill>
      <xdr:spPr>
        <a:xfrm>
          <a:off x="5605920" y="44238600"/>
          <a:ext cx="1170720" cy="1170720"/>
        </a:xfrm>
        <a:prstGeom prst="rect">
          <a:avLst/>
        </a:prstGeom>
        <a:noFill/>
        <a:ln w="0">
          <a:noFill/>
        </a:ln>
      </xdr:spPr>
    </xdr:pic>
    <xdr:clientData/>
  </xdr:twoCellAnchor>
  <xdr:twoCellAnchor editAs="oneCell">
    <xdr:from>
      <xdr:col>1</xdr:col>
      <xdr:colOff>38160</xdr:colOff>
      <xdr:row>34</xdr:row>
      <xdr:rowOff>142200</xdr:rowOff>
    </xdr:from>
    <xdr:to>
      <xdr:col>1</xdr:col>
      <xdr:colOff>1208880</xdr:colOff>
      <xdr:row>34</xdr:row>
      <xdr:rowOff>1317600</xdr:rowOff>
    </xdr:to>
    <xdr:pic>
      <xdr:nvPicPr>
        <xdr:cNvPr id="1620" name="图片 71" descr="1"/>
        <xdr:cNvPicPr/>
      </xdr:nvPicPr>
      <xdr:blipFill>
        <a:blip r:embed="rId161"/>
        <a:stretch/>
      </xdr:blipFill>
      <xdr:spPr>
        <a:xfrm>
          <a:off x="4039920" y="44236440"/>
          <a:ext cx="1170720" cy="1175400"/>
        </a:xfrm>
        <a:prstGeom prst="rect">
          <a:avLst/>
        </a:prstGeom>
        <a:noFill/>
        <a:ln w="0">
          <a:noFill/>
        </a:ln>
      </xdr:spPr>
    </xdr:pic>
    <xdr:clientData/>
  </xdr:twoCellAnchor>
  <xdr:twoCellAnchor editAs="oneCell">
    <xdr:from>
      <xdr:col>1</xdr:col>
      <xdr:colOff>38160</xdr:colOff>
      <xdr:row>32</xdr:row>
      <xdr:rowOff>142200</xdr:rowOff>
    </xdr:from>
    <xdr:to>
      <xdr:col>1</xdr:col>
      <xdr:colOff>1208880</xdr:colOff>
      <xdr:row>32</xdr:row>
      <xdr:rowOff>1317600</xdr:rowOff>
    </xdr:to>
    <xdr:pic>
      <xdr:nvPicPr>
        <xdr:cNvPr id="1621" name="图片 72" descr="1"/>
        <xdr:cNvPicPr/>
      </xdr:nvPicPr>
      <xdr:blipFill>
        <a:blip r:embed="rId162"/>
        <a:stretch/>
      </xdr:blipFill>
      <xdr:spPr>
        <a:xfrm>
          <a:off x="4039920" y="41315760"/>
          <a:ext cx="1170720" cy="1175400"/>
        </a:xfrm>
        <a:prstGeom prst="rect">
          <a:avLst/>
        </a:prstGeom>
        <a:noFill/>
        <a:ln w="0">
          <a:noFill/>
        </a:ln>
      </xdr:spPr>
    </xdr:pic>
    <xdr:clientData/>
  </xdr:twoCellAnchor>
  <xdr:twoCellAnchor editAs="oneCell">
    <xdr:from>
      <xdr:col>2</xdr:col>
      <xdr:colOff>38160</xdr:colOff>
      <xdr:row>32</xdr:row>
      <xdr:rowOff>144360</xdr:rowOff>
    </xdr:from>
    <xdr:to>
      <xdr:col>2</xdr:col>
      <xdr:colOff>1208880</xdr:colOff>
      <xdr:row>32</xdr:row>
      <xdr:rowOff>1315080</xdr:rowOff>
    </xdr:to>
    <xdr:pic>
      <xdr:nvPicPr>
        <xdr:cNvPr id="1622" name="图片 73" descr="3"/>
        <xdr:cNvPicPr/>
      </xdr:nvPicPr>
      <xdr:blipFill>
        <a:blip r:embed="rId163"/>
        <a:stretch/>
      </xdr:blipFill>
      <xdr:spPr>
        <a:xfrm>
          <a:off x="5605920" y="41317920"/>
          <a:ext cx="1170720" cy="1170720"/>
        </a:xfrm>
        <a:prstGeom prst="rect">
          <a:avLst/>
        </a:prstGeom>
        <a:noFill/>
        <a:ln w="0">
          <a:noFill/>
        </a:ln>
      </xdr:spPr>
    </xdr:pic>
    <xdr:clientData/>
  </xdr:twoCellAnchor>
  <xdr:twoCellAnchor editAs="oneCell">
    <xdr:from>
      <xdr:col>2</xdr:col>
      <xdr:colOff>38160</xdr:colOff>
      <xdr:row>33</xdr:row>
      <xdr:rowOff>144000</xdr:rowOff>
    </xdr:from>
    <xdr:to>
      <xdr:col>2</xdr:col>
      <xdr:colOff>1208880</xdr:colOff>
      <xdr:row>33</xdr:row>
      <xdr:rowOff>1316160</xdr:rowOff>
    </xdr:to>
    <xdr:pic>
      <xdr:nvPicPr>
        <xdr:cNvPr id="1623" name="图片 74" descr="4"/>
        <xdr:cNvPicPr/>
      </xdr:nvPicPr>
      <xdr:blipFill>
        <a:blip r:embed="rId164"/>
        <a:stretch/>
      </xdr:blipFill>
      <xdr:spPr>
        <a:xfrm>
          <a:off x="5605920" y="42778080"/>
          <a:ext cx="1170720" cy="1172160"/>
        </a:xfrm>
        <a:prstGeom prst="rect">
          <a:avLst/>
        </a:prstGeom>
        <a:noFill/>
        <a:ln w="0">
          <a:noFill/>
        </a:ln>
      </xdr:spPr>
    </xdr:pic>
    <xdr:clientData/>
  </xdr:twoCellAnchor>
  <xdr:twoCellAnchor editAs="oneCell">
    <xdr:from>
      <xdr:col>1</xdr:col>
      <xdr:colOff>38160</xdr:colOff>
      <xdr:row>33</xdr:row>
      <xdr:rowOff>142200</xdr:rowOff>
    </xdr:from>
    <xdr:to>
      <xdr:col>1</xdr:col>
      <xdr:colOff>1208880</xdr:colOff>
      <xdr:row>33</xdr:row>
      <xdr:rowOff>1317600</xdr:rowOff>
    </xdr:to>
    <xdr:pic>
      <xdr:nvPicPr>
        <xdr:cNvPr id="1624" name="图片 75" descr="1"/>
        <xdr:cNvPicPr/>
      </xdr:nvPicPr>
      <xdr:blipFill>
        <a:blip r:embed="rId165"/>
        <a:stretch/>
      </xdr:blipFill>
      <xdr:spPr>
        <a:xfrm>
          <a:off x="4039920" y="42776280"/>
          <a:ext cx="1170720" cy="1175400"/>
        </a:xfrm>
        <a:prstGeom prst="rect">
          <a:avLst/>
        </a:prstGeom>
        <a:noFill/>
        <a:ln w="0">
          <a:noFill/>
        </a:ln>
      </xdr:spPr>
    </xdr:pic>
    <xdr:clientData/>
  </xdr:twoCellAnchor>
  <xdr:twoCellAnchor editAs="oneCell">
    <xdr:from>
      <xdr:col>1</xdr:col>
      <xdr:colOff>38160</xdr:colOff>
      <xdr:row>38</xdr:row>
      <xdr:rowOff>141840</xdr:rowOff>
    </xdr:from>
    <xdr:to>
      <xdr:col>1</xdr:col>
      <xdr:colOff>1208880</xdr:colOff>
      <xdr:row>38</xdr:row>
      <xdr:rowOff>1317960</xdr:rowOff>
    </xdr:to>
    <xdr:pic>
      <xdr:nvPicPr>
        <xdr:cNvPr id="1625" name="图片 76" descr="BF9-iP16&amp;15&amp;16-Plus&amp;15-Plus-1"/>
        <xdr:cNvPicPr/>
      </xdr:nvPicPr>
      <xdr:blipFill>
        <a:blip r:embed="rId166"/>
        <a:stretch/>
      </xdr:blipFill>
      <xdr:spPr>
        <a:xfrm>
          <a:off x="4039920" y="50078160"/>
          <a:ext cx="1170720" cy="1176120"/>
        </a:xfrm>
        <a:prstGeom prst="rect">
          <a:avLst/>
        </a:prstGeom>
        <a:noFill/>
        <a:ln w="0">
          <a:noFill/>
        </a:ln>
      </xdr:spPr>
    </xdr:pic>
    <xdr:clientData/>
  </xdr:twoCellAnchor>
  <xdr:twoCellAnchor editAs="oneCell">
    <xdr:from>
      <xdr:col>2</xdr:col>
      <xdr:colOff>38160</xdr:colOff>
      <xdr:row>38</xdr:row>
      <xdr:rowOff>142200</xdr:rowOff>
    </xdr:from>
    <xdr:to>
      <xdr:col>2</xdr:col>
      <xdr:colOff>1208880</xdr:colOff>
      <xdr:row>38</xdr:row>
      <xdr:rowOff>1317600</xdr:rowOff>
    </xdr:to>
    <xdr:pic>
      <xdr:nvPicPr>
        <xdr:cNvPr id="1626" name="图片 77" descr="BF9-iP16&amp;15&amp;16-Plus&amp;15-Plus-3"/>
        <xdr:cNvPicPr/>
      </xdr:nvPicPr>
      <xdr:blipFill>
        <a:blip r:embed="rId167"/>
        <a:stretch/>
      </xdr:blipFill>
      <xdr:spPr>
        <a:xfrm>
          <a:off x="5605920" y="50078520"/>
          <a:ext cx="1170720" cy="1175400"/>
        </a:xfrm>
        <a:prstGeom prst="rect">
          <a:avLst/>
        </a:prstGeom>
        <a:noFill/>
        <a:ln w="0">
          <a:noFill/>
        </a:ln>
      </xdr:spPr>
    </xdr:pic>
    <xdr:clientData/>
  </xdr:twoCellAnchor>
  <xdr:twoCellAnchor editAs="oneCell">
    <xdr:from>
      <xdr:col>2</xdr:col>
      <xdr:colOff>38160</xdr:colOff>
      <xdr:row>39</xdr:row>
      <xdr:rowOff>144360</xdr:rowOff>
    </xdr:from>
    <xdr:to>
      <xdr:col>2</xdr:col>
      <xdr:colOff>1208880</xdr:colOff>
      <xdr:row>39</xdr:row>
      <xdr:rowOff>1315080</xdr:rowOff>
    </xdr:to>
    <xdr:pic>
      <xdr:nvPicPr>
        <xdr:cNvPr id="1627" name="图片 78" descr="BF9-iP16&amp;15&amp;16-Plus&amp;15-Plus-4"/>
        <xdr:cNvPicPr/>
      </xdr:nvPicPr>
      <xdr:blipFill>
        <a:blip r:embed="rId168"/>
        <a:stretch/>
      </xdr:blipFill>
      <xdr:spPr>
        <a:xfrm>
          <a:off x="5605920" y="51541200"/>
          <a:ext cx="1170720" cy="1170720"/>
        </a:xfrm>
        <a:prstGeom prst="rect">
          <a:avLst/>
        </a:prstGeom>
        <a:noFill/>
        <a:ln w="0">
          <a:noFill/>
        </a:ln>
      </xdr:spPr>
    </xdr:pic>
    <xdr:clientData/>
  </xdr:twoCellAnchor>
  <xdr:twoCellAnchor editAs="oneCell">
    <xdr:from>
      <xdr:col>1</xdr:col>
      <xdr:colOff>38160</xdr:colOff>
      <xdr:row>39</xdr:row>
      <xdr:rowOff>142200</xdr:rowOff>
    </xdr:from>
    <xdr:to>
      <xdr:col>1</xdr:col>
      <xdr:colOff>1208880</xdr:colOff>
      <xdr:row>39</xdr:row>
      <xdr:rowOff>1317600</xdr:rowOff>
    </xdr:to>
    <xdr:pic>
      <xdr:nvPicPr>
        <xdr:cNvPr id="1628" name="图片 79" descr="BF9-iP16&amp;15&amp;16-Plus&amp;15-Plus-1"/>
        <xdr:cNvPicPr/>
      </xdr:nvPicPr>
      <xdr:blipFill>
        <a:blip r:embed="rId169"/>
        <a:stretch/>
      </xdr:blipFill>
      <xdr:spPr>
        <a:xfrm>
          <a:off x="4039920" y="51539040"/>
          <a:ext cx="1170720" cy="1175400"/>
        </a:xfrm>
        <a:prstGeom prst="rect">
          <a:avLst/>
        </a:prstGeom>
        <a:noFill/>
        <a:ln w="0">
          <a:noFill/>
        </a:ln>
      </xdr:spPr>
    </xdr:pic>
    <xdr:clientData/>
  </xdr:twoCellAnchor>
  <xdr:twoCellAnchor editAs="oneCell">
    <xdr:from>
      <xdr:col>2</xdr:col>
      <xdr:colOff>38160</xdr:colOff>
      <xdr:row>40</xdr:row>
      <xdr:rowOff>142920</xdr:rowOff>
    </xdr:from>
    <xdr:to>
      <xdr:col>2</xdr:col>
      <xdr:colOff>1208880</xdr:colOff>
      <xdr:row>40</xdr:row>
      <xdr:rowOff>1316520</xdr:rowOff>
    </xdr:to>
    <xdr:pic>
      <xdr:nvPicPr>
        <xdr:cNvPr id="1629" name="图片 80" descr="BF9-iP17&amp;16-Pro&amp;16-Pro-Max-4"/>
        <xdr:cNvPicPr/>
      </xdr:nvPicPr>
      <xdr:blipFill>
        <a:blip r:embed="rId170"/>
        <a:stretch/>
      </xdr:blipFill>
      <xdr:spPr>
        <a:xfrm>
          <a:off x="5605920" y="53000280"/>
          <a:ext cx="1170720" cy="1173600"/>
        </a:xfrm>
        <a:prstGeom prst="rect">
          <a:avLst/>
        </a:prstGeom>
        <a:noFill/>
        <a:ln w="0">
          <a:noFill/>
        </a:ln>
      </xdr:spPr>
    </xdr:pic>
    <xdr:clientData/>
  </xdr:twoCellAnchor>
  <xdr:twoCellAnchor editAs="oneCell">
    <xdr:from>
      <xdr:col>1</xdr:col>
      <xdr:colOff>38160</xdr:colOff>
      <xdr:row>40</xdr:row>
      <xdr:rowOff>144000</xdr:rowOff>
    </xdr:from>
    <xdr:to>
      <xdr:col>1</xdr:col>
      <xdr:colOff>1208880</xdr:colOff>
      <xdr:row>40</xdr:row>
      <xdr:rowOff>1316160</xdr:rowOff>
    </xdr:to>
    <xdr:pic>
      <xdr:nvPicPr>
        <xdr:cNvPr id="1630" name="图片 81" descr="BF9-iP17&amp;16-Pro&amp;16-Pro-Max-1"/>
        <xdr:cNvPicPr/>
      </xdr:nvPicPr>
      <xdr:blipFill>
        <a:blip r:embed="rId171"/>
        <a:stretch/>
      </xdr:blipFill>
      <xdr:spPr>
        <a:xfrm>
          <a:off x="4039920" y="53001360"/>
          <a:ext cx="1170720" cy="1172160"/>
        </a:xfrm>
        <a:prstGeom prst="rect">
          <a:avLst/>
        </a:prstGeom>
        <a:noFill/>
        <a:ln w="0">
          <a:noFill/>
        </a:ln>
      </xdr:spPr>
    </xdr:pic>
    <xdr:clientData/>
  </xdr:twoCellAnchor>
  <xdr:twoCellAnchor editAs="twoCell">
    <xdr:from>
      <xdr:col>0</xdr:col>
      <xdr:colOff>0</xdr:colOff>
      <xdr:row>40</xdr:row>
      <xdr:rowOff>0</xdr:rowOff>
    </xdr:from>
    <xdr:to>
      <xdr:col>0</xdr:col>
      <xdr:colOff>828000</xdr:colOff>
      <xdr:row>40</xdr:row>
      <xdr:rowOff>297000</xdr:rowOff>
    </xdr:to>
    <xdr:pic>
      <xdr:nvPicPr>
        <xdr:cNvPr id="1631" name="图片 63" descr="新品"/>
        <xdr:cNvPicPr/>
      </xdr:nvPicPr>
      <xdr:blipFill>
        <a:blip r:embed="rId172"/>
        <a:stretch/>
      </xdr:blipFill>
      <xdr:spPr>
        <a:xfrm>
          <a:off x="0" y="52857360"/>
          <a:ext cx="828000" cy="297000"/>
        </a:xfrm>
        <a:prstGeom prst="rect">
          <a:avLst/>
        </a:prstGeom>
        <a:noFill/>
        <a:ln w="9525">
          <a:noFill/>
        </a:ln>
      </xdr:spPr>
    </xdr:pic>
    <xdr:clientData/>
  </xdr:twoCellAnchor>
  <xdr:twoCellAnchor editAs="twoCell">
    <xdr:from>
      <xdr:col>0</xdr:col>
      <xdr:colOff>0</xdr:colOff>
      <xdr:row>39</xdr:row>
      <xdr:rowOff>0</xdr:rowOff>
    </xdr:from>
    <xdr:to>
      <xdr:col>0</xdr:col>
      <xdr:colOff>828000</xdr:colOff>
      <xdr:row>39</xdr:row>
      <xdr:rowOff>297000</xdr:rowOff>
    </xdr:to>
    <xdr:pic>
      <xdr:nvPicPr>
        <xdr:cNvPr id="1632" name="图片 63" descr="新品"/>
        <xdr:cNvPicPr/>
      </xdr:nvPicPr>
      <xdr:blipFill>
        <a:blip r:embed="rId173"/>
        <a:stretch/>
      </xdr:blipFill>
      <xdr:spPr>
        <a:xfrm>
          <a:off x="0" y="51396840"/>
          <a:ext cx="828000" cy="297000"/>
        </a:xfrm>
        <a:prstGeom prst="rect">
          <a:avLst/>
        </a:prstGeom>
        <a:noFill/>
        <a:ln w="9525">
          <a:noFill/>
        </a:ln>
      </xdr:spPr>
    </xdr:pic>
    <xdr:clientData/>
  </xdr:twoCellAnchor>
  <xdr:twoCellAnchor editAs="twoCell">
    <xdr:from>
      <xdr:col>0</xdr:col>
      <xdr:colOff>0</xdr:colOff>
      <xdr:row>38</xdr:row>
      <xdr:rowOff>0</xdr:rowOff>
    </xdr:from>
    <xdr:to>
      <xdr:col>0</xdr:col>
      <xdr:colOff>828000</xdr:colOff>
      <xdr:row>38</xdr:row>
      <xdr:rowOff>297000</xdr:rowOff>
    </xdr:to>
    <xdr:pic>
      <xdr:nvPicPr>
        <xdr:cNvPr id="1633" name="图片 63" descr="新品"/>
        <xdr:cNvPicPr/>
      </xdr:nvPicPr>
      <xdr:blipFill>
        <a:blip r:embed="rId174"/>
        <a:stretch/>
      </xdr:blipFill>
      <xdr:spPr>
        <a:xfrm>
          <a:off x="0" y="49936320"/>
          <a:ext cx="828000" cy="297000"/>
        </a:xfrm>
        <a:prstGeom prst="rect">
          <a:avLst/>
        </a:prstGeom>
        <a:noFill/>
        <a:ln w="9525">
          <a:noFill/>
        </a:ln>
      </xdr:spPr>
    </xdr:pic>
    <xdr:clientData/>
  </xdr:twoCellAnchor>
  <xdr:twoCellAnchor editAs="twoCell">
    <xdr:from>
      <xdr:col>0</xdr:col>
      <xdr:colOff>0</xdr:colOff>
      <xdr:row>37</xdr:row>
      <xdr:rowOff>0</xdr:rowOff>
    </xdr:from>
    <xdr:to>
      <xdr:col>0</xdr:col>
      <xdr:colOff>828000</xdr:colOff>
      <xdr:row>37</xdr:row>
      <xdr:rowOff>297000</xdr:rowOff>
    </xdr:to>
    <xdr:pic>
      <xdr:nvPicPr>
        <xdr:cNvPr id="1634" name="图片 63" descr="新品"/>
        <xdr:cNvPicPr/>
      </xdr:nvPicPr>
      <xdr:blipFill>
        <a:blip r:embed="rId175"/>
        <a:stretch/>
      </xdr:blipFill>
      <xdr:spPr>
        <a:xfrm>
          <a:off x="0" y="48475800"/>
          <a:ext cx="828000" cy="297000"/>
        </a:xfrm>
        <a:prstGeom prst="rect">
          <a:avLst/>
        </a:prstGeom>
        <a:noFill/>
        <a:ln w="9525">
          <a:noFill/>
        </a:ln>
      </xdr:spPr>
    </xdr:pic>
    <xdr:clientData/>
  </xdr:twoCellAnchor>
  <xdr:twoCellAnchor editAs="twoCell">
    <xdr:from>
      <xdr:col>0</xdr:col>
      <xdr:colOff>0</xdr:colOff>
      <xdr:row>36</xdr:row>
      <xdr:rowOff>0</xdr:rowOff>
    </xdr:from>
    <xdr:to>
      <xdr:col>0</xdr:col>
      <xdr:colOff>828000</xdr:colOff>
      <xdr:row>36</xdr:row>
      <xdr:rowOff>297000</xdr:rowOff>
    </xdr:to>
    <xdr:pic>
      <xdr:nvPicPr>
        <xdr:cNvPr id="1635" name="图片 63" descr="新品"/>
        <xdr:cNvPicPr/>
      </xdr:nvPicPr>
      <xdr:blipFill>
        <a:blip r:embed="rId176"/>
        <a:stretch/>
      </xdr:blipFill>
      <xdr:spPr>
        <a:xfrm>
          <a:off x="0" y="47015280"/>
          <a:ext cx="828000" cy="297000"/>
        </a:xfrm>
        <a:prstGeom prst="rect">
          <a:avLst/>
        </a:prstGeom>
        <a:noFill/>
        <a:ln w="9525">
          <a:noFill/>
        </a:ln>
      </xdr:spPr>
    </xdr:pic>
    <xdr:clientData/>
  </xdr:twoCellAnchor>
  <xdr:twoCellAnchor editAs="twoCell">
    <xdr:from>
      <xdr:col>0</xdr:col>
      <xdr:colOff>0</xdr:colOff>
      <xdr:row>35</xdr:row>
      <xdr:rowOff>0</xdr:rowOff>
    </xdr:from>
    <xdr:to>
      <xdr:col>0</xdr:col>
      <xdr:colOff>828000</xdr:colOff>
      <xdr:row>35</xdr:row>
      <xdr:rowOff>297000</xdr:rowOff>
    </xdr:to>
    <xdr:pic>
      <xdr:nvPicPr>
        <xdr:cNvPr id="1636" name="图片 63" descr="新品"/>
        <xdr:cNvPicPr/>
      </xdr:nvPicPr>
      <xdr:blipFill>
        <a:blip r:embed="rId177"/>
        <a:stretch/>
      </xdr:blipFill>
      <xdr:spPr>
        <a:xfrm>
          <a:off x="0" y="45554760"/>
          <a:ext cx="828000" cy="297000"/>
        </a:xfrm>
        <a:prstGeom prst="rect">
          <a:avLst/>
        </a:prstGeom>
        <a:noFill/>
        <a:ln w="9525">
          <a:noFill/>
        </a:ln>
      </xdr:spPr>
    </xdr:pic>
    <xdr:clientData/>
  </xdr:twoCellAnchor>
  <xdr:twoCellAnchor editAs="twoCell">
    <xdr:from>
      <xdr:col>0</xdr:col>
      <xdr:colOff>0</xdr:colOff>
      <xdr:row>34</xdr:row>
      <xdr:rowOff>0</xdr:rowOff>
    </xdr:from>
    <xdr:to>
      <xdr:col>0</xdr:col>
      <xdr:colOff>828000</xdr:colOff>
      <xdr:row>34</xdr:row>
      <xdr:rowOff>297000</xdr:rowOff>
    </xdr:to>
    <xdr:pic>
      <xdr:nvPicPr>
        <xdr:cNvPr id="1637" name="图片 63" descr="新品"/>
        <xdr:cNvPicPr/>
      </xdr:nvPicPr>
      <xdr:blipFill>
        <a:blip r:embed="rId178"/>
        <a:stretch/>
      </xdr:blipFill>
      <xdr:spPr>
        <a:xfrm>
          <a:off x="0" y="44094240"/>
          <a:ext cx="828000" cy="297000"/>
        </a:xfrm>
        <a:prstGeom prst="rect">
          <a:avLst/>
        </a:prstGeom>
        <a:noFill/>
        <a:ln w="9525">
          <a:noFill/>
        </a:ln>
      </xdr:spPr>
    </xdr:pic>
    <xdr:clientData/>
  </xdr:twoCellAnchor>
  <xdr:twoCellAnchor editAs="twoCell">
    <xdr:from>
      <xdr:col>0</xdr:col>
      <xdr:colOff>0</xdr:colOff>
      <xdr:row>33</xdr:row>
      <xdr:rowOff>0</xdr:rowOff>
    </xdr:from>
    <xdr:to>
      <xdr:col>0</xdr:col>
      <xdr:colOff>828000</xdr:colOff>
      <xdr:row>33</xdr:row>
      <xdr:rowOff>297000</xdr:rowOff>
    </xdr:to>
    <xdr:pic>
      <xdr:nvPicPr>
        <xdr:cNvPr id="1638" name="图片 63" descr="新品"/>
        <xdr:cNvPicPr/>
      </xdr:nvPicPr>
      <xdr:blipFill>
        <a:blip r:embed="rId179"/>
        <a:stretch/>
      </xdr:blipFill>
      <xdr:spPr>
        <a:xfrm>
          <a:off x="0" y="42634080"/>
          <a:ext cx="828000" cy="297000"/>
        </a:xfrm>
        <a:prstGeom prst="rect">
          <a:avLst/>
        </a:prstGeom>
        <a:noFill/>
        <a:ln w="9525">
          <a:noFill/>
        </a:ln>
      </xdr:spPr>
    </xdr:pic>
    <xdr:clientData/>
  </xdr:twoCellAnchor>
  <xdr:twoCellAnchor editAs="twoCell">
    <xdr:from>
      <xdr:col>0</xdr:col>
      <xdr:colOff>0</xdr:colOff>
      <xdr:row>32</xdr:row>
      <xdr:rowOff>0</xdr:rowOff>
    </xdr:from>
    <xdr:to>
      <xdr:col>0</xdr:col>
      <xdr:colOff>828000</xdr:colOff>
      <xdr:row>32</xdr:row>
      <xdr:rowOff>297000</xdr:rowOff>
    </xdr:to>
    <xdr:pic>
      <xdr:nvPicPr>
        <xdr:cNvPr id="1639" name="图片 63" descr="新品"/>
        <xdr:cNvPicPr/>
      </xdr:nvPicPr>
      <xdr:blipFill>
        <a:blip r:embed="rId180"/>
        <a:stretch/>
      </xdr:blipFill>
      <xdr:spPr>
        <a:xfrm>
          <a:off x="0" y="41173560"/>
          <a:ext cx="828000" cy="297000"/>
        </a:xfrm>
        <a:prstGeom prst="rect">
          <a:avLst/>
        </a:prstGeom>
        <a:noFill/>
        <a:ln w="9525">
          <a:noFill/>
        </a:ln>
      </xdr:spPr>
    </xdr:pic>
    <xdr:clientData/>
  </xdr:twoCellAnchor>
  <xdr:twoCellAnchor editAs="twoCell">
    <xdr:from>
      <xdr:col>0</xdr:col>
      <xdr:colOff>0</xdr:colOff>
      <xdr:row>31</xdr:row>
      <xdr:rowOff>0</xdr:rowOff>
    </xdr:from>
    <xdr:to>
      <xdr:col>0</xdr:col>
      <xdr:colOff>828000</xdr:colOff>
      <xdr:row>31</xdr:row>
      <xdr:rowOff>297000</xdr:rowOff>
    </xdr:to>
    <xdr:pic>
      <xdr:nvPicPr>
        <xdr:cNvPr id="1640" name="图片 63" descr="新品"/>
        <xdr:cNvPicPr/>
      </xdr:nvPicPr>
      <xdr:blipFill>
        <a:blip r:embed="rId181"/>
        <a:stretch/>
      </xdr:blipFill>
      <xdr:spPr>
        <a:xfrm>
          <a:off x="0" y="39713040"/>
          <a:ext cx="828000" cy="297000"/>
        </a:xfrm>
        <a:prstGeom prst="rect">
          <a:avLst/>
        </a:prstGeom>
        <a:noFill/>
        <a:ln w="9525">
          <a:noFill/>
        </a:ln>
      </xdr:spPr>
    </xdr:pic>
    <xdr:clientData/>
  </xdr:twoCellAnchor>
  <xdr:twoCellAnchor editAs="twoCell">
    <xdr:from>
      <xdr:col>0</xdr:col>
      <xdr:colOff>0</xdr:colOff>
      <xdr:row>30</xdr:row>
      <xdr:rowOff>0</xdr:rowOff>
    </xdr:from>
    <xdr:to>
      <xdr:col>0</xdr:col>
      <xdr:colOff>828000</xdr:colOff>
      <xdr:row>30</xdr:row>
      <xdr:rowOff>297000</xdr:rowOff>
    </xdr:to>
    <xdr:pic>
      <xdr:nvPicPr>
        <xdr:cNvPr id="1641" name="图片 63" descr="新品"/>
        <xdr:cNvPicPr/>
      </xdr:nvPicPr>
      <xdr:blipFill>
        <a:blip r:embed="rId182"/>
        <a:stretch/>
      </xdr:blipFill>
      <xdr:spPr>
        <a:xfrm>
          <a:off x="0" y="38252520"/>
          <a:ext cx="828000" cy="297000"/>
        </a:xfrm>
        <a:prstGeom prst="rect">
          <a:avLst/>
        </a:prstGeom>
        <a:noFill/>
        <a:ln w="9525">
          <a:noFill/>
        </a:ln>
      </xdr:spPr>
    </xdr:pic>
    <xdr:clientData/>
  </xdr:twoCellAnchor>
  <xdr:twoCellAnchor editAs="twoCell">
    <xdr:from>
      <xdr:col>0</xdr:col>
      <xdr:colOff>0</xdr:colOff>
      <xdr:row>29</xdr:row>
      <xdr:rowOff>0</xdr:rowOff>
    </xdr:from>
    <xdr:to>
      <xdr:col>0</xdr:col>
      <xdr:colOff>828000</xdr:colOff>
      <xdr:row>29</xdr:row>
      <xdr:rowOff>297000</xdr:rowOff>
    </xdr:to>
    <xdr:pic>
      <xdr:nvPicPr>
        <xdr:cNvPr id="1642" name="图片 63" descr="新品"/>
        <xdr:cNvPicPr/>
      </xdr:nvPicPr>
      <xdr:blipFill>
        <a:blip r:embed="rId183"/>
        <a:stretch/>
      </xdr:blipFill>
      <xdr:spPr>
        <a:xfrm>
          <a:off x="0" y="36792000"/>
          <a:ext cx="828000" cy="297000"/>
        </a:xfrm>
        <a:prstGeom prst="rect">
          <a:avLst/>
        </a:prstGeom>
        <a:noFill/>
        <a:ln w="9525">
          <a:noFill/>
        </a:ln>
      </xdr:spPr>
    </xdr:pic>
    <xdr:clientData/>
  </xdr:twoCellAnchor>
  <xdr:twoCellAnchor editAs="oneCell">
    <xdr:from>
      <xdr:col>2</xdr:col>
      <xdr:colOff>38160</xdr:colOff>
      <xdr:row>8</xdr:row>
      <xdr:rowOff>144000</xdr:rowOff>
    </xdr:from>
    <xdr:to>
      <xdr:col>2</xdr:col>
      <xdr:colOff>1208880</xdr:colOff>
      <xdr:row>8</xdr:row>
      <xdr:rowOff>1316160</xdr:rowOff>
    </xdr:to>
    <xdr:pic>
      <xdr:nvPicPr>
        <xdr:cNvPr id="1643" name="图片 94" descr="4"/>
        <xdr:cNvPicPr/>
      </xdr:nvPicPr>
      <xdr:blipFill>
        <a:blip r:embed="rId184"/>
        <a:stretch/>
      </xdr:blipFill>
      <xdr:spPr>
        <a:xfrm>
          <a:off x="5605920" y="7382880"/>
          <a:ext cx="1170720" cy="1172160"/>
        </a:xfrm>
        <a:prstGeom prst="rect">
          <a:avLst/>
        </a:prstGeom>
        <a:noFill/>
        <a:ln w="0">
          <a:noFill/>
        </a:ln>
      </xdr:spPr>
    </xdr:pic>
    <xdr:clientData/>
  </xdr:twoCellAnchor>
  <xdr:twoCellAnchor editAs="oneCell">
    <xdr:from>
      <xdr:col>2</xdr:col>
      <xdr:colOff>38160</xdr:colOff>
      <xdr:row>7</xdr:row>
      <xdr:rowOff>144000</xdr:rowOff>
    </xdr:from>
    <xdr:to>
      <xdr:col>2</xdr:col>
      <xdr:colOff>1208880</xdr:colOff>
      <xdr:row>7</xdr:row>
      <xdr:rowOff>1316160</xdr:rowOff>
    </xdr:to>
    <xdr:pic>
      <xdr:nvPicPr>
        <xdr:cNvPr id="1644" name="图片 95" descr="3"/>
        <xdr:cNvPicPr/>
      </xdr:nvPicPr>
      <xdr:blipFill>
        <a:blip r:embed="rId185"/>
        <a:stretch/>
      </xdr:blipFill>
      <xdr:spPr>
        <a:xfrm>
          <a:off x="5605920" y="5922360"/>
          <a:ext cx="1170720" cy="1172160"/>
        </a:xfrm>
        <a:prstGeom prst="rect">
          <a:avLst/>
        </a:prstGeom>
        <a:noFill/>
        <a:ln w="0">
          <a:noFill/>
        </a:ln>
      </xdr:spPr>
    </xdr:pic>
    <xdr:clientData/>
  </xdr:twoCellAnchor>
  <xdr:twoCellAnchor editAs="oneCell">
    <xdr:from>
      <xdr:col>1</xdr:col>
      <xdr:colOff>38160</xdr:colOff>
      <xdr:row>4</xdr:row>
      <xdr:rowOff>142200</xdr:rowOff>
    </xdr:from>
    <xdr:to>
      <xdr:col>1</xdr:col>
      <xdr:colOff>1208880</xdr:colOff>
      <xdr:row>4</xdr:row>
      <xdr:rowOff>1317600</xdr:rowOff>
    </xdr:to>
    <xdr:pic>
      <xdr:nvPicPr>
        <xdr:cNvPr id="1645" name="图片 96" descr="1"/>
        <xdr:cNvPicPr/>
      </xdr:nvPicPr>
      <xdr:blipFill>
        <a:blip r:embed="rId186"/>
        <a:stretch/>
      </xdr:blipFill>
      <xdr:spPr>
        <a:xfrm>
          <a:off x="4039920" y="1539360"/>
          <a:ext cx="1170720" cy="1175400"/>
        </a:xfrm>
        <a:prstGeom prst="rect">
          <a:avLst/>
        </a:prstGeom>
        <a:noFill/>
        <a:ln w="0">
          <a:noFill/>
        </a:ln>
      </xdr:spPr>
    </xdr:pic>
    <xdr:clientData/>
  </xdr:twoCellAnchor>
  <xdr:twoCellAnchor editAs="oneCell">
    <xdr:from>
      <xdr:col>2</xdr:col>
      <xdr:colOff>38160</xdr:colOff>
      <xdr:row>4</xdr:row>
      <xdr:rowOff>144000</xdr:rowOff>
    </xdr:from>
    <xdr:to>
      <xdr:col>2</xdr:col>
      <xdr:colOff>1208880</xdr:colOff>
      <xdr:row>4</xdr:row>
      <xdr:rowOff>1316160</xdr:rowOff>
    </xdr:to>
    <xdr:pic>
      <xdr:nvPicPr>
        <xdr:cNvPr id="1646" name="图片 97" descr="3"/>
        <xdr:cNvPicPr/>
      </xdr:nvPicPr>
      <xdr:blipFill>
        <a:blip r:embed="rId187"/>
        <a:stretch/>
      </xdr:blipFill>
      <xdr:spPr>
        <a:xfrm>
          <a:off x="5605920" y="1541160"/>
          <a:ext cx="1170720" cy="1172160"/>
        </a:xfrm>
        <a:prstGeom prst="rect">
          <a:avLst/>
        </a:prstGeom>
        <a:noFill/>
        <a:ln w="0">
          <a:noFill/>
        </a:ln>
      </xdr:spPr>
    </xdr:pic>
    <xdr:clientData/>
  </xdr:twoCellAnchor>
  <xdr:twoCellAnchor editAs="oneCell">
    <xdr:from>
      <xdr:col>1</xdr:col>
      <xdr:colOff>38160</xdr:colOff>
      <xdr:row>6</xdr:row>
      <xdr:rowOff>142200</xdr:rowOff>
    </xdr:from>
    <xdr:to>
      <xdr:col>1</xdr:col>
      <xdr:colOff>1208880</xdr:colOff>
      <xdr:row>6</xdr:row>
      <xdr:rowOff>1317600</xdr:rowOff>
    </xdr:to>
    <xdr:pic>
      <xdr:nvPicPr>
        <xdr:cNvPr id="1647" name="图片 98" descr="1"/>
        <xdr:cNvPicPr/>
      </xdr:nvPicPr>
      <xdr:blipFill>
        <a:blip r:embed="rId188"/>
        <a:stretch/>
      </xdr:blipFill>
      <xdr:spPr>
        <a:xfrm>
          <a:off x="4039920" y="4460040"/>
          <a:ext cx="1170720" cy="1175400"/>
        </a:xfrm>
        <a:prstGeom prst="rect">
          <a:avLst/>
        </a:prstGeom>
        <a:noFill/>
        <a:ln w="0">
          <a:noFill/>
        </a:ln>
      </xdr:spPr>
    </xdr:pic>
    <xdr:clientData/>
  </xdr:twoCellAnchor>
  <xdr:twoCellAnchor editAs="oneCell">
    <xdr:from>
      <xdr:col>2</xdr:col>
      <xdr:colOff>38160</xdr:colOff>
      <xdr:row>6</xdr:row>
      <xdr:rowOff>141840</xdr:rowOff>
    </xdr:from>
    <xdr:to>
      <xdr:col>2</xdr:col>
      <xdr:colOff>1208880</xdr:colOff>
      <xdr:row>6</xdr:row>
      <xdr:rowOff>1317960</xdr:rowOff>
    </xdr:to>
    <xdr:pic>
      <xdr:nvPicPr>
        <xdr:cNvPr id="1648" name="图片 99" descr="3"/>
        <xdr:cNvPicPr/>
      </xdr:nvPicPr>
      <xdr:blipFill>
        <a:blip r:embed="rId189"/>
        <a:stretch/>
      </xdr:blipFill>
      <xdr:spPr>
        <a:xfrm>
          <a:off x="5605920" y="4459680"/>
          <a:ext cx="1170720" cy="1176120"/>
        </a:xfrm>
        <a:prstGeom prst="rect">
          <a:avLst/>
        </a:prstGeom>
        <a:noFill/>
        <a:ln w="0">
          <a:noFill/>
        </a:ln>
      </xdr:spPr>
    </xdr:pic>
    <xdr:clientData/>
  </xdr:twoCellAnchor>
  <xdr:twoCellAnchor editAs="oneCell">
    <xdr:from>
      <xdr:col>1</xdr:col>
      <xdr:colOff>38160</xdr:colOff>
      <xdr:row>5</xdr:row>
      <xdr:rowOff>142920</xdr:rowOff>
    </xdr:from>
    <xdr:to>
      <xdr:col>1</xdr:col>
      <xdr:colOff>1208880</xdr:colOff>
      <xdr:row>5</xdr:row>
      <xdr:rowOff>1317240</xdr:rowOff>
    </xdr:to>
    <xdr:pic>
      <xdr:nvPicPr>
        <xdr:cNvPr id="1649" name="图片 100" descr="1"/>
        <xdr:cNvPicPr/>
      </xdr:nvPicPr>
      <xdr:blipFill>
        <a:blip r:embed="rId190"/>
        <a:stretch/>
      </xdr:blipFill>
      <xdr:spPr>
        <a:xfrm>
          <a:off x="4039920" y="3000600"/>
          <a:ext cx="1170720" cy="1174320"/>
        </a:xfrm>
        <a:prstGeom prst="rect">
          <a:avLst/>
        </a:prstGeom>
        <a:noFill/>
        <a:ln w="0">
          <a:noFill/>
        </a:ln>
      </xdr:spPr>
    </xdr:pic>
    <xdr:clientData/>
  </xdr:twoCellAnchor>
  <xdr:twoCellAnchor editAs="oneCell">
    <xdr:from>
      <xdr:col>2</xdr:col>
      <xdr:colOff>38160</xdr:colOff>
      <xdr:row>5</xdr:row>
      <xdr:rowOff>144000</xdr:rowOff>
    </xdr:from>
    <xdr:to>
      <xdr:col>2</xdr:col>
      <xdr:colOff>1208880</xdr:colOff>
      <xdr:row>5</xdr:row>
      <xdr:rowOff>1316160</xdr:rowOff>
    </xdr:to>
    <xdr:pic>
      <xdr:nvPicPr>
        <xdr:cNvPr id="1650" name="图片 101" descr="3"/>
        <xdr:cNvPicPr/>
      </xdr:nvPicPr>
      <xdr:blipFill>
        <a:blip r:embed="rId191"/>
        <a:stretch/>
      </xdr:blipFill>
      <xdr:spPr>
        <a:xfrm>
          <a:off x="5605920" y="3001680"/>
          <a:ext cx="1170720" cy="1172160"/>
        </a:xfrm>
        <a:prstGeom prst="rect">
          <a:avLst/>
        </a:prstGeom>
        <a:noFill/>
        <a:ln w="0">
          <a:noFill/>
        </a:ln>
      </xdr:spPr>
    </xdr:pic>
    <xdr:clientData/>
  </xdr:twoCellAnchor>
  <xdr:twoCellAnchor editAs="oneCell">
    <xdr:from>
      <xdr:col>1</xdr:col>
      <xdr:colOff>38160</xdr:colOff>
      <xdr:row>7</xdr:row>
      <xdr:rowOff>144000</xdr:rowOff>
    </xdr:from>
    <xdr:to>
      <xdr:col>1</xdr:col>
      <xdr:colOff>1208880</xdr:colOff>
      <xdr:row>7</xdr:row>
      <xdr:rowOff>1316160</xdr:rowOff>
    </xdr:to>
    <xdr:pic>
      <xdr:nvPicPr>
        <xdr:cNvPr id="1651" name="图片 102" descr="1"/>
        <xdr:cNvPicPr/>
      </xdr:nvPicPr>
      <xdr:blipFill>
        <a:blip r:embed="rId192"/>
        <a:stretch/>
      </xdr:blipFill>
      <xdr:spPr>
        <a:xfrm>
          <a:off x="4039920" y="5922360"/>
          <a:ext cx="1170720" cy="1172160"/>
        </a:xfrm>
        <a:prstGeom prst="rect">
          <a:avLst/>
        </a:prstGeom>
        <a:noFill/>
        <a:ln w="0">
          <a:noFill/>
        </a:ln>
      </xdr:spPr>
    </xdr:pic>
    <xdr:clientData/>
  </xdr:twoCellAnchor>
  <xdr:twoCellAnchor editAs="oneCell">
    <xdr:from>
      <xdr:col>1</xdr:col>
      <xdr:colOff>38160</xdr:colOff>
      <xdr:row>8</xdr:row>
      <xdr:rowOff>144000</xdr:rowOff>
    </xdr:from>
    <xdr:to>
      <xdr:col>1</xdr:col>
      <xdr:colOff>1208880</xdr:colOff>
      <xdr:row>8</xdr:row>
      <xdr:rowOff>1316160</xdr:rowOff>
    </xdr:to>
    <xdr:pic>
      <xdr:nvPicPr>
        <xdr:cNvPr id="1652" name="图片 103" descr="1"/>
        <xdr:cNvPicPr/>
      </xdr:nvPicPr>
      <xdr:blipFill>
        <a:blip r:embed="rId193"/>
        <a:stretch/>
      </xdr:blipFill>
      <xdr:spPr>
        <a:xfrm>
          <a:off x="4039920" y="7382880"/>
          <a:ext cx="1170720" cy="1172160"/>
        </a:xfrm>
        <a:prstGeom prst="rect">
          <a:avLst/>
        </a:prstGeom>
        <a:noFill/>
        <a:ln w="0">
          <a:noFill/>
        </a:ln>
      </xdr:spPr>
    </xdr:pic>
    <xdr:clientData/>
  </xdr:twoCellAnchor>
  <xdr:twoCellAnchor editAs="oneCell">
    <xdr:from>
      <xdr:col>1</xdr:col>
      <xdr:colOff>38160</xdr:colOff>
      <xdr:row>12</xdr:row>
      <xdr:rowOff>142200</xdr:rowOff>
    </xdr:from>
    <xdr:to>
      <xdr:col>1</xdr:col>
      <xdr:colOff>1208880</xdr:colOff>
      <xdr:row>12</xdr:row>
      <xdr:rowOff>1317600</xdr:rowOff>
    </xdr:to>
    <xdr:pic>
      <xdr:nvPicPr>
        <xdr:cNvPr id="1653" name="图片 104" descr="BF10-iP17e&amp;16e&amp;14&amp;13&amp;13-Pro-1"/>
        <xdr:cNvPicPr/>
      </xdr:nvPicPr>
      <xdr:blipFill>
        <a:blip r:embed="rId194"/>
        <a:stretch/>
      </xdr:blipFill>
      <xdr:spPr>
        <a:xfrm>
          <a:off x="4039920" y="13223160"/>
          <a:ext cx="1170720" cy="1175400"/>
        </a:xfrm>
        <a:prstGeom prst="rect">
          <a:avLst/>
        </a:prstGeom>
        <a:noFill/>
        <a:ln w="0">
          <a:noFill/>
        </a:ln>
      </xdr:spPr>
    </xdr:pic>
    <xdr:clientData/>
  </xdr:twoCellAnchor>
  <xdr:twoCellAnchor editAs="oneCell">
    <xdr:from>
      <xdr:col>2</xdr:col>
      <xdr:colOff>38160</xdr:colOff>
      <xdr:row>12</xdr:row>
      <xdr:rowOff>144720</xdr:rowOff>
    </xdr:from>
    <xdr:to>
      <xdr:col>2</xdr:col>
      <xdr:colOff>1208880</xdr:colOff>
      <xdr:row>12</xdr:row>
      <xdr:rowOff>1315080</xdr:rowOff>
    </xdr:to>
    <xdr:pic>
      <xdr:nvPicPr>
        <xdr:cNvPr id="1654" name="图片 105" descr="BF10-iP17e&amp;16e&amp;14&amp;13&amp;13-Pro-3"/>
        <xdr:cNvPicPr/>
      </xdr:nvPicPr>
      <xdr:blipFill>
        <a:blip r:embed="rId195"/>
        <a:stretch/>
      </xdr:blipFill>
      <xdr:spPr>
        <a:xfrm>
          <a:off x="5605920" y="13225680"/>
          <a:ext cx="1170720" cy="1170360"/>
        </a:xfrm>
        <a:prstGeom prst="rect">
          <a:avLst/>
        </a:prstGeom>
        <a:noFill/>
        <a:ln w="0">
          <a:noFill/>
        </a:ln>
      </xdr:spPr>
    </xdr:pic>
    <xdr:clientData/>
  </xdr:twoCellAnchor>
  <xdr:twoCellAnchor editAs="oneCell">
    <xdr:from>
      <xdr:col>1</xdr:col>
      <xdr:colOff>38160</xdr:colOff>
      <xdr:row>13</xdr:row>
      <xdr:rowOff>142200</xdr:rowOff>
    </xdr:from>
    <xdr:to>
      <xdr:col>1</xdr:col>
      <xdr:colOff>1208880</xdr:colOff>
      <xdr:row>13</xdr:row>
      <xdr:rowOff>1317600</xdr:rowOff>
    </xdr:to>
    <xdr:pic>
      <xdr:nvPicPr>
        <xdr:cNvPr id="1655" name="图片 106" descr="BF10-iP17&amp;16-Pro&amp;16-Pro-Max-1"/>
        <xdr:cNvPicPr/>
      </xdr:nvPicPr>
      <xdr:blipFill>
        <a:blip r:embed="rId196"/>
        <a:stretch/>
      </xdr:blipFill>
      <xdr:spPr>
        <a:xfrm>
          <a:off x="4039920" y="14683680"/>
          <a:ext cx="1170720" cy="1175400"/>
        </a:xfrm>
        <a:prstGeom prst="rect">
          <a:avLst/>
        </a:prstGeom>
        <a:noFill/>
        <a:ln w="0">
          <a:noFill/>
        </a:ln>
      </xdr:spPr>
    </xdr:pic>
    <xdr:clientData/>
  </xdr:twoCellAnchor>
  <xdr:twoCellAnchor editAs="oneCell">
    <xdr:from>
      <xdr:col>2</xdr:col>
      <xdr:colOff>38160</xdr:colOff>
      <xdr:row>13</xdr:row>
      <xdr:rowOff>144720</xdr:rowOff>
    </xdr:from>
    <xdr:to>
      <xdr:col>2</xdr:col>
      <xdr:colOff>1208880</xdr:colOff>
      <xdr:row>13</xdr:row>
      <xdr:rowOff>1315080</xdr:rowOff>
    </xdr:to>
    <xdr:pic>
      <xdr:nvPicPr>
        <xdr:cNvPr id="1656" name="图片 107" descr="BF10-iP17&amp;16-Pro&amp;16-Pro-Max-3"/>
        <xdr:cNvPicPr/>
      </xdr:nvPicPr>
      <xdr:blipFill>
        <a:blip r:embed="rId197"/>
        <a:stretch/>
      </xdr:blipFill>
      <xdr:spPr>
        <a:xfrm>
          <a:off x="5605920" y="14686200"/>
          <a:ext cx="1170720" cy="1170360"/>
        </a:xfrm>
        <a:prstGeom prst="rect">
          <a:avLst/>
        </a:prstGeom>
        <a:noFill/>
        <a:ln w="0">
          <a:noFill/>
        </a:ln>
      </xdr:spPr>
    </xdr:pic>
    <xdr:clientData/>
  </xdr:twoCellAnchor>
  <xdr:twoCellAnchor editAs="oneCell">
    <xdr:from>
      <xdr:col>1</xdr:col>
      <xdr:colOff>38160</xdr:colOff>
      <xdr:row>14</xdr:row>
      <xdr:rowOff>142200</xdr:rowOff>
    </xdr:from>
    <xdr:to>
      <xdr:col>1</xdr:col>
      <xdr:colOff>1208880</xdr:colOff>
      <xdr:row>14</xdr:row>
      <xdr:rowOff>1317600</xdr:rowOff>
    </xdr:to>
    <xdr:pic>
      <xdr:nvPicPr>
        <xdr:cNvPr id="1657" name="图片 108" descr="BF10-iP17-Air-1"/>
        <xdr:cNvPicPr/>
      </xdr:nvPicPr>
      <xdr:blipFill>
        <a:blip r:embed="rId198"/>
        <a:stretch/>
      </xdr:blipFill>
      <xdr:spPr>
        <a:xfrm>
          <a:off x="4039920" y="16144200"/>
          <a:ext cx="1170720" cy="1175400"/>
        </a:xfrm>
        <a:prstGeom prst="rect">
          <a:avLst/>
        </a:prstGeom>
        <a:noFill/>
        <a:ln w="0">
          <a:noFill/>
        </a:ln>
      </xdr:spPr>
    </xdr:pic>
    <xdr:clientData/>
  </xdr:twoCellAnchor>
  <xdr:twoCellAnchor editAs="oneCell">
    <xdr:from>
      <xdr:col>2</xdr:col>
      <xdr:colOff>38160</xdr:colOff>
      <xdr:row>14</xdr:row>
      <xdr:rowOff>144360</xdr:rowOff>
    </xdr:from>
    <xdr:to>
      <xdr:col>2</xdr:col>
      <xdr:colOff>1208880</xdr:colOff>
      <xdr:row>14</xdr:row>
      <xdr:rowOff>1315080</xdr:rowOff>
    </xdr:to>
    <xdr:pic>
      <xdr:nvPicPr>
        <xdr:cNvPr id="1658" name="图片 109" descr="BF10-iP17-Air-3"/>
        <xdr:cNvPicPr/>
      </xdr:nvPicPr>
      <xdr:blipFill>
        <a:blip r:embed="rId199"/>
        <a:stretch/>
      </xdr:blipFill>
      <xdr:spPr>
        <a:xfrm>
          <a:off x="5605920" y="16146360"/>
          <a:ext cx="1170720" cy="1170720"/>
        </a:xfrm>
        <a:prstGeom prst="rect">
          <a:avLst/>
        </a:prstGeom>
        <a:noFill/>
        <a:ln w="0">
          <a:noFill/>
        </a:ln>
      </xdr:spPr>
    </xdr:pic>
    <xdr:clientData/>
  </xdr:twoCellAnchor>
  <xdr:twoCellAnchor editAs="oneCell">
    <xdr:from>
      <xdr:col>1</xdr:col>
      <xdr:colOff>38160</xdr:colOff>
      <xdr:row>15</xdr:row>
      <xdr:rowOff>142200</xdr:rowOff>
    </xdr:from>
    <xdr:to>
      <xdr:col>1</xdr:col>
      <xdr:colOff>1208880</xdr:colOff>
      <xdr:row>15</xdr:row>
      <xdr:rowOff>1317600</xdr:rowOff>
    </xdr:to>
    <xdr:pic>
      <xdr:nvPicPr>
        <xdr:cNvPr id="1659" name="图片 110" descr="BF10-iP17-Pro&amp;iP17-Pro-Max-1"/>
        <xdr:cNvPicPr/>
      </xdr:nvPicPr>
      <xdr:blipFill>
        <a:blip r:embed="rId200"/>
        <a:stretch/>
      </xdr:blipFill>
      <xdr:spPr>
        <a:xfrm>
          <a:off x="4039920" y="17604720"/>
          <a:ext cx="1170720" cy="1175400"/>
        </a:xfrm>
        <a:prstGeom prst="rect">
          <a:avLst/>
        </a:prstGeom>
        <a:noFill/>
        <a:ln w="0">
          <a:noFill/>
        </a:ln>
      </xdr:spPr>
    </xdr:pic>
    <xdr:clientData/>
  </xdr:twoCellAnchor>
  <xdr:twoCellAnchor editAs="oneCell">
    <xdr:from>
      <xdr:col>2</xdr:col>
      <xdr:colOff>38160</xdr:colOff>
      <xdr:row>15</xdr:row>
      <xdr:rowOff>142200</xdr:rowOff>
    </xdr:from>
    <xdr:to>
      <xdr:col>2</xdr:col>
      <xdr:colOff>1208880</xdr:colOff>
      <xdr:row>15</xdr:row>
      <xdr:rowOff>1317600</xdr:rowOff>
    </xdr:to>
    <xdr:pic>
      <xdr:nvPicPr>
        <xdr:cNvPr id="1660" name="图片 111" descr="BF10-iP17-Pro&amp;iP17-Pro-Max-3"/>
        <xdr:cNvPicPr/>
      </xdr:nvPicPr>
      <xdr:blipFill>
        <a:blip r:embed="rId201"/>
        <a:stretch/>
      </xdr:blipFill>
      <xdr:spPr>
        <a:xfrm>
          <a:off x="5605920" y="17604720"/>
          <a:ext cx="1170720" cy="1175400"/>
        </a:xfrm>
        <a:prstGeom prst="rect">
          <a:avLst/>
        </a:prstGeom>
        <a:noFill/>
        <a:ln w="0">
          <a:noFill/>
        </a:ln>
      </xdr:spPr>
    </xdr:pic>
    <xdr:clientData/>
  </xdr:twoCellAnchor>
  <xdr:twoCellAnchor editAs="oneCell">
    <xdr:from>
      <xdr:col>2</xdr:col>
      <xdr:colOff>38160</xdr:colOff>
      <xdr:row>16</xdr:row>
      <xdr:rowOff>144000</xdr:rowOff>
    </xdr:from>
    <xdr:to>
      <xdr:col>2</xdr:col>
      <xdr:colOff>1208880</xdr:colOff>
      <xdr:row>16</xdr:row>
      <xdr:rowOff>1316160</xdr:rowOff>
    </xdr:to>
    <xdr:pic>
      <xdr:nvPicPr>
        <xdr:cNvPr id="1661" name="图片 112" descr="BF10-iP17-Pro&amp;iP17-Pro-Max-4"/>
        <xdr:cNvPicPr/>
      </xdr:nvPicPr>
      <xdr:blipFill>
        <a:blip r:embed="rId202"/>
        <a:stretch/>
      </xdr:blipFill>
      <xdr:spPr>
        <a:xfrm>
          <a:off x="5605920" y="19067040"/>
          <a:ext cx="1170720" cy="1172160"/>
        </a:xfrm>
        <a:prstGeom prst="rect">
          <a:avLst/>
        </a:prstGeom>
        <a:noFill/>
        <a:ln w="0">
          <a:noFill/>
        </a:ln>
      </xdr:spPr>
    </xdr:pic>
    <xdr:clientData/>
  </xdr:twoCellAnchor>
  <xdr:twoCellAnchor editAs="oneCell">
    <xdr:from>
      <xdr:col>1</xdr:col>
      <xdr:colOff>38160</xdr:colOff>
      <xdr:row>16</xdr:row>
      <xdr:rowOff>142200</xdr:rowOff>
    </xdr:from>
    <xdr:to>
      <xdr:col>1</xdr:col>
      <xdr:colOff>1208880</xdr:colOff>
      <xdr:row>16</xdr:row>
      <xdr:rowOff>1317600</xdr:rowOff>
    </xdr:to>
    <xdr:pic>
      <xdr:nvPicPr>
        <xdr:cNvPr id="1662" name="图片 113" descr="BF10-iP17-Pro&amp;iP17-Pro-Max-1"/>
        <xdr:cNvPicPr/>
      </xdr:nvPicPr>
      <xdr:blipFill>
        <a:blip r:embed="rId203"/>
        <a:stretch/>
      </xdr:blipFill>
      <xdr:spPr>
        <a:xfrm>
          <a:off x="4039920" y="19065240"/>
          <a:ext cx="1170720" cy="1175400"/>
        </a:xfrm>
        <a:prstGeom prst="rect">
          <a:avLst/>
        </a:prstGeom>
        <a:noFill/>
        <a:ln w="0">
          <a:noFill/>
        </a:ln>
      </xdr:spPr>
    </xdr:pic>
    <xdr:clientData/>
  </xdr:twoCellAnchor>
  <xdr:twoCellAnchor editAs="oneCell">
    <xdr:from>
      <xdr:col>1</xdr:col>
      <xdr:colOff>38160</xdr:colOff>
      <xdr:row>9</xdr:row>
      <xdr:rowOff>142200</xdr:rowOff>
    </xdr:from>
    <xdr:to>
      <xdr:col>1</xdr:col>
      <xdr:colOff>1208880</xdr:colOff>
      <xdr:row>9</xdr:row>
      <xdr:rowOff>1317600</xdr:rowOff>
    </xdr:to>
    <xdr:pic>
      <xdr:nvPicPr>
        <xdr:cNvPr id="1663" name="图片 114" descr="1"/>
        <xdr:cNvPicPr/>
      </xdr:nvPicPr>
      <xdr:blipFill>
        <a:blip r:embed="rId204"/>
        <a:stretch/>
      </xdr:blipFill>
      <xdr:spPr>
        <a:xfrm>
          <a:off x="4039920" y="8841600"/>
          <a:ext cx="1170720" cy="1175400"/>
        </a:xfrm>
        <a:prstGeom prst="rect">
          <a:avLst/>
        </a:prstGeom>
        <a:noFill/>
        <a:ln w="0">
          <a:noFill/>
        </a:ln>
      </xdr:spPr>
    </xdr:pic>
    <xdr:clientData/>
  </xdr:twoCellAnchor>
  <xdr:twoCellAnchor editAs="oneCell">
    <xdr:from>
      <xdr:col>2</xdr:col>
      <xdr:colOff>38160</xdr:colOff>
      <xdr:row>9</xdr:row>
      <xdr:rowOff>144360</xdr:rowOff>
    </xdr:from>
    <xdr:to>
      <xdr:col>2</xdr:col>
      <xdr:colOff>1208880</xdr:colOff>
      <xdr:row>9</xdr:row>
      <xdr:rowOff>1315080</xdr:rowOff>
    </xdr:to>
    <xdr:pic>
      <xdr:nvPicPr>
        <xdr:cNvPr id="1664" name="图片 115" descr="3"/>
        <xdr:cNvPicPr/>
      </xdr:nvPicPr>
      <xdr:blipFill>
        <a:blip r:embed="rId205"/>
        <a:stretch/>
      </xdr:blipFill>
      <xdr:spPr>
        <a:xfrm>
          <a:off x="5605920" y="8843760"/>
          <a:ext cx="1170720" cy="1170720"/>
        </a:xfrm>
        <a:prstGeom prst="rect">
          <a:avLst/>
        </a:prstGeom>
        <a:noFill/>
        <a:ln w="0">
          <a:noFill/>
        </a:ln>
      </xdr:spPr>
    </xdr:pic>
    <xdr:clientData/>
  </xdr:twoCellAnchor>
  <xdr:twoCellAnchor editAs="oneCell">
    <xdr:from>
      <xdr:col>1</xdr:col>
      <xdr:colOff>38160</xdr:colOff>
      <xdr:row>10</xdr:row>
      <xdr:rowOff>142200</xdr:rowOff>
    </xdr:from>
    <xdr:to>
      <xdr:col>1</xdr:col>
      <xdr:colOff>1208880</xdr:colOff>
      <xdr:row>10</xdr:row>
      <xdr:rowOff>1317600</xdr:rowOff>
    </xdr:to>
    <xdr:pic>
      <xdr:nvPicPr>
        <xdr:cNvPr id="1665" name="图片 116" descr="1"/>
        <xdr:cNvPicPr/>
      </xdr:nvPicPr>
      <xdr:blipFill>
        <a:blip r:embed="rId206"/>
        <a:stretch/>
      </xdr:blipFill>
      <xdr:spPr>
        <a:xfrm>
          <a:off x="4039920" y="10302120"/>
          <a:ext cx="1170720" cy="1175400"/>
        </a:xfrm>
        <a:prstGeom prst="rect">
          <a:avLst/>
        </a:prstGeom>
        <a:noFill/>
        <a:ln w="0">
          <a:noFill/>
        </a:ln>
      </xdr:spPr>
    </xdr:pic>
    <xdr:clientData/>
  </xdr:twoCellAnchor>
  <xdr:twoCellAnchor editAs="oneCell">
    <xdr:from>
      <xdr:col>2</xdr:col>
      <xdr:colOff>38160</xdr:colOff>
      <xdr:row>10</xdr:row>
      <xdr:rowOff>144360</xdr:rowOff>
    </xdr:from>
    <xdr:to>
      <xdr:col>2</xdr:col>
      <xdr:colOff>1208880</xdr:colOff>
      <xdr:row>10</xdr:row>
      <xdr:rowOff>1315080</xdr:rowOff>
    </xdr:to>
    <xdr:pic>
      <xdr:nvPicPr>
        <xdr:cNvPr id="1666" name="图片 117" descr="3"/>
        <xdr:cNvPicPr/>
      </xdr:nvPicPr>
      <xdr:blipFill>
        <a:blip r:embed="rId207"/>
        <a:stretch/>
      </xdr:blipFill>
      <xdr:spPr>
        <a:xfrm>
          <a:off x="5605920" y="10304280"/>
          <a:ext cx="1170720" cy="1170720"/>
        </a:xfrm>
        <a:prstGeom prst="rect">
          <a:avLst/>
        </a:prstGeom>
        <a:noFill/>
        <a:ln w="0">
          <a:noFill/>
        </a:ln>
      </xdr:spPr>
    </xdr:pic>
    <xdr:clientData/>
  </xdr:twoCellAnchor>
  <xdr:twoCellAnchor editAs="oneCell">
    <xdr:from>
      <xdr:col>1</xdr:col>
      <xdr:colOff>38160</xdr:colOff>
      <xdr:row>11</xdr:row>
      <xdr:rowOff>142200</xdr:rowOff>
    </xdr:from>
    <xdr:to>
      <xdr:col>1</xdr:col>
      <xdr:colOff>1208880</xdr:colOff>
      <xdr:row>11</xdr:row>
      <xdr:rowOff>1317600</xdr:rowOff>
    </xdr:to>
    <xdr:pic>
      <xdr:nvPicPr>
        <xdr:cNvPr id="1667" name="图片 118" descr="iP17-Air(BF11)-业务图"/>
        <xdr:cNvPicPr/>
      </xdr:nvPicPr>
      <xdr:blipFill>
        <a:blip r:embed="rId208"/>
        <a:stretch/>
      </xdr:blipFill>
      <xdr:spPr>
        <a:xfrm>
          <a:off x="4039920" y="11762640"/>
          <a:ext cx="1170720" cy="1175400"/>
        </a:xfrm>
        <a:prstGeom prst="rect">
          <a:avLst/>
        </a:prstGeom>
        <a:noFill/>
        <a:ln w="0">
          <a:noFill/>
        </a:ln>
      </xdr:spPr>
    </xdr:pic>
    <xdr:clientData/>
  </xdr:twoCellAnchor>
  <xdr:twoCellAnchor editAs="oneCell">
    <xdr:from>
      <xdr:col>2</xdr:col>
      <xdr:colOff>38160</xdr:colOff>
      <xdr:row>11</xdr:row>
      <xdr:rowOff>142560</xdr:rowOff>
    </xdr:from>
    <xdr:to>
      <xdr:col>2</xdr:col>
      <xdr:colOff>1208880</xdr:colOff>
      <xdr:row>11</xdr:row>
      <xdr:rowOff>1317600</xdr:rowOff>
    </xdr:to>
    <xdr:pic>
      <xdr:nvPicPr>
        <xdr:cNvPr id="1668" name="图片 119" descr="3"/>
        <xdr:cNvPicPr/>
      </xdr:nvPicPr>
      <xdr:blipFill>
        <a:blip r:embed="rId209"/>
        <a:stretch/>
      </xdr:blipFill>
      <xdr:spPr>
        <a:xfrm>
          <a:off x="5605920" y="11763000"/>
          <a:ext cx="1170720" cy="1175040"/>
        </a:xfrm>
        <a:prstGeom prst="rect">
          <a:avLst/>
        </a:prstGeom>
        <a:noFill/>
        <a:ln w="0">
          <a:noFill/>
        </a:ln>
      </xdr:spPr>
    </xdr:pic>
    <xdr:clientData/>
  </xdr:twoCellAnchor>
  <xdr:twoCellAnchor editAs="oneCell">
    <xdr:from>
      <xdr:col>1</xdr:col>
      <xdr:colOff>38160</xdr:colOff>
      <xdr:row>17</xdr:row>
      <xdr:rowOff>142200</xdr:rowOff>
    </xdr:from>
    <xdr:to>
      <xdr:col>1</xdr:col>
      <xdr:colOff>1208880</xdr:colOff>
      <xdr:row>17</xdr:row>
      <xdr:rowOff>1317600</xdr:rowOff>
    </xdr:to>
    <xdr:pic>
      <xdr:nvPicPr>
        <xdr:cNvPr id="1669" name="图片 120" descr="BF9-iP17e&amp;16e&amp;14&amp;13&amp;13-Pro-1"/>
        <xdr:cNvPicPr/>
      </xdr:nvPicPr>
      <xdr:blipFill>
        <a:blip r:embed="rId210"/>
        <a:stretch/>
      </xdr:blipFill>
      <xdr:spPr>
        <a:xfrm>
          <a:off x="4039920" y="20525760"/>
          <a:ext cx="1170720" cy="1175400"/>
        </a:xfrm>
        <a:prstGeom prst="rect">
          <a:avLst/>
        </a:prstGeom>
        <a:noFill/>
        <a:ln w="0">
          <a:noFill/>
        </a:ln>
      </xdr:spPr>
    </xdr:pic>
    <xdr:clientData/>
  </xdr:twoCellAnchor>
  <xdr:twoCellAnchor editAs="oneCell">
    <xdr:from>
      <xdr:col>2</xdr:col>
      <xdr:colOff>38160</xdr:colOff>
      <xdr:row>17</xdr:row>
      <xdr:rowOff>144360</xdr:rowOff>
    </xdr:from>
    <xdr:to>
      <xdr:col>2</xdr:col>
      <xdr:colOff>1208880</xdr:colOff>
      <xdr:row>17</xdr:row>
      <xdr:rowOff>1315080</xdr:rowOff>
    </xdr:to>
    <xdr:pic>
      <xdr:nvPicPr>
        <xdr:cNvPr id="1670" name="图片 121" descr="BF9-iP17e&amp;16e&amp;14&amp;13&amp;13-Pro-3"/>
        <xdr:cNvPicPr/>
      </xdr:nvPicPr>
      <xdr:blipFill>
        <a:blip r:embed="rId211"/>
        <a:stretch/>
      </xdr:blipFill>
      <xdr:spPr>
        <a:xfrm>
          <a:off x="5605920" y="20527920"/>
          <a:ext cx="1170720" cy="1170720"/>
        </a:xfrm>
        <a:prstGeom prst="rect">
          <a:avLst/>
        </a:prstGeom>
        <a:noFill/>
        <a:ln w="0">
          <a:noFill/>
        </a:ln>
      </xdr:spPr>
    </xdr:pic>
    <xdr:clientData/>
  </xdr:twoCellAnchor>
  <xdr:twoCellAnchor editAs="oneCell">
    <xdr:from>
      <xdr:col>1</xdr:col>
      <xdr:colOff>38160</xdr:colOff>
      <xdr:row>18</xdr:row>
      <xdr:rowOff>142200</xdr:rowOff>
    </xdr:from>
    <xdr:to>
      <xdr:col>1</xdr:col>
      <xdr:colOff>1208880</xdr:colOff>
      <xdr:row>18</xdr:row>
      <xdr:rowOff>1317600</xdr:rowOff>
    </xdr:to>
    <xdr:pic>
      <xdr:nvPicPr>
        <xdr:cNvPr id="1671" name="图片 122" descr="BF9-iP17&amp;16-Pro&amp;16-Pro-Max-1"/>
        <xdr:cNvPicPr/>
      </xdr:nvPicPr>
      <xdr:blipFill>
        <a:blip r:embed="rId212"/>
        <a:stretch/>
      </xdr:blipFill>
      <xdr:spPr>
        <a:xfrm>
          <a:off x="4039920" y="21986280"/>
          <a:ext cx="1170720" cy="1175400"/>
        </a:xfrm>
        <a:prstGeom prst="rect">
          <a:avLst/>
        </a:prstGeom>
        <a:noFill/>
        <a:ln w="0">
          <a:noFill/>
        </a:ln>
      </xdr:spPr>
    </xdr:pic>
    <xdr:clientData/>
  </xdr:twoCellAnchor>
  <xdr:twoCellAnchor editAs="oneCell">
    <xdr:from>
      <xdr:col>2</xdr:col>
      <xdr:colOff>38160</xdr:colOff>
      <xdr:row>18</xdr:row>
      <xdr:rowOff>144360</xdr:rowOff>
    </xdr:from>
    <xdr:to>
      <xdr:col>2</xdr:col>
      <xdr:colOff>1208880</xdr:colOff>
      <xdr:row>18</xdr:row>
      <xdr:rowOff>1315080</xdr:rowOff>
    </xdr:to>
    <xdr:pic>
      <xdr:nvPicPr>
        <xdr:cNvPr id="1672" name="图片 123" descr="BF9-iP17&amp;16-Pro&amp;16-Pro-Max-3"/>
        <xdr:cNvPicPr/>
      </xdr:nvPicPr>
      <xdr:blipFill>
        <a:blip r:embed="rId213"/>
        <a:stretch/>
      </xdr:blipFill>
      <xdr:spPr>
        <a:xfrm>
          <a:off x="5605920" y="21988440"/>
          <a:ext cx="1170720" cy="1170720"/>
        </a:xfrm>
        <a:prstGeom prst="rect">
          <a:avLst/>
        </a:prstGeom>
        <a:noFill/>
        <a:ln w="0">
          <a:noFill/>
        </a:ln>
      </xdr:spPr>
    </xdr:pic>
    <xdr:clientData/>
  </xdr:twoCellAnchor>
  <xdr:twoCellAnchor editAs="oneCell">
    <xdr:from>
      <xdr:col>1</xdr:col>
      <xdr:colOff>38160</xdr:colOff>
      <xdr:row>19</xdr:row>
      <xdr:rowOff>142920</xdr:rowOff>
    </xdr:from>
    <xdr:to>
      <xdr:col>1</xdr:col>
      <xdr:colOff>1208880</xdr:colOff>
      <xdr:row>19</xdr:row>
      <xdr:rowOff>1317240</xdr:rowOff>
    </xdr:to>
    <xdr:pic>
      <xdr:nvPicPr>
        <xdr:cNvPr id="1673" name="图片 124" descr="BF9-iP17-Air-1"/>
        <xdr:cNvPicPr/>
      </xdr:nvPicPr>
      <xdr:blipFill>
        <a:blip r:embed="rId214"/>
        <a:stretch/>
      </xdr:blipFill>
      <xdr:spPr>
        <a:xfrm>
          <a:off x="4039920" y="23447520"/>
          <a:ext cx="1170720" cy="1174320"/>
        </a:xfrm>
        <a:prstGeom prst="rect">
          <a:avLst/>
        </a:prstGeom>
        <a:noFill/>
        <a:ln w="0">
          <a:noFill/>
        </a:ln>
      </xdr:spPr>
    </xdr:pic>
    <xdr:clientData/>
  </xdr:twoCellAnchor>
  <xdr:twoCellAnchor editAs="oneCell">
    <xdr:from>
      <xdr:col>2</xdr:col>
      <xdr:colOff>38160</xdr:colOff>
      <xdr:row>19</xdr:row>
      <xdr:rowOff>144360</xdr:rowOff>
    </xdr:from>
    <xdr:to>
      <xdr:col>2</xdr:col>
      <xdr:colOff>1208880</xdr:colOff>
      <xdr:row>19</xdr:row>
      <xdr:rowOff>1315080</xdr:rowOff>
    </xdr:to>
    <xdr:pic>
      <xdr:nvPicPr>
        <xdr:cNvPr id="1674" name="图片 125" descr="BF9-iP17-Air-3"/>
        <xdr:cNvPicPr/>
      </xdr:nvPicPr>
      <xdr:blipFill>
        <a:blip r:embed="rId215"/>
        <a:stretch/>
      </xdr:blipFill>
      <xdr:spPr>
        <a:xfrm>
          <a:off x="5605920" y="23448960"/>
          <a:ext cx="1170720" cy="1170720"/>
        </a:xfrm>
        <a:prstGeom prst="rect">
          <a:avLst/>
        </a:prstGeom>
        <a:noFill/>
        <a:ln w="0">
          <a:noFill/>
        </a:ln>
      </xdr:spPr>
    </xdr:pic>
    <xdr:clientData/>
  </xdr:twoCellAnchor>
  <xdr:twoCellAnchor editAs="twoCell">
    <xdr:from>
      <xdr:col>0</xdr:col>
      <xdr:colOff>0</xdr:colOff>
      <xdr:row>19</xdr:row>
      <xdr:rowOff>0</xdr:rowOff>
    </xdr:from>
    <xdr:to>
      <xdr:col>0</xdr:col>
      <xdr:colOff>828000</xdr:colOff>
      <xdr:row>19</xdr:row>
      <xdr:rowOff>297000</xdr:rowOff>
    </xdr:to>
    <xdr:pic>
      <xdr:nvPicPr>
        <xdr:cNvPr id="1675" name="图片 63" descr="新品"/>
        <xdr:cNvPicPr/>
      </xdr:nvPicPr>
      <xdr:blipFill>
        <a:blip r:embed="rId216"/>
        <a:stretch/>
      </xdr:blipFill>
      <xdr:spPr>
        <a:xfrm>
          <a:off x="0" y="23304600"/>
          <a:ext cx="828000" cy="297000"/>
        </a:xfrm>
        <a:prstGeom prst="rect">
          <a:avLst/>
        </a:prstGeom>
        <a:noFill/>
        <a:ln w="9525">
          <a:noFill/>
        </a:ln>
      </xdr:spPr>
    </xdr:pic>
    <xdr:clientData/>
  </xdr:twoCellAnchor>
  <xdr:twoCellAnchor editAs="twoCell">
    <xdr:from>
      <xdr:col>0</xdr:col>
      <xdr:colOff>0</xdr:colOff>
      <xdr:row>14</xdr:row>
      <xdr:rowOff>0</xdr:rowOff>
    </xdr:from>
    <xdr:to>
      <xdr:col>0</xdr:col>
      <xdr:colOff>828000</xdr:colOff>
      <xdr:row>14</xdr:row>
      <xdr:rowOff>297000</xdr:rowOff>
    </xdr:to>
    <xdr:pic>
      <xdr:nvPicPr>
        <xdr:cNvPr id="1676" name="图片 63" descr="新品"/>
        <xdr:cNvPicPr/>
      </xdr:nvPicPr>
      <xdr:blipFill>
        <a:blip r:embed="rId217"/>
        <a:stretch/>
      </xdr:blipFill>
      <xdr:spPr>
        <a:xfrm>
          <a:off x="0" y="16002000"/>
          <a:ext cx="828000" cy="297000"/>
        </a:xfrm>
        <a:prstGeom prst="rect">
          <a:avLst/>
        </a:prstGeom>
        <a:noFill/>
        <a:ln w="9525">
          <a:noFill/>
        </a:ln>
      </xdr:spPr>
    </xdr:pic>
    <xdr:clientData/>
  </xdr:twoCellAnchor>
  <xdr:twoCellAnchor editAs="twoCell">
    <xdr:from>
      <xdr:col>0</xdr:col>
      <xdr:colOff>0</xdr:colOff>
      <xdr:row>13</xdr:row>
      <xdr:rowOff>0</xdr:rowOff>
    </xdr:from>
    <xdr:to>
      <xdr:col>0</xdr:col>
      <xdr:colOff>828000</xdr:colOff>
      <xdr:row>13</xdr:row>
      <xdr:rowOff>297000</xdr:rowOff>
    </xdr:to>
    <xdr:pic>
      <xdr:nvPicPr>
        <xdr:cNvPr id="1677" name="图片 63" descr="新品"/>
        <xdr:cNvPicPr/>
      </xdr:nvPicPr>
      <xdr:blipFill>
        <a:blip r:embed="rId218"/>
        <a:stretch/>
      </xdr:blipFill>
      <xdr:spPr>
        <a:xfrm>
          <a:off x="0" y="14541480"/>
          <a:ext cx="828000" cy="297000"/>
        </a:xfrm>
        <a:prstGeom prst="rect">
          <a:avLst/>
        </a:prstGeom>
        <a:noFill/>
        <a:ln w="9525">
          <a:noFill/>
        </a:ln>
      </xdr:spPr>
    </xdr:pic>
    <xdr:clientData/>
  </xdr:twoCellAnchor>
  <xdr:twoCellAnchor editAs="twoCell">
    <xdr:from>
      <xdr:col>0</xdr:col>
      <xdr:colOff>0</xdr:colOff>
      <xdr:row>12</xdr:row>
      <xdr:rowOff>0</xdr:rowOff>
    </xdr:from>
    <xdr:to>
      <xdr:col>0</xdr:col>
      <xdr:colOff>828000</xdr:colOff>
      <xdr:row>12</xdr:row>
      <xdr:rowOff>297000</xdr:rowOff>
    </xdr:to>
    <xdr:pic>
      <xdr:nvPicPr>
        <xdr:cNvPr id="1678" name="图片 63" descr="新品"/>
        <xdr:cNvPicPr/>
      </xdr:nvPicPr>
      <xdr:blipFill>
        <a:blip r:embed="rId219"/>
        <a:stretch/>
      </xdr:blipFill>
      <xdr:spPr>
        <a:xfrm>
          <a:off x="0" y="13080960"/>
          <a:ext cx="828000" cy="297000"/>
        </a:xfrm>
        <a:prstGeom prst="rect">
          <a:avLst/>
        </a:prstGeom>
        <a:noFill/>
        <a:ln w="9525">
          <a:noFill/>
        </a:ln>
      </xdr:spPr>
    </xdr:pic>
    <xdr:clientData/>
  </xdr:twoCellAnchor>
  <xdr:twoCellAnchor editAs="twoCell">
    <xdr:from>
      <xdr:col>0</xdr:col>
      <xdr:colOff>0</xdr:colOff>
      <xdr:row>11</xdr:row>
      <xdr:rowOff>0</xdr:rowOff>
    </xdr:from>
    <xdr:to>
      <xdr:col>0</xdr:col>
      <xdr:colOff>828000</xdr:colOff>
      <xdr:row>11</xdr:row>
      <xdr:rowOff>297000</xdr:rowOff>
    </xdr:to>
    <xdr:pic>
      <xdr:nvPicPr>
        <xdr:cNvPr id="1679" name="图片 63" descr="新品"/>
        <xdr:cNvPicPr/>
      </xdr:nvPicPr>
      <xdr:blipFill>
        <a:blip r:embed="rId220"/>
        <a:stretch/>
      </xdr:blipFill>
      <xdr:spPr>
        <a:xfrm>
          <a:off x="0" y="11620440"/>
          <a:ext cx="828000" cy="297000"/>
        </a:xfrm>
        <a:prstGeom prst="rect">
          <a:avLst/>
        </a:prstGeom>
        <a:noFill/>
        <a:ln w="9525">
          <a:noFill/>
        </a:ln>
      </xdr:spPr>
    </xdr:pic>
    <xdr:clientData/>
  </xdr:twoCellAnchor>
  <xdr:twoCellAnchor editAs="twoCell">
    <xdr:from>
      <xdr:col>0</xdr:col>
      <xdr:colOff>0</xdr:colOff>
      <xdr:row>10</xdr:row>
      <xdr:rowOff>0</xdr:rowOff>
    </xdr:from>
    <xdr:to>
      <xdr:col>0</xdr:col>
      <xdr:colOff>828000</xdr:colOff>
      <xdr:row>10</xdr:row>
      <xdr:rowOff>297000</xdr:rowOff>
    </xdr:to>
    <xdr:pic>
      <xdr:nvPicPr>
        <xdr:cNvPr id="1680" name="图片 63" descr="新品"/>
        <xdr:cNvPicPr/>
      </xdr:nvPicPr>
      <xdr:blipFill>
        <a:blip r:embed="rId221"/>
        <a:stretch/>
      </xdr:blipFill>
      <xdr:spPr>
        <a:xfrm>
          <a:off x="0" y="10159920"/>
          <a:ext cx="828000" cy="297000"/>
        </a:xfrm>
        <a:prstGeom prst="rect">
          <a:avLst/>
        </a:prstGeom>
        <a:noFill/>
        <a:ln w="9525">
          <a:noFill/>
        </a:ln>
      </xdr:spPr>
    </xdr:pic>
    <xdr:clientData/>
  </xdr:twoCellAnchor>
  <xdr:twoCellAnchor editAs="twoCell">
    <xdr:from>
      <xdr:col>0</xdr:col>
      <xdr:colOff>0</xdr:colOff>
      <xdr:row>9</xdr:row>
      <xdr:rowOff>0</xdr:rowOff>
    </xdr:from>
    <xdr:to>
      <xdr:col>0</xdr:col>
      <xdr:colOff>828000</xdr:colOff>
      <xdr:row>9</xdr:row>
      <xdr:rowOff>297000</xdr:rowOff>
    </xdr:to>
    <xdr:pic>
      <xdr:nvPicPr>
        <xdr:cNvPr id="1681" name="图片 63" descr="新品"/>
        <xdr:cNvPicPr/>
      </xdr:nvPicPr>
      <xdr:blipFill>
        <a:blip r:embed="rId222"/>
        <a:stretch/>
      </xdr:blipFill>
      <xdr:spPr>
        <a:xfrm>
          <a:off x="0" y="8699400"/>
          <a:ext cx="828000" cy="297000"/>
        </a:xfrm>
        <a:prstGeom prst="rect">
          <a:avLst/>
        </a:prstGeom>
        <a:noFill/>
        <a:ln w="9525">
          <a:noFill/>
        </a:ln>
      </xdr:spPr>
    </xdr:pic>
    <xdr:clientData/>
  </xdr:twoCellAnchor>
  <xdr:twoCellAnchor editAs="twoCell">
    <xdr:from>
      <xdr:col>0</xdr:col>
      <xdr:colOff>0</xdr:colOff>
      <xdr:row>8</xdr:row>
      <xdr:rowOff>0</xdr:rowOff>
    </xdr:from>
    <xdr:to>
      <xdr:col>0</xdr:col>
      <xdr:colOff>828000</xdr:colOff>
      <xdr:row>8</xdr:row>
      <xdr:rowOff>297000</xdr:rowOff>
    </xdr:to>
    <xdr:pic>
      <xdr:nvPicPr>
        <xdr:cNvPr id="1682" name="图片 63" descr="新品"/>
        <xdr:cNvPicPr/>
      </xdr:nvPicPr>
      <xdr:blipFill>
        <a:blip r:embed="rId223"/>
        <a:stretch/>
      </xdr:blipFill>
      <xdr:spPr>
        <a:xfrm>
          <a:off x="0" y="7238880"/>
          <a:ext cx="828000" cy="297000"/>
        </a:xfrm>
        <a:prstGeom prst="rect">
          <a:avLst/>
        </a:prstGeom>
        <a:noFill/>
        <a:ln w="9525">
          <a:noFill/>
        </a:ln>
      </xdr:spPr>
    </xdr:pic>
    <xdr:clientData/>
  </xdr:twoCellAnchor>
  <xdr:twoCellAnchor editAs="twoCell">
    <xdr:from>
      <xdr:col>0</xdr:col>
      <xdr:colOff>0</xdr:colOff>
      <xdr:row>7</xdr:row>
      <xdr:rowOff>0</xdr:rowOff>
    </xdr:from>
    <xdr:to>
      <xdr:col>0</xdr:col>
      <xdr:colOff>828000</xdr:colOff>
      <xdr:row>7</xdr:row>
      <xdr:rowOff>297000</xdr:rowOff>
    </xdr:to>
    <xdr:pic>
      <xdr:nvPicPr>
        <xdr:cNvPr id="1683" name="图片 63" descr="新品"/>
        <xdr:cNvPicPr/>
      </xdr:nvPicPr>
      <xdr:blipFill>
        <a:blip r:embed="rId224"/>
        <a:stretch/>
      </xdr:blipFill>
      <xdr:spPr>
        <a:xfrm>
          <a:off x="0" y="5778360"/>
          <a:ext cx="828000" cy="297000"/>
        </a:xfrm>
        <a:prstGeom prst="rect">
          <a:avLst/>
        </a:prstGeom>
        <a:noFill/>
        <a:ln w="9525">
          <a:noFill/>
        </a:ln>
      </xdr:spPr>
    </xdr:pic>
    <xdr:clientData/>
  </xdr:twoCellAnchor>
  <xdr:twoCellAnchor editAs="twoCell">
    <xdr:from>
      <xdr:col>0</xdr:col>
      <xdr:colOff>0</xdr:colOff>
      <xdr:row>6</xdr:row>
      <xdr:rowOff>0</xdr:rowOff>
    </xdr:from>
    <xdr:to>
      <xdr:col>0</xdr:col>
      <xdr:colOff>828000</xdr:colOff>
      <xdr:row>6</xdr:row>
      <xdr:rowOff>297000</xdr:rowOff>
    </xdr:to>
    <xdr:pic>
      <xdr:nvPicPr>
        <xdr:cNvPr id="1684" name="图片 63" descr="新品"/>
        <xdr:cNvPicPr/>
      </xdr:nvPicPr>
      <xdr:blipFill>
        <a:blip r:embed="rId225"/>
        <a:stretch/>
      </xdr:blipFill>
      <xdr:spPr>
        <a:xfrm>
          <a:off x="0" y="4317840"/>
          <a:ext cx="828000" cy="297000"/>
        </a:xfrm>
        <a:prstGeom prst="rect">
          <a:avLst/>
        </a:prstGeom>
        <a:noFill/>
        <a:ln w="9525">
          <a:noFill/>
        </a:ln>
      </xdr:spPr>
    </xdr:pic>
    <xdr:clientData/>
  </xdr:twoCellAnchor>
  <xdr:twoCellAnchor editAs="twoCell">
    <xdr:from>
      <xdr:col>0</xdr:col>
      <xdr:colOff>0</xdr:colOff>
      <xdr:row>5</xdr:row>
      <xdr:rowOff>0</xdr:rowOff>
    </xdr:from>
    <xdr:to>
      <xdr:col>0</xdr:col>
      <xdr:colOff>828000</xdr:colOff>
      <xdr:row>5</xdr:row>
      <xdr:rowOff>297000</xdr:rowOff>
    </xdr:to>
    <xdr:pic>
      <xdr:nvPicPr>
        <xdr:cNvPr id="1685" name="图片 63" descr="新品"/>
        <xdr:cNvPicPr/>
      </xdr:nvPicPr>
      <xdr:blipFill>
        <a:blip r:embed="rId226"/>
        <a:stretch/>
      </xdr:blipFill>
      <xdr:spPr>
        <a:xfrm>
          <a:off x="0" y="2857680"/>
          <a:ext cx="828000" cy="297000"/>
        </a:xfrm>
        <a:prstGeom prst="rect">
          <a:avLst/>
        </a:prstGeom>
        <a:noFill/>
        <a:ln w="9525">
          <a:noFill/>
        </a:ln>
      </xdr:spPr>
    </xdr:pic>
    <xdr:clientData/>
  </xdr:twoCellAnchor>
  <xdr:twoCellAnchor editAs="twoCell">
    <xdr:from>
      <xdr:col>0</xdr:col>
      <xdr:colOff>0</xdr:colOff>
      <xdr:row>4</xdr:row>
      <xdr:rowOff>0</xdr:rowOff>
    </xdr:from>
    <xdr:to>
      <xdr:col>0</xdr:col>
      <xdr:colOff>828000</xdr:colOff>
      <xdr:row>4</xdr:row>
      <xdr:rowOff>297000</xdr:rowOff>
    </xdr:to>
    <xdr:pic>
      <xdr:nvPicPr>
        <xdr:cNvPr id="1686" name="图片 63" descr="新品"/>
        <xdr:cNvPicPr/>
      </xdr:nvPicPr>
      <xdr:blipFill>
        <a:blip r:embed="rId227"/>
        <a:stretch/>
      </xdr:blipFill>
      <xdr:spPr>
        <a:xfrm>
          <a:off x="0" y="1397160"/>
          <a:ext cx="828000" cy="297000"/>
        </a:xfrm>
        <a:prstGeom prst="rect">
          <a:avLst/>
        </a:prstGeom>
        <a:noFill/>
        <a:ln w="9525">
          <a:noFill/>
        </a:ln>
      </xdr:spPr>
    </xdr:pic>
    <xdr:clientData/>
  </xdr:twoCellAnchor>
</xdr:wsDr>
</file>

<file path=xl/drawings/drawing17.xml><?xml version="1.0" encoding="utf-8"?>
<xdr:wsDr xmlns:xdr="http://schemas.openxmlformats.org/drawingml/2006/spreadsheetDrawing" xmlns:a="http://schemas.openxmlformats.org/drawingml/2006/main" xmlns:r="http://schemas.openxmlformats.org/officeDocument/2006/relationships">
  <xdr:twoCellAnchor editAs="twoCell">
    <xdr:from>
      <xdr:col>6</xdr:col>
      <xdr:colOff>160560</xdr:colOff>
      <xdr:row>2</xdr:row>
      <xdr:rowOff>48960</xdr:rowOff>
    </xdr:from>
    <xdr:to>
      <xdr:col>6</xdr:col>
      <xdr:colOff>1445400</xdr:colOff>
      <xdr:row>2</xdr:row>
      <xdr:rowOff>1341720</xdr:rowOff>
    </xdr:to>
    <xdr:pic>
      <xdr:nvPicPr>
        <xdr:cNvPr id="1687" name="图片 1" descr="64a001a7fb9345d88050129c0d4ef71"/>
        <xdr:cNvPicPr/>
      </xdr:nvPicPr>
      <xdr:blipFill>
        <a:blip r:embed="rId1"/>
        <a:stretch/>
      </xdr:blipFill>
      <xdr:spPr>
        <a:xfrm>
          <a:off x="8839800" y="493560"/>
          <a:ext cx="1284840" cy="1292760"/>
        </a:xfrm>
        <a:prstGeom prst="rect">
          <a:avLst/>
        </a:prstGeom>
        <a:noFill/>
        <a:ln w="9525">
          <a:noFill/>
        </a:ln>
      </xdr:spPr>
    </xdr:pic>
    <xdr:clientData/>
  </xdr:twoCellAnchor>
  <xdr:twoCellAnchor editAs="twoCell">
    <xdr:from>
      <xdr:col>7</xdr:col>
      <xdr:colOff>1066320</xdr:colOff>
      <xdr:row>2</xdr:row>
      <xdr:rowOff>60480</xdr:rowOff>
    </xdr:from>
    <xdr:to>
      <xdr:col>8</xdr:col>
      <xdr:colOff>789840</xdr:colOff>
      <xdr:row>2</xdr:row>
      <xdr:rowOff>1352520</xdr:rowOff>
    </xdr:to>
    <xdr:pic>
      <xdr:nvPicPr>
        <xdr:cNvPr id="1688" name="图片 2" descr="8097534fa72bcc3fec0ab75c90c4a86"/>
        <xdr:cNvPicPr/>
      </xdr:nvPicPr>
      <xdr:blipFill>
        <a:blip r:embed="rId2"/>
        <a:stretch/>
      </xdr:blipFill>
      <xdr:spPr>
        <a:xfrm>
          <a:off x="11192040" y="505080"/>
          <a:ext cx="1170000" cy="1292040"/>
        </a:xfrm>
        <a:prstGeom prst="rect">
          <a:avLst/>
        </a:prstGeom>
        <a:noFill/>
        <a:ln w="9525">
          <a:noFill/>
        </a:ln>
      </xdr:spPr>
    </xdr:pic>
    <xdr:clientData/>
  </xdr:twoCellAnchor>
  <xdr:twoCellAnchor editAs="twoCell">
    <xdr:from>
      <xdr:col>9</xdr:col>
      <xdr:colOff>547920</xdr:colOff>
      <xdr:row>2</xdr:row>
      <xdr:rowOff>48960</xdr:rowOff>
    </xdr:from>
    <xdr:to>
      <xdr:col>10</xdr:col>
      <xdr:colOff>647640</xdr:colOff>
      <xdr:row>2</xdr:row>
      <xdr:rowOff>1341720</xdr:rowOff>
    </xdr:to>
    <xdr:pic>
      <xdr:nvPicPr>
        <xdr:cNvPr id="1689" name="图片 3" descr="10b527899ff0ee3ea8f0237c60bceaa"/>
        <xdr:cNvPicPr/>
      </xdr:nvPicPr>
      <xdr:blipFill>
        <a:blip r:embed="rId3"/>
        <a:stretch/>
      </xdr:blipFill>
      <xdr:spPr>
        <a:xfrm>
          <a:off x="13566600" y="493560"/>
          <a:ext cx="1546200" cy="1292760"/>
        </a:xfrm>
        <a:prstGeom prst="rect">
          <a:avLst/>
        </a:prstGeom>
        <a:noFill/>
        <a:ln w="9525">
          <a:noFill/>
        </a:ln>
      </xdr:spPr>
    </xdr:pic>
    <xdr:clientData/>
  </xdr:twoCellAnchor>
</xdr:wsDr>
</file>

<file path=xl/drawings/drawing18.xml><?xml version="1.0" encoding="utf-8"?>
<xdr:wsDr xmlns:xdr="http://schemas.openxmlformats.org/drawingml/2006/spreadsheetDrawing" xmlns:a="http://schemas.openxmlformats.org/drawingml/2006/main" xmlns:r="http://schemas.openxmlformats.org/officeDocument/2006/relationships">
  <xdr:twoCellAnchor editAs="twoCell">
    <xdr:from>
      <xdr:col>2</xdr:col>
      <xdr:colOff>1188000</xdr:colOff>
      <xdr:row>25</xdr:row>
      <xdr:rowOff>50760</xdr:rowOff>
    </xdr:from>
    <xdr:to>
      <xdr:col>2</xdr:col>
      <xdr:colOff>1188000</xdr:colOff>
      <xdr:row>25</xdr:row>
      <xdr:rowOff>379440</xdr:rowOff>
    </xdr:to>
    <xdr:pic>
      <xdr:nvPicPr>
        <xdr:cNvPr id="1690" name="图片 19" descr="bf3"/>
        <xdr:cNvPicPr/>
      </xdr:nvPicPr>
      <xdr:blipFill>
        <a:blip r:embed="rId1"/>
        <a:stretch/>
      </xdr:blipFill>
      <xdr:spPr>
        <a:xfrm>
          <a:off x="5642640" y="12763440"/>
          <a:ext cx="0" cy="328680"/>
        </a:xfrm>
        <a:prstGeom prst="rect">
          <a:avLst/>
        </a:prstGeom>
        <a:noFill/>
        <a:ln w="9525">
          <a:noFill/>
        </a:ln>
      </xdr:spPr>
    </xdr:pic>
    <xdr:clientData/>
  </xdr:twoCellAnchor>
  <xdr:twoCellAnchor editAs="twoCell">
    <xdr:from>
      <xdr:col>2</xdr:col>
      <xdr:colOff>1188000</xdr:colOff>
      <xdr:row>16</xdr:row>
      <xdr:rowOff>47520</xdr:rowOff>
    </xdr:from>
    <xdr:to>
      <xdr:col>2</xdr:col>
      <xdr:colOff>1188000</xdr:colOff>
      <xdr:row>16</xdr:row>
      <xdr:rowOff>1341000</xdr:rowOff>
    </xdr:to>
    <xdr:pic>
      <xdr:nvPicPr>
        <xdr:cNvPr id="1691" name="图片 19" descr="bf3"/>
        <xdr:cNvPicPr/>
      </xdr:nvPicPr>
      <xdr:blipFill>
        <a:blip r:embed="rId2"/>
        <a:stretch/>
      </xdr:blipFill>
      <xdr:spPr>
        <a:xfrm>
          <a:off x="5642640" y="7819920"/>
          <a:ext cx="0" cy="1293480"/>
        </a:xfrm>
        <a:prstGeom prst="rect">
          <a:avLst/>
        </a:prstGeom>
        <a:noFill/>
        <a:ln w="9525">
          <a:noFill/>
        </a:ln>
      </xdr:spPr>
    </xdr:pic>
    <xdr:clientData/>
  </xdr:twoCellAnchor>
  <xdr:twoCellAnchor editAs="twoCell">
    <xdr:from>
      <xdr:col>2</xdr:col>
      <xdr:colOff>1188000</xdr:colOff>
      <xdr:row>3</xdr:row>
      <xdr:rowOff>47520</xdr:rowOff>
    </xdr:from>
    <xdr:to>
      <xdr:col>2</xdr:col>
      <xdr:colOff>1188000</xdr:colOff>
      <xdr:row>3</xdr:row>
      <xdr:rowOff>1341000</xdr:rowOff>
    </xdr:to>
    <xdr:pic>
      <xdr:nvPicPr>
        <xdr:cNvPr id="1692" name="图片 19" descr="bf3"/>
        <xdr:cNvPicPr/>
      </xdr:nvPicPr>
      <xdr:blipFill>
        <a:blip r:embed="rId3"/>
        <a:stretch/>
      </xdr:blipFill>
      <xdr:spPr>
        <a:xfrm>
          <a:off x="5642640" y="1253880"/>
          <a:ext cx="0" cy="1293480"/>
        </a:xfrm>
        <a:prstGeom prst="rect">
          <a:avLst/>
        </a:prstGeom>
        <a:noFill/>
        <a:ln w="9525">
          <a:noFill/>
        </a:ln>
      </xdr:spPr>
    </xdr:pic>
    <xdr:clientData/>
  </xdr:twoCellAnchor>
  <xdr:twoCellAnchor editAs="twoCell">
    <xdr:from>
      <xdr:col>3</xdr:col>
      <xdr:colOff>1096560</xdr:colOff>
      <xdr:row>3</xdr:row>
      <xdr:rowOff>54720</xdr:rowOff>
    </xdr:from>
    <xdr:to>
      <xdr:col>3</xdr:col>
      <xdr:colOff>1096560</xdr:colOff>
      <xdr:row>3</xdr:row>
      <xdr:rowOff>1683360</xdr:rowOff>
    </xdr:to>
    <xdr:pic>
      <xdr:nvPicPr>
        <xdr:cNvPr id="1693" name="图片 6" descr="C:/Users/庞文成/AppData/Local/Temp/picturecompress_20210803115818/output_1.jpgoutput_1"/>
        <xdr:cNvPicPr/>
      </xdr:nvPicPr>
      <xdr:blipFill>
        <a:blip r:embed="rId4"/>
        <a:stretch/>
      </xdr:blipFill>
      <xdr:spPr>
        <a:xfrm>
          <a:off x="7769880" y="1261080"/>
          <a:ext cx="0" cy="1628640"/>
        </a:xfrm>
        <a:prstGeom prst="rect">
          <a:avLst/>
        </a:prstGeom>
        <a:noFill/>
        <a:ln w="9525">
          <a:noFill/>
        </a:ln>
      </xdr:spPr>
    </xdr:pic>
    <xdr:clientData/>
  </xdr:twoCellAnchor>
  <xdr:twoCellAnchor editAs="twoCell">
    <xdr:from>
      <xdr:col>4</xdr:col>
      <xdr:colOff>1095480</xdr:colOff>
      <xdr:row>3</xdr:row>
      <xdr:rowOff>54720</xdr:rowOff>
    </xdr:from>
    <xdr:to>
      <xdr:col>4</xdr:col>
      <xdr:colOff>1095480</xdr:colOff>
      <xdr:row>3</xdr:row>
      <xdr:rowOff>1683360</xdr:rowOff>
    </xdr:to>
    <xdr:pic>
      <xdr:nvPicPr>
        <xdr:cNvPr id="1694" name="图片 6" descr="C:/Users/庞文成/AppData/Local/Temp/picturecompress_20210803115818/output_1.jpgoutput_1"/>
        <xdr:cNvPicPr/>
      </xdr:nvPicPr>
      <xdr:blipFill>
        <a:blip r:embed="rId5"/>
        <a:stretch/>
      </xdr:blipFill>
      <xdr:spPr>
        <a:xfrm>
          <a:off x="9813240" y="1261080"/>
          <a:ext cx="0" cy="1628640"/>
        </a:xfrm>
        <a:prstGeom prst="rect">
          <a:avLst/>
        </a:prstGeom>
        <a:noFill/>
        <a:ln w="9525">
          <a:noFill/>
        </a:ln>
      </xdr:spPr>
    </xdr:pic>
    <xdr:clientData/>
  </xdr:twoCellAnchor>
  <xdr:twoCellAnchor editAs="twoCell">
    <xdr:from>
      <xdr:col>5</xdr:col>
      <xdr:colOff>1913040</xdr:colOff>
      <xdr:row>3</xdr:row>
      <xdr:rowOff>232920</xdr:rowOff>
    </xdr:from>
    <xdr:to>
      <xdr:col>5</xdr:col>
      <xdr:colOff>1913040</xdr:colOff>
      <xdr:row>3</xdr:row>
      <xdr:rowOff>1525680</xdr:rowOff>
    </xdr:to>
    <xdr:pic>
      <xdr:nvPicPr>
        <xdr:cNvPr id="1695" name="图片 9" descr="C:/Users/庞文成/AppData/Local/Temp/picturecompress_20210803115818/output_3.jpgoutput_3"/>
        <xdr:cNvPicPr/>
      </xdr:nvPicPr>
      <xdr:blipFill>
        <a:blip r:embed="rId6"/>
        <a:stretch/>
      </xdr:blipFill>
      <xdr:spPr>
        <a:xfrm>
          <a:off x="12751200" y="1439280"/>
          <a:ext cx="0" cy="1292760"/>
        </a:xfrm>
        <a:prstGeom prst="rect">
          <a:avLst/>
        </a:prstGeom>
        <a:noFill/>
        <a:ln w="9525">
          <a:noFill/>
        </a:ln>
      </xdr:spPr>
    </xdr:pic>
    <xdr:clientData/>
  </xdr:twoCellAnchor>
  <xdr:twoCellAnchor editAs="oneCell">
    <xdr:from>
      <xdr:col>3</xdr:col>
      <xdr:colOff>769680</xdr:colOff>
      <xdr:row>16</xdr:row>
      <xdr:rowOff>143640</xdr:rowOff>
    </xdr:from>
    <xdr:to>
      <xdr:col>4</xdr:col>
      <xdr:colOff>200880</xdr:colOff>
      <xdr:row>16</xdr:row>
      <xdr:rowOff>1629000</xdr:rowOff>
    </xdr:to>
    <xdr:pic>
      <xdr:nvPicPr>
        <xdr:cNvPr id="1696" name="图片 2" descr="C:/Users/Ray/AppData/Local/Temp/picturecompress_20210720164459/output_8.jpgoutput_8"/>
        <xdr:cNvPicPr/>
      </xdr:nvPicPr>
      <xdr:blipFill>
        <a:blip r:embed="rId7"/>
        <a:stretch/>
      </xdr:blipFill>
      <xdr:spPr>
        <a:xfrm>
          <a:off x="7443000" y="7916040"/>
          <a:ext cx="1475640" cy="1485360"/>
        </a:xfrm>
        <a:prstGeom prst="rect">
          <a:avLst/>
        </a:prstGeom>
        <a:noFill/>
        <a:ln w="9525">
          <a:noFill/>
        </a:ln>
      </xdr:spPr>
    </xdr:pic>
    <xdr:clientData/>
  </xdr:twoCellAnchor>
  <xdr:twoCellAnchor editAs="oneCell">
    <xdr:from>
      <xdr:col>5</xdr:col>
      <xdr:colOff>1168920</xdr:colOff>
      <xdr:row>16</xdr:row>
      <xdr:rowOff>177840</xdr:rowOff>
    </xdr:from>
    <xdr:to>
      <xdr:col>6</xdr:col>
      <xdr:colOff>694080</xdr:colOff>
      <xdr:row>16</xdr:row>
      <xdr:rowOff>1642680</xdr:rowOff>
    </xdr:to>
    <xdr:pic>
      <xdr:nvPicPr>
        <xdr:cNvPr id="1697" name="图片 5" descr="C:/Users/Ray/AppData/Local/Temp/picturecompress_20210720164459/output_10.jpgoutput_10"/>
        <xdr:cNvPicPr/>
      </xdr:nvPicPr>
      <xdr:blipFill>
        <a:blip r:embed="rId8"/>
        <a:stretch/>
      </xdr:blipFill>
      <xdr:spPr>
        <a:xfrm>
          <a:off x="12007080" y="7950240"/>
          <a:ext cx="1438920" cy="1464840"/>
        </a:xfrm>
        <a:prstGeom prst="rect">
          <a:avLst/>
        </a:prstGeom>
        <a:noFill/>
        <a:ln w="9525">
          <a:noFill/>
        </a:ln>
      </xdr:spPr>
    </xdr:pic>
    <xdr:clientData/>
  </xdr:twoCellAnchor>
  <xdr:twoCellAnchor editAs="oneCell">
    <xdr:from>
      <xdr:col>4</xdr:col>
      <xdr:colOff>990720</xdr:colOff>
      <xdr:row>16</xdr:row>
      <xdr:rowOff>137160</xdr:rowOff>
    </xdr:from>
    <xdr:to>
      <xdr:col>5</xdr:col>
      <xdr:colOff>309240</xdr:colOff>
      <xdr:row>16</xdr:row>
      <xdr:rowOff>1656000</xdr:rowOff>
    </xdr:to>
    <xdr:pic>
      <xdr:nvPicPr>
        <xdr:cNvPr id="1698" name="图片 4" descr="C:/Users/Ray/AppData/Local/Temp/picturecompress_20210720164459/output_9.jpgoutput_9"/>
        <xdr:cNvPicPr/>
      </xdr:nvPicPr>
      <xdr:blipFill>
        <a:blip r:embed="rId9"/>
        <a:stretch/>
      </xdr:blipFill>
      <xdr:spPr>
        <a:xfrm>
          <a:off x="9708480" y="7909560"/>
          <a:ext cx="1438920" cy="1518840"/>
        </a:xfrm>
        <a:prstGeom prst="rect">
          <a:avLst/>
        </a:prstGeom>
        <a:noFill/>
        <a:ln w="9525">
          <a:noFill/>
        </a:ln>
      </xdr:spPr>
    </xdr:pic>
    <xdr:clientData/>
  </xdr:twoCellAnchor>
  <xdr:twoCellAnchor editAs="oneCell">
    <xdr:from>
      <xdr:col>6</xdr:col>
      <xdr:colOff>1382400</xdr:colOff>
      <xdr:row>16</xdr:row>
      <xdr:rowOff>171360</xdr:rowOff>
    </xdr:from>
    <xdr:to>
      <xdr:col>6</xdr:col>
      <xdr:colOff>2823120</xdr:colOff>
      <xdr:row>16</xdr:row>
      <xdr:rowOff>1614600</xdr:rowOff>
    </xdr:to>
    <xdr:pic>
      <xdr:nvPicPr>
        <xdr:cNvPr id="1699" name="图片 6" descr="C:/Users/Ray/AppData/Local/Temp/picturecompress_20210720164459/output_11.jpgoutput_11"/>
        <xdr:cNvPicPr/>
      </xdr:nvPicPr>
      <xdr:blipFill>
        <a:blip r:embed="rId10"/>
        <a:stretch/>
      </xdr:blipFill>
      <xdr:spPr>
        <a:xfrm>
          <a:off x="14134320" y="7943760"/>
          <a:ext cx="1440720" cy="1443240"/>
        </a:xfrm>
        <a:prstGeom prst="rect">
          <a:avLst/>
        </a:prstGeom>
        <a:noFill/>
        <a:ln w="9525">
          <a:noFill/>
        </a:ln>
      </xdr:spPr>
    </xdr:pic>
    <xdr:clientData/>
  </xdr:twoCellAnchor>
  <xdr:twoCellAnchor editAs="twoCell">
    <xdr:from>
      <xdr:col>6</xdr:col>
      <xdr:colOff>1224360</xdr:colOff>
      <xdr:row>25</xdr:row>
      <xdr:rowOff>38160</xdr:rowOff>
    </xdr:from>
    <xdr:to>
      <xdr:col>6</xdr:col>
      <xdr:colOff>2665080</xdr:colOff>
      <xdr:row>25</xdr:row>
      <xdr:rowOff>379440</xdr:rowOff>
    </xdr:to>
    <xdr:pic>
      <xdr:nvPicPr>
        <xdr:cNvPr id="1700" name="图片 21" descr="C:/Users/Ray/AppData/Local/Temp/picturecompress_20210720165330/output_6.jpgoutput_6"/>
        <xdr:cNvPicPr/>
      </xdr:nvPicPr>
      <xdr:blipFill>
        <a:blip r:embed="rId11"/>
        <a:stretch/>
      </xdr:blipFill>
      <xdr:spPr>
        <a:xfrm>
          <a:off x="13976280" y="12750840"/>
          <a:ext cx="1440720" cy="341280"/>
        </a:xfrm>
        <a:prstGeom prst="rect">
          <a:avLst/>
        </a:prstGeom>
        <a:noFill/>
        <a:ln w="9525">
          <a:noFill/>
        </a:ln>
      </xdr:spPr>
    </xdr:pic>
    <xdr:clientData/>
  </xdr:twoCellAnchor>
  <xdr:twoCellAnchor editAs="twoCell">
    <xdr:from>
      <xdr:col>3</xdr:col>
      <xdr:colOff>837720</xdr:colOff>
      <xdr:row>25</xdr:row>
      <xdr:rowOff>69840</xdr:rowOff>
    </xdr:from>
    <xdr:to>
      <xdr:col>4</xdr:col>
      <xdr:colOff>550440</xdr:colOff>
      <xdr:row>25</xdr:row>
      <xdr:rowOff>379440</xdr:rowOff>
    </xdr:to>
    <xdr:pic>
      <xdr:nvPicPr>
        <xdr:cNvPr id="1701" name="图片 7" descr="C:/Users/Ray/AppData/Local/Temp/picturecompress_20210720165330/output_1.jpgoutput_1"/>
        <xdr:cNvPicPr/>
      </xdr:nvPicPr>
      <xdr:blipFill>
        <a:blip r:embed="rId12"/>
        <a:stretch/>
      </xdr:blipFill>
      <xdr:spPr>
        <a:xfrm>
          <a:off x="7511040" y="12782520"/>
          <a:ext cx="1757160" cy="309600"/>
        </a:xfrm>
        <a:prstGeom prst="rect">
          <a:avLst/>
        </a:prstGeom>
        <a:noFill/>
        <a:ln w="9525">
          <a:noFill/>
        </a:ln>
      </xdr:spPr>
    </xdr:pic>
    <xdr:clientData/>
  </xdr:twoCellAnchor>
  <xdr:twoCellAnchor editAs="twoCell">
    <xdr:from>
      <xdr:col>4</xdr:col>
      <xdr:colOff>1093320</xdr:colOff>
      <xdr:row>25</xdr:row>
      <xdr:rowOff>88920</xdr:rowOff>
    </xdr:from>
    <xdr:to>
      <xdr:col>5</xdr:col>
      <xdr:colOff>804240</xdr:colOff>
      <xdr:row>25</xdr:row>
      <xdr:rowOff>379440</xdr:rowOff>
    </xdr:to>
    <xdr:pic>
      <xdr:nvPicPr>
        <xdr:cNvPr id="1702" name="图片 14" descr="C:/Users/Ray/AppData/Local/Temp/picturecompress_20210720165330/output_12.jpgoutput_12"/>
        <xdr:cNvPicPr/>
      </xdr:nvPicPr>
      <xdr:blipFill>
        <a:blip r:embed="rId13"/>
        <a:stretch/>
      </xdr:blipFill>
      <xdr:spPr>
        <a:xfrm>
          <a:off x="9811080" y="12801600"/>
          <a:ext cx="1831320" cy="290520"/>
        </a:xfrm>
        <a:prstGeom prst="rect">
          <a:avLst/>
        </a:prstGeom>
        <a:noFill/>
        <a:ln w="9525">
          <a:noFill/>
        </a:ln>
      </xdr:spPr>
    </xdr:pic>
    <xdr:clientData/>
  </xdr:twoCellAnchor>
  <xdr:twoCellAnchor editAs="twoCell">
    <xdr:from>
      <xdr:col>5</xdr:col>
      <xdr:colOff>1247760</xdr:colOff>
      <xdr:row>25</xdr:row>
      <xdr:rowOff>69840</xdr:rowOff>
    </xdr:from>
    <xdr:to>
      <xdr:col>6</xdr:col>
      <xdr:colOff>962640</xdr:colOff>
      <xdr:row>25</xdr:row>
      <xdr:rowOff>379440</xdr:rowOff>
    </xdr:to>
    <xdr:pic>
      <xdr:nvPicPr>
        <xdr:cNvPr id="1703" name="图片 20" descr="C:/Users/Ray/AppData/Local/Temp/picturecompress_20210720165330/output_13.jpgoutput_13"/>
        <xdr:cNvPicPr/>
      </xdr:nvPicPr>
      <xdr:blipFill>
        <a:blip r:embed="rId14"/>
        <a:stretch/>
      </xdr:blipFill>
      <xdr:spPr>
        <a:xfrm>
          <a:off x="12085920" y="12782520"/>
          <a:ext cx="1628640" cy="309600"/>
        </a:xfrm>
        <a:prstGeom prst="rect">
          <a:avLst/>
        </a:prstGeom>
        <a:noFill/>
        <a:ln w="9525">
          <a:noFill/>
        </a:ln>
      </xdr:spPr>
    </xdr:pic>
    <xdr:clientData/>
  </xdr:twoCellAnchor>
  <xdr:twoCellAnchor editAs="twoCell">
    <xdr:from>
      <xdr:col>3</xdr:col>
      <xdr:colOff>685800</xdr:colOff>
      <xdr:row>3</xdr:row>
      <xdr:rowOff>239400</xdr:rowOff>
    </xdr:from>
    <xdr:to>
      <xdr:col>4</xdr:col>
      <xdr:colOff>189720</xdr:colOff>
      <xdr:row>3</xdr:row>
      <xdr:rowOff>1532880</xdr:rowOff>
    </xdr:to>
    <xdr:pic>
      <xdr:nvPicPr>
        <xdr:cNvPr id="1704" name="图片 6" descr="C:/Users/庞文成/AppData/Local/Temp/picturecompress_20210803115818/output_1.jpgoutput_1"/>
        <xdr:cNvPicPr/>
      </xdr:nvPicPr>
      <xdr:blipFill>
        <a:blip r:embed="rId15"/>
        <a:stretch/>
      </xdr:blipFill>
      <xdr:spPr>
        <a:xfrm>
          <a:off x="7359120" y="1445760"/>
          <a:ext cx="1548360" cy="1293480"/>
        </a:xfrm>
        <a:prstGeom prst="rect">
          <a:avLst/>
        </a:prstGeom>
        <a:noFill/>
        <a:ln w="9525">
          <a:noFill/>
        </a:ln>
      </xdr:spPr>
    </xdr:pic>
    <xdr:clientData/>
  </xdr:twoCellAnchor>
  <xdr:twoCellAnchor editAs="twoCell">
    <xdr:from>
      <xdr:col>4</xdr:col>
      <xdr:colOff>852840</xdr:colOff>
      <xdr:row>3</xdr:row>
      <xdr:rowOff>266760</xdr:rowOff>
    </xdr:from>
    <xdr:to>
      <xdr:col>4</xdr:col>
      <xdr:colOff>2118960</xdr:colOff>
      <xdr:row>3</xdr:row>
      <xdr:rowOff>1560240</xdr:rowOff>
    </xdr:to>
    <xdr:pic>
      <xdr:nvPicPr>
        <xdr:cNvPr id="1705" name="图片 7" descr="C:/Users/庞文成/AppData/Local/Temp/picturecompress_20210803115818/output_2.jpgoutput_2"/>
        <xdr:cNvPicPr/>
      </xdr:nvPicPr>
      <xdr:blipFill>
        <a:blip r:embed="rId16"/>
        <a:stretch/>
      </xdr:blipFill>
      <xdr:spPr>
        <a:xfrm>
          <a:off x="9570600" y="1473120"/>
          <a:ext cx="1266120" cy="1293480"/>
        </a:xfrm>
        <a:prstGeom prst="rect">
          <a:avLst/>
        </a:prstGeom>
        <a:noFill/>
        <a:ln w="9525">
          <a:noFill/>
        </a:ln>
      </xdr:spPr>
    </xdr:pic>
    <xdr:clientData/>
  </xdr:twoCellAnchor>
  <xdr:twoCellAnchor editAs="twoCell">
    <xdr:from>
      <xdr:col>5</xdr:col>
      <xdr:colOff>815400</xdr:colOff>
      <xdr:row>3</xdr:row>
      <xdr:rowOff>266760</xdr:rowOff>
    </xdr:from>
    <xdr:to>
      <xdr:col>6</xdr:col>
      <xdr:colOff>586800</xdr:colOff>
      <xdr:row>3</xdr:row>
      <xdr:rowOff>1560240</xdr:rowOff>
    </xdr:to>
    <xdr:pic>
      <xdr:nvPicPr>
        <xdr:cNvPr id="1706" name="图片 9" descr="C:/Users/庞文成/AppData/Local/Temp/picturecompress_20210803115818/output_3.jpgoutput_3"/>
        <xdr:cNvPicPr/>
      </xdr:nvPicPr>
      <xdr:blipFill>
        <a:blip r:embed="rId17"/>
        <a:stretch/>
      </xdr:blipFill>
      <xdr:spPr>
        <a:xfrm>
          <a:off x="11653560" y="1473120"/>
          <a:ext cx="1685160" cy="1293480"/>
        </a:xfrm>
        <a:prstGeom prst="rect">
          <a:avLst/>
        </a:prstGeom>
        <a:noFill/>
        <a:ln w="9525">
          <a:noFill/>
        </a:ln>
      </xdr:spPr>
    </xdr:pic>
    <xdr:clientData/>
  </xdr:twoCellAnchor>
  <xdr:twoCellAnchor editAs="oneCell">
    <xdr:from>
      <xdr:col>6</xdr:col>
      <xdr:colOff>944280</xdr:colOff>
      <xdr:row>3</xdr:row>
      <xdr:rowOff>61560</xdr:rowOff>
    </xdr:from>
    <xdr:to>
      <xdr:col>6</xdr:col>
      <xdr:colOff>2528640</xdr:colOff>
      <xdr:row>3</xdr:row>
      <xdr:rowOff>1656000</xdr:rowOff>
    </xdr:to>
    <xdr:pic>
      <xdr:nvPicPr>
        <xdr:cNvPr id="1707" name="图片 19" descr="12"/>
        <xdr:cNvPicPr/>
      </xdr:nvPicPr>
      <xdr:blipFill>
        <a:blip r:embed="rId18"/>
        <a:stretch/>
      </xdr:blipFill>
      <xdr:spPr>
        <a:xfrm>
          <a:off x="13696200" y="1267920"/>
          <a:ext cx="1584360" cy="1594440"/>
        </a:xfrm>
        <a:prstGeom prst="rect">
          <a:avLst/>
        </a:prstGeom>
        <a:noFill/>
        <a:ln w="9525">
          <a:noFill/>
        </a:ln>
      </xdr:spPr>
    </xdr:pic>
    <xdr:clientData/>
  </xdr:twoCellAnchor>
</xdr:wsDr>
</file>

<file path=xl/drawings/drawing19.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149400</xdr:colOff>
      <xdr:row>18</xdr:row>
      <xdr:rowOff>38160</xdr:rowOff>
    </xdr:from>
    <xdr:to>
      <xdr:col>1</xdr:col>
      <xdr:colOff>1364760</xdr:colOff>
      <xdr:row>18</xdr:row>
      <xdr:rowOff>1421640</xdr:rowOff>
    </xdr:to>
    <xdr:pic>
      <xdr:nvPicPr>
        <xdr:cNvPr id="1708" name="图片 1" descr="92f19fa637ff4a87b27434640da9591"/>
        <xdr:cNvPicPr/>
      </xdr:nvPicPr>
      <xdr:blipFill>
        <a:blip r:embed="rId1"/>
        <a:stretch/>
      </xdr:blipFill>
      <xdr:spPr>
        <a:xfrm>
          <a:off x="4064040" y="22999680"/>
          <a:ext cx="1215360" cy="1383480"/>
        </a:xfrm>
        <a:prstGeom prst="rect">
          <a:avLst/>
        </a:prstGeom>
        <a:noFill/>
        <a:ln w="9525">
          <a:noFill/>
        </a:ln>
      </xdr:spPr>
    </xdr:pic>
    <xdr:clientData/>
  </xdr:twoCellAnchor>
  <xdr:twoCellAnchor editAs="oneCell">
    <xdr:from>
      <xdr:col>1</xdr:col>
      <xdr:colOff>38160</xdr:colOff>
      <xdr:row>19</xdr:row>
      <xdr:rowOff>176400</xdr:rowOff>
    </xdr:from>
    <xdr:to>
      <xdr:col>1</xdr:col>
      <xdr:colOff>1475640</xdr:colOff>
      <xdr:row>19</xdr:row>
      <xdr:rowOff>1283400</xdr:rowOff>
    </xdr:to>
    <xdr:pic>
      <xdr:nvPicPr>
        <xdr:cNvPr id="1709" name="图片 1" descr="QQ图片20190513125949"/>
        <xdr:cNvPicPr/>
      </xdr:nvPicPr>
      <xdr:blipFill>
        <a:blip r:embed="rId2"/>
        <a:stretch/>
      </xdr:blipFill>
      <xdr:spPr>
        <a:xfrm>
          <a:off x="3952800" y="24598440"/>
          <a:ext cx="1437480" cy="1107000"/>
        </a:xfrm>
        <a:prstGeom prst="rect">
          <a:avLst/>
        </a:prstGeom>
        <a:noFill/>
        <a:ln w="9525">
          <a:noFill/>
        </a:ln>
      </xdr:spPr>
    </xdr:pic>
    <xdr:clientData/>
  </xdr:twoCellAnchor>
  <xdr:twoCellAnchor editAs="oneCell">
    <xdr:from>
      <xdr:col>1</xdr:col>
      <xdr:colOff>166320</xdr:colOff>
      <xdr:row>17</xdr:row>
      <xdr:rowOff>38160</xdr:rowOff>
    </xdr:from>
    <xdr:to>
      <xdr:col>1</xdr:col>
      <xdr:colOff>1347480</xdr:colOff>
      <xdr:row>17</xdr:row>
      <xdr:rowOff>1421640</xdr:rowOff>
    </xdr:to>
    <xdr:pic>
      <xdr:nvPicPr>
        <xdr:cNvPr id="1710" name="图片 4" descr="cdf7aed7a0a627c0ad59730f9ebe109"/>
        <xdr:cNvPicPr/>
      </xdr:nvPicPr>
      <xdr:blipFill>
        <a:blip r:embed="rId3"/>
        <a:stretch/>
      </xdr:blipFill>
      <xdr:spPr>
        <a:xfrm>
          <a:off x="4080960" y="21539160"/>
          <a:ext cx="1181160" cy="1383480"/>
        </a:xfrm>
        <a:prstGeom prst="rect">
          <a:avLst/>
        </a:prstGeom>
        <a:noFill/>
        <a:ln w="9525">
          <a:noFill/>
        </a:ln>
      </xdr:spPr>
    </xdr:pic>
    <xdr:clientData/>
  </xdr:twoCellAnchor>
  <xdr:twoCellAnchor editAs="oneCell">
    <xdr:from>
      <xdr:col>1</xdr:col>
      <xdr:colOff>69840</xdr:colOff>
      <xdr:row>11</xdr:row>
      <xdr:rowOff>38160</xdr:rowOff>
    </xdr:from>
    <xdr:to>
      <xdr:col>1</xdr:col>
      <xdr:colOff>1443960</xdr:colOff>
      <xdr:row>11</xdr:row>
      <xdr:rowOff>1421640</xdr:rowOff>
    </xdr:to>
    <xdr:pic>
      <xdr:nvPicPr>
        <xdr:cNvPr id="1711" name="图片 3" descr="259bcbbffcf33239a6097bfec572be5"/>
        <xdr:cNvPicPr/>
      </xdr:nvPicPr>
      <xdr:blipFill>
        <a:blip r:embed="rId4"/>
        <a:stretch/>
      </xdr:blipFill>
      <xdr:spPr>
        <a:xfrm>
          <a:off x="3984480" y="12776400"/>
          <a:ext cx="1374120" cy="1383480"/>
        </a:xfrm>
        <a:prstGeom prst="rect">
          <a:avLst/>
        </a:prstGeom>
        <a:noFill/>
        <a:ln w="9525">
          <a:noFill/>
        </a:ln>
      </xdr:spPr>
    </xdr:pic>
    <xdr:clientData/>
  </xdr:twoCellAnchor>
  <xdr:twoCellAnchor editAs="oneCell">
    <xdr:from>
      <xdr:col>1</xdr:col>
      <xdr:colOff>64800</xdr:colOff>
      <xdr:row>15</xdr:row>
      <xdr:rowOff>38160</xdr:rowOff>
    </xdr:from>
    <xdr:to>
      <xdr:col>1</xdr:col>
      <xdr:colOff>1449000</xdr:colOff>
      <xdr:row>15</xdr:row>
      <xdr:rowOff>1421640</xdr:rowOff>
    </xdr:to>
    <xdr:pic>
      <xdr:nvPicPr>
        <xdr:cNvPr id="1712" name="图片 15"/>
        <xdr:cNvPicPr/>
      </xdr:nvPicPr>
      <xdr:blipFill>
        <a:blip r:embed="rId5"/>
        <a:stretch/>
      </xdr:blipFill>
      <xdr:spPr>
        <a:xfrm>
          <a:off x="3979440" y="18618120"/>
          <a:ext cx="1384200" cy="1383480"/>
        </a:xfrm>
        <a:prstGeom prst="rect">
          <a:avLst/>
        </a:prstGeom>
        <a:noFill/>
        <a:ln w="9525">
          <a:noFill/>
        </a:ln>
      </xdr:spPr>
    </xdr:pic>
    <xdr:clientData/>
  </xdr:twoCellAnchor>
  <xdr:twoCellAnchor editAs="oneCell">
    <xdr:from>
      <xdr:col>1</xdr:col>
      <xdr:colOff>38160</xdr:colOff>
      <xdr:row>13</xdr:row>
      <xdr:rowOff>74160</xdr:rowOff>
    </xdr:from>
    <xdr:to>
      <xdr:col>1</xdr:col>
      <xdr:colOff>1475640</xdr:colOff>
      <xdr:row>13</xdr:row>
      <xdr:rowOff>1385280</xdr:rowOff>
    </xdr:to>
    <xdr:pic>
      <xdr:nvPicPr>
        <xdr:cNvPr id="1713" name="图片 16" descr="4e320656c789985dc3f8b36f7334961"/>
        <xdr:cNvPicPr/>
      </xdr:nvPicPr>
      <xdr:blipFill>
        <a:blip r:embed="rId6"/>
        <a:stretch/>
      </xdr:blipFill>
      <xdr:spPr>
        <a:xfrm>
          <a:off x="3952800" y="15733440"/>
          <a:ext cx="1437480" cy="1311120"/>
        </a:xfrm>
        <a:prstGeom prst="rect">
          <a:avLst/>
        </a:prstGeom>
        <a:noFill/>
        <a:ln w="9525">
          <a:noFill/>
        </a:ln>
      </xdr:spPr>
    </xdr:pic>
    <xdr:clientData/>
  </xdr:twoCellAnchor>
  <xdr:twoCellAnchor editAs="oneCell">
    <xdr:from>
      <xdr:col>1</xdr:col>
      <xdr:colOff>38160</xdr:colOff>
      <xdr:row>14</xdr:row>
      <xdr:rowOff>266760</xdr:rowOff>
    </xdr:from>
    <xdr:to>
      <xdr:col>1</xdr:col>
      <xdr:colOff>1475640</xdr:colOff>
      <xdr:row>14</xdr:row>
      <xdr:rowOff>1193040</xdr:rowOff>
    </xdr:to>
    <xdr:pic>
      <xdr:nvPicPr>
        <xdr:cNvPr id="1714" name="图片 17"/>
        <xdr:cNvPicPr/>
      </xdr:nvPicPr>
      <xdr:blipFill>
        <a:blip r:embed="rId7"/>
        <a:stretch/>
      </xdr:blipFill>
      <xdr:spPr>
        <a:xfrm>
          <a:off x="3952800" y="17386200"/>
          <a:ext cx="1437480" cy="926280"/>
        </a:xfrm>
        <a:prstGeom prst="rect">
          <a:avLst/>
        </a:prstGeom>
        <a:noFill/>
        <a:ln w="9525">
          <a:noFill/>
        </a:ln>
      </xdr:spPr>
    </xdr:pic>
    <xdr:clientData/>
  </xdr:twoCellAnchor>
  <xdr:twoCellAnchor editAs="oneCell">
    <xdr:from>
      <xdr:col>1</xdr:col>
      <xdr:colOff>297720</xdr:colOff>
      <xdr:row>9</xdr:row>
      <xdr:rowOff>38160</xdr:rowOff>
    </xdr:from>
    <xdr:to>
      <xdr:col>1</xdr:col>
      <xdr:colOff>1216080</xdr:colOff>
      <xdr:row>9</xdr:row>
      <xdr:rowOff>1421640</xdr:rowOff>
    </xdr:to>
    <xdr:pic>
      <xdr:nvPicPr>
        <xdr:cNvPr id="1715" name="图片 18"/>
        <xdr:cNvPicPr/>
      </xdr:nvPicPr>
      <xdr:blipFill>
        <a:blip r:embed="rId8"/>
        <a:stretch/>
      </xdr:blipFill>
      <xdr:spPr>
        <a:xfrm>
          <a:off x="4212360" y="9855360"/>
          <a:ext cx="918360" cy="1383480"/>
        </a:xfrm>
        <a:prstGeom prst="rect">
          <a:avLst/>
        </a:prstGeom>
        <a:noFill/>
        <a:ln w="9525">
          <a:noFill/>
        </a:ln>
      </xdr:spPr>
    </xdr:pic>
    <xdr:clientData/>
  </xdr:twoCellAnchor>
  <xdr:twoCellAnchor editAs="oneCell">
    <xdr:from>
      <xdr:col>1</xdr:col>
      <xdr:colOff>232200</xdr:colOff>
      <xdr:row>24</xdr:row>
      <xdr:rowOff>38160</xdr:rowOff>
    </xdr:from>
    <xdr:to>
      <xdr:col>1</xdr:col>
      <xdr:colOff>1281240</xdr:colOff>
      <xdr:row>24</xdr:row>
      <xdr:rowOff>1421640</xdr:rowOff>
    </xdr:to>
    <xdr:pic>
      <xdr:nvPicPr>
        <xdr:cNvPr id="1716" name="图片 2" descr="C:/Users/0/Desktop/BO 3.0标准柜2024/08副本.jpg08副本"/>
        <xdr:cNvPicPr/>
      </xdr:nvPicPr>
      <xdr:blipFill>
        <a:blip r:embed="rId9"/>
        <a:stretch/>
      </xdr:blipFill>
      <xdr:spPr>
        <a:xfrm>
          <a:off x="4146840" y="27330480"/>
          <a:ext cx="1049040" cy="1383480"/>
        </a:xfrm>
        <a:prstGeom prst="rect">
          <a:avLst/>
        </a:prstGeom>
        <a:noFill/>
        <a:ln w="9525">
          <a:noFill/>
        </a:ln>
      </xdr:spPr>
    </xdr:pic>
    <xdr:clientData/>
  </xdr:twoCellAnchor>
  <xdr:twoCellAnchor editAs="oneCell">
    <xdr:from>
      <xdr:col>1</xdr:col>
      <xdr:colOff>271440</xdr:colOff>
      <xdr:row>25</xdr:row>
      <xdr:rowOff>38160</xdr:rowOff>
    </xdr:from>
    <xdr:to>
      <xdr:col>1</xdr:col>
      <xdr:colOff>1242360</xdr:colOff>
      <xdr:row>25</xdr:row>
      <xdr:rowOff>1421640</xdr:rowOff>
    </xdr:to>
    <xdr:pic>
      <xdr:nvPicPr>
        <xdr:cNvPr id="1717" name="图片 3" descr="C:/Users/0/Desktop/BO 3.0标准柜2024/09副本.jpg09副本"/>
        <xdr:cNvPicPr/>
      </xdr:nvPicPr>
      <xdr:blipFill>
        <a:blip r:embed="rId10"/>
        <a:stretch/>
      </xdr:blipFill>
      <xdr:spPr>
        <a:xfrm>
          <a:off x="4186080" y="28791000"/>
          <a:ext cx="970920" cy="1383480"/>
        </a:xfrm>
        <a:prstGeom prst="rect">
          <a:avLst/>
        </a:prstGeom>
        <a:noFill/>
        <a:ln w="9525">
          <a:noFill/>
        </a:ln>
      </xdr:spPr>
    </xdr:pic>
    <xdr:clientData/>
  </xdr:twoCellAnchor>
  <xdr:twoCellAnchor editAs="oneCell">
    <xdr:from>
      <xdr:col>1</xdr:col>
      <xdr:colOff>38160</xdr:colOff>
      <xdr:row>26</xdr:row>
      <xdr:rowOff>161640</xdr:rowOff>
    </xdr:from>
    <xdr:to>
      <xdr:col>1</xdr:col>
      <xdr:colOff>1475640</xdr:colOff>
      <xdr:row>26</xdr:row>
      <xdr:rowOff>1297800</xdr:rowOff>
    </xdr:to>
    <xdr:pic>
      <xdr:nvPicPr>
        <xdr:cNvPr id="1718" name="图片 1" descr="C:/Users/0/Desktop/BO 3.0标准柜2024/07_01副本.jpg07_01副本"/>
        <xdr:cNvPicPr/>
      </xdr:nvPicPr>
      <xdr:blipFill>
        <a:blip r:embed="rId11"/>
        <a:stretch/>
      </xdr:blipFill>
      <xdr:spPr>
        <a:xfrm>
          <a:off x="3952800" y="30375000"/>
          <a:ext cx="1437480" cy="1136160"/>
        </a:xfrm>
        <a:prstGeom prst="rect">
          <a:avLst/>
        </a:prstGeom>
        <a:noFill/>
        <a:ln w="9525">
          <a:noFill/>
        </a:ln>
      </xdr:spPr>
    </xdr:pic>
    <xdr:clientData/>
  </xdr:twoCellAnchor>
  <xdr:twoCellAnchor editAs="oneCell">
    <xdr:from>
      <xdr:col>1</xdr:col>
      <xdr:colOff>38160</xdr:colOff>
      <xdr:row>32</xdr:row>
      <xdr:rowOff>39600</xdr:rowOff>
    </xdr:from>
    <xdr:to>
      <xdr:col>1</xdr:col>
      <xdr:colOff>1475640</xdr:colOff>
      <xdr:row>32</xdr:row>
      <xdr:rowOff>1420200</xdr:rowOff>
    </xdr:to>
    <xdr:pic>
      <xdr:nvPicPr>
        <xdr:cNvPr id="1719" name="图片 1" descr="C:/Users/0/Desktop/BO 3.0标准柜2024/BO 3.0标准柜-白-效果图/bn04副本.jpgbn04副本"/>
        <xdr:cNvPicPr/>
      </xdr:nvPicPr>
      <xdr:blipFill>
        <a:blip r:embed="rId12"/>
        <a:srcRect l="0" t="0" r="0" b="-47"/>
        <a:stretch/>
      </xdr:blipFill>
      <xdr:spPr>
        <a:xfrm>
          <a:off x="3952800" y="39016080"/>
          <a:ext cx="1437480" cy="1380600"/>
        </a:xfrm>
        <a:prstGeom prst="rect">
          <a:avLst/>
        </a:prstGeom>
        <a:noFill/>
        <a:ln w="9525">
          <a:noFill/>
        </a:ln>
      </xdr:spPr>
    </xdr:pic>
    <xdr:clientData/>
  </xdr:twoCellAnchor>
  <xdr:twoCellAnchor editAs="oneCell">
    <xdr:from>
      <xdr:col>1</xdr:col>
      <xdr:colOff>38160</xdr:colOff>
      <xdr:row>31</xdr:row>
      <xdr:rowOff>182520</xdr:rowOff>
    </xdr:from>
    <xdr:to>
      <xdr:col>1</xdr:col>
      <xdr:colOff>1475640</xdr:colOff>
      <xdr:row>31</xdr:row>
      <xdr:rowOff>1277280</xdr:rowOff>
    </xdr:to>
    <xdr:pic>
      <xdr:nvPicPr>
        <xdr:cNvPr id="1720" name="图片 1" descr="C:/Users/0/Desktop/BO 3.0标准柜2024/05副本.jpg05副本"/>
        <xdr:cNvPicPr/>
      </xdr:nvPicPr>
      <xdr:blipFill>
        <a:blip r:embed="rId13"/>
        <a:stretch/>
      </xdr:blipFill>
      <xdr:spPr>
        <a:xfrm>
          <a:off x="3952800" y="37698480"/>
          <a:ext cx="1437480" cy="1094760"/>
        </a:xfrm>
        <a:prstGeom prst="rect">
          <a:avLst/>
        </a:prstGeom>
        <a:noFill/>
        <a:ln w="9525">
          <a:noFill/>
        </a:ln>
      </xdr:spPr>
    </xdr:pic>
    <xdr:clientData/>
  </xdr:twoCellAnchor>
  <xdr:twoCellAnchor editAs="oneCell">
    <xdr:from>
      <xdr:col>1</xdr:col>
      <xdr:colOff>38160</xdr:colOff>
      <xdr:row>30</xdr:row>
      <xdr:rowOff>216360</xdr:rowOff>
    </xdr:from>
    <xdr:to>
      <xdr:col>1</xdr:col>
      <xdr:colOff>1475640</xdr:colOff>
      <xdr:row>30</xdr:row>
      <xdr:rowOff>1243440</xdr:rowOff>
    </xdr:to>
    <xdr:pic>
      <xdr:nvPicPr>
        <xdr:cNvPr id="1721" name="图片 1" descr="C:/Users/0/Desktop/BO 3.0标准柜2024/04副本.jpg04副本"/>
        <xdr:cNvPicPr/>
      </xdr:nvPicPr>
      <xdr:blipFill>
        <a:blip r:embed="rId14"/>
        <a:stretch/>
      </xdr:blipFill>
      <xdr:spPr>
        <a:xfrm>
          <a:off x="3952800" y="36271800"/>
          <a:ext cx="1437480" cy="1027080"/>
        </a:xfrm>
        <a:prstGeom prst="rect">
          <a:avLst/>
        </a:prstGeom>
        <a:noFill/>
        <a:ln w="9525">
          <a:noFill/>
        </a:ln>
      </xdr:spPr>
    </xdr:pic>
    <xdr:clientData/>
  </xdr:twoCellAnchor>
  <xdr:twoCellAnchor editAs="oneCell">
    <xdr:from>
      <xdr:col>1</xdr:col>
      <xdr:colOff>38160</xdr:colOff>
      <xdr:row>29</xdr:row>
      <xdr:rowOff>164880</xdr:rowOff>
    </xdr:from>
    <xdr:to>
      <xdr:col>1</xdr:col>
      <xdr:colOff>1475640</xdr:colOff>
      <xdr:row>29</xdr:row>
      <xdr:rowOff>1294920</xdr:rowOff>
    </xdr:to>
    <xdr:pic>
      <xdr:nvPicPr>
        <xdr:cNvPr id="1722" name="图片 1" descr="C:/Users/0/Desktop/BO 3.0标准柜2024/03副本.jpg03副本"/>
        <xdr:cNvPicPr/>
      </xdr:nvPicPr>
      <xdr:blipFill>
        <a:blip r:embed="rId15"/>
        <a:stretch/>
      </xdr:blipFill>
      <xdr:spPr>
        <a:xfrm>
          <a:off x="3952800" y="34759800"/>
          <a:ext cx="1437480" cy="1130040"/>
        </a:xfrm>
        <a:prstGeom prst="rect">
          <a:avLst/>
        </a:prstGeom>
        <a:noFill/>
        <a:ln w="9525">
          <a:noFill/>
        </a:ln>
      </xdr:spPr>
    </xdr:pic>
    <xdr:clientData/>
  </xdr:twoCellAnchor>
  <xdr:twoCellAnchor editAs="oneCell">
    <xdr:from>
      <xdr:col>1</xdr:col>
      <xdr:colOff>38160</xdr:colOff>
      <xdr:row>28</xdr:row>
      <xdr:rowOff>110160</xdr:rowOff>
    </xdr:from>
    <xdr:to>
      <xdr:col>1</xdr:col>
      <xdr:colOff>1475640</xdr:colOff>
      <xdr:row>28</xdr:row>
      <xdr:rowOff>1349640</xdr:rowOff>
    </xdr:to>
    <xdr:pic>
      <xdr:nvPicPr>
        <xdr:cNvPr id="1723" name="图片 1" descr="C:/Users/0/Desktop/BO 3.0标准柜2024/02副本.jpg02副本"/>
        <xdr:cNvPicPr/>
      </xdr:nvPicPr>
      <xdr:blipFill>
        <a:blip r:embed="rId16"/>
        <a:stretch/>
      </xdr:blipFill>
      <xdr:spPr>
        <a:xfrm>
          <a:off x="3952800" y="33244560"/>
          <a:ext cx="1437480" cy="1239480"/>
        </a:xfrm>
        <a:prstGeom prst="rect">
          <a:avLst/>
        </a:prstGeom>
        <a:noFill/>
        <a:ln w="9525">
          <a:noFill/>
        </a:ln>
      </xdr:spPr>
    </xdr:pic>
    <xdr:clientData/>
  </xdr:twoCellAnchor>
  <xdr:twoCellAnchor editAs="oneCell">
    <xdr:from>
      <xdr:col>1</xdr:col>
      <xdr:colOff>43560</xdr:colOff>
      <xdr:row>27</xdr:row>
      <xdr:rowOff>38160</xdr:rowOff>
    </xdr:from>
    <xdr:to>
      <xdr:col>1</xdr:col>
      <xdr:colOff>1469880</xdr:colOff>
      <xdr:row>27</xdr:row>
      <xdr:rowOff>1421640</xdr:rowOff>
    </xdr:to>
    <xdr:pic>
      <xdr:nvPicPr>
        <xdr:cNvPr id="1724" name="图片 1" descr="C:/Users/0/Desktop/BO 3.0标准柜2024/01副本.jpg01副本"/>
        <xdr:cNvPicPr/>
      </xdr:nvPicPr>
      <xdr:blipFill>
        <a:blip r:embed="rId17"/>
        <a:stretch/>
      </xdr:blipFill>
      <xdr:spPr>
        <a:xfrm>
          <a:off x="3958200" y="31712040"/>
          <a:ext cx="1426320" cy="1383480"/>
        </a:xfrm>
        <a:prstGeom prst="rect">
          <a:avLst/>
        </a:prstGeom>
        <a:noFill/>
        <a:ln w="9525">
          <a:noFill/>
        </a:ln>
      </xdr:spPr>
    </xdr:pic>
    <xdr:clientData/>
  </xdr:twoCellAnchor>
  <xdr:twoCellAnchor editAs="oneCell">
    <xdr:from>
      <xdr:col>1</xdr:col>
      <xdr:colOff>38160</xdr:colOff>
      <xdr:row>6</xdr:row>
      <xdr:rowOff>190800</xdr:rowOff>
    </xdr:from>
    <xdr:to>
      <xdr:col>1</xdr:col>
      <xdr:colOff>1475640</xdr:colOff>
      <xdr:row>6</xdr:row>
      <xdr:rowOff>1269000</xdr:rowOff>
    </xdr:to>
    <xdr:pic>
      <xdr:nvPicPr>
        <xdr:cNvPr id="1725" name="图片 5"/>
        <xdr:cNvPicPr/>
      </xdr:nvPicPr>
      <xdr:blipFill>
        <a:blip r:embed="rId18"/>
        <a:stretch/>
      </xdr:blipFill>
      <xdr:spPr>
        <a:xfrm>
          <a:off x="3952800" y="5626440"/>
          <a:ext cx="1437480" cy="1078200"/>
        </a:xfrm>
        <a:prstGeom prst="rect">
          <a:avLst/>
        </a:prstGeom>
        <a:noFill/>
        <a:ln w="9525">
          <a:noFill/>
        </a:ln>
      </xdr:spPr>
    </xdr:pic>
    <xdr:clientData/>
  </xdr:twoCellAnchor>
  <xdr:twoCellAnchor editAs="oneCell">
    <xdr:from>
      <xdr:col>1</xdr:col>
      <xdr:colOff>69840</xdr:colOff>
      <xdr:row>3</xdr:row>
      <xdr:rowOff>38160</xdr:rowOff>
    </xdr:from>
    <xdr:to>
      <xdr:col>1</xdr:col>
      <xdr:colOff>1443600</xdr:colOff>
      <xdr:row>3</xdr:row>
      <xdr:rowOff>1421640</xdr:rowOff>
    </xdr:to>
    <xdr:pic>
      <xdr:nvPicPr>
        <xdr:cNvPr id="1726" name="图片 9" descr="1"/>
        <xdr:cNvPicPr/>
      </xdr:nvPicPr>
      <xdr:blipFill>
        <a:blip r:embed="rId19"/>
        <a:stretch/>
      </xdr:blipFill>
      <xdr:spPr>
        <a:xfrm>
          <a:off x="3984480" y="1092240"/>
          <a:ext cx="1373760" cy="1383480"/>
        </a:xfrm>
        <a:prstGeom prst="rect">
          <a:avLst/>
        </a:prstGeom>
        <a:noFill/>
        <a:ln w="9525">
          <a:noFill/>
        </a:ln>
      </xdr:spPr>
    </xdr:pic>
    <xdr:clientData/>
  </xdr:twoCellAnchor>
  <xdr:twoCellAnchor editAs="oneCell">
    <xdr:from>
      <xdr:col>1</xdr:col>
      <xdr:colOff>66600</xdr:colOff>
      <xdr:row>16</xdr:row>
      <xdr:rowOff>38160</xdr:rowOff>
    </xdr:from>
    <xdr:to>
      <xdr:col>1</xdr:col>
      <xdr:colOff>1446840</xdr:colOff>
      <xdr:row>16</xdr:row>
      <xdr:rowOff>1421640</xdr:rowOff>
    </xdr:to>
    <xdr:pic>
      <xdr:nvPicPr>
        <xdr:cNvPr id="1727" name="图片 10"/>
        <xdr:cNvPicPr/>
      </xdr:nvPicPr>
      <xdr:blipFill>
        <a:blip r:embed="rId20"/>
        <a:stretch/>
      </xdr:blipFill>
      <xdr:spPr>
        <a:xfrm>
          <a:off x="3981240" y="20078640"/>
          <a:ext cx="1380240" cy="1383480"/>
        </a:xfrm>
        <a:prstGeom prst="rect">
          <a:avLst/>
        </a:prstGeom>
        <a:noFill/>
        <a:ln w="9525">
          <a:noFill/>
        </a:ln>
      </xdr:spPr>
    </xdr:pic>
    <xdr:clientData/>
  </xdr:twoCellAnchor>
  <xdr:twoCellAnchor editAs="oneCell">
    <xdr:from>
      <xdr:col>1</xdr:col>
      <xdr:colOff>66240</xdr:colOff>
      <xdr:row>16</xdr:row>
      <xdr:rowOff>38160</xdr:rowOff>
    </xdr:from>
    <xdr:to>
      <xdr:col>1</xdr:col>
      <xdr:colOff>1447200</xdr:colOff>
      <xdr:row>16</xdr:row>
      <xdr:rowOff>1421640</xdr:rowOff>
    </xdr:to>
    <xdr:pic>
      <xdr:nvPicPr>
        <xdr:cNvPr id="1728" name="图片 11"/>
        <xdr:cNvPicPr/>
      </xdr:nvPicPr>
      <xdr:blipFill>
        <a:blip r:embed="rId21"/>
        <a:stretch/>
      </xdr:blipFill>
      <xdr:spPr>
        <a:xfrm>
          <a:off x="3980880" y="20078640"/>
          <a:ext cx="1380960" cy="1383480"/>
        </a:xfrm>
        <a:prstGeom prst="rect">
          <a:avLst/>
        </a:prstGeom>
        <a:noFill/>
        <a:ln w="9525">
          <a:noFill/>
        </a:ln>
      </xdr:spPr>
    </xdr:pic>
    <xdr:clientData/>
  </xdr:twoCellAnchor>
  <xdr:twoCellAnchor editAs="oneCell">
    <xdr:from>
      <xdr:col>1</xdr:col>
      <xdr:colOff>38160</xdr:colOff>
      <xdr:row>5</xdr:row>
      <xdr:rowOff>191520</xdr:rowOff>
    </xdr:from>
    <xdr:to>
      <xdr:col>1</xdr:col>
      <xdr:colOff>1475640</xdr:colOff>
      <xdr:row>5</xdr:row>
      <xdr:rowOff>1268640</xdr:rowOff>
    </xdr:to>
    <xdr:pic>
      <xdr:nvPicPr>
        <xdr:cNvPr id="1729" name="图片 12"/>
        <xdr:cNvPicPr/>
      </xdr:nvPicPr>
      <xdr:blipFill>
        <a:blip r:embed="rId22"/>
        <a:stretch/>
      </xdr:blipFill>
      <xdr:spPr>
        <a:xfrm>
          <a:off x="3952800" y="4166640"/>
          <a:ext cx="1437480" cy="1077120"/>
        </a:xfrm>
        <a:prstGeom prst="rect">
          <a:avLst/>
        </a:prstGeom>
        <a:noFill/>
        <a:ln w="9525">
          <a:noFill/>
        </a:ln>
      </xdr:spPr>
    </xdr:pic>
    <xdr:clientData/>
  </xdr:twoCellAnchor>
  <xdr:twoCellAnchor editAs="oneCell">
    <xdr:from>
      <xdr:col>1</xdr:col>
      <xdr:colOff>38160</xdr:colOff>
      <xdr:row>4</xdr:row>
      <xdr:rowOff>253080</xdr:rowOff>
    </xdr:from>
    <xdr:to>
      <xdr:col>1</xdr:col>
      <xdr:colOff>1475640</xdr:colOff>
      <xdr:row>4</xdr:row>
      <xdr:rowOff>1206720</xdr:rowOff>
    </xdr:to>
    <xdr:pic>
      <xdr:nvPicPr>
        <xdr:cNvPr id="1730" name="图片 25"/>
        <xdr:cNvPicPr/>
      </xdr:nvPicPr>
      <xdr:blipFill>
        <a:blip r:embed="rId23"/>
        <a:stretch/>
      </xdr:blipFill>
      <xdr:spPr>
        <a:xfrm>
          <a:off x="3952800" y="2767680"/>
          <a:ext cx="1437480" cy="953640"/>
        </a:xfrm>
        <a:prstGeom prst="rect">
          <a:avLst/>
        </a:prstGeom>
        <a:noFill/>
        <a:ln w="9525">
          <a:noFill/>
        </a:ln>
      </xdr:spPr>
    </xdr:pic>
    <xdr:clientData/>
  </xdr:twoCellAnchor>
  <xdr:twoCellAnchor editAs="oneCell">
    <xdr:from>
      <xdr:col>1</xdr:col>
      <xdr:colOff>65160</xdr:colOff>
      <xdr:row>12</xdr:row>
      <xdr:rowOff>38160</xdr:rowOff>
    </xdr:from>
    <xdr:to>
      <xdr:col>1</xdr:col>
      <xdr:colOff>1448640</xdr:colOff>
      <xdr:row>12</xdr:row>
      <xdr:rowOff>1421640</xdr:rowOff>
    </xdr:to>
    <xdr:pic>
      <xdr:nvPicPr>
        <xdr:cNvPr id="1731" name="图片 26"/>
        <xdr:cNvPicPr/>
      </xdr:nvPicPr>
      <xdr:blipFill>
        <a:blip r:embed="rId24"/>
        <a:stretch/>
      </xdr:blipFill>
      <xdr:spPr>
        <a:xfrm>
          <a:off x="3979800" y="14236920"/>
          <a:ext cx="1383480" cy="1383480"/>
        </a:xfrm>
        <a:prstGeom prst="rect">
          <a:avLst/>
        </a:prstGeom>
        <a:noFill/>
        <a:ln w="9525">
          <a:noFill/>
        </a:ln>
      </xdr:spPr>
    </xdr:pic>
    <xdr:clientData/>
  </xdr:twoCellAnchor>
  <xdr:twoCellAnchor editAs="oneCell">
    <xdr:from>
      <xdr:col>1</xdr:col>
      <xdr:colOff>84600</xdr:colOff>
      <xdr:row>10</xdr:row>
      <xdr:rowOff>38160</xdr:rowOff>
    </xdr:from>
    <xdr:to>
      <xdr:col>1</xdr:col>
      <xdr:colOff>1429200</xdr:colOff>
      <xdr:row>10</xdr:row>
      <xdr:rowOff>1421640</xdr:rowOff>
    </xdr:to>
    <xdr:pic>
      <xdr:nvPicPr>
        <xdr:cNvPr id="1732" name="图片 6"/>
        <xdr:cNvPicPr/>
      </xdr:nvPicPr>
      <xdr:blipFill>
        <a:blip r:embed="rId25"/>
        <a:stretch/>
      </xdr:blipFill>
      <xdr:spPr>
        <a:xfrm>
          <a:off x="3999240" y="11315880"/>
          <a:ext cx="1344600" cy="1383480"/>
        </a:xfrm>
        <a:prstGeom prst="rect">
          <a:avLst/>
        </a:prstGeom>
        <a:noFill/>
        <a:ln w="9525">
          <a:noFill/>
        </a:ln>
      </xdr:spPr>
    </xdr:pic>
    <xdr:clientData/>
  </xdr:twoCellAnchor>
  <xdr:twoCellAnchor editAs="oneCell">
    <xdr:from>
      <xdr:col>1</xdr:col>
      <xdr:colOff>291240</xdr:colOff>
      <xdr:row>8</xdr:row>
      <xdr:rowOff>38160</xdr:rowOff>
    </xdr:from>
    <xdr:to>
      <xdr:col>1</xdr:col>
      <xdr:colOff>1222920</xdr:colOff>
      <xdr:row>8</xdr:row>
      <xdr:rowOff>1421640</xdr:rowOff>
    </xdr:to>
    <xdr:pic>
      <xdr:nvPicPr>
        <xdr:cNvPr id="1733" name="图片 7" descr="DSC09465"/>
        <xdr:cNvPicPr/>
      </xdr:nvPicPr>
      <xdr:blipFill>
        <a:blip r:embed="rId26"/>
        <a:stretch/>
      </xdr:blipFill>
      <xdr:spPr>
        <a:xfrm>
          <a:off x="4205880" y="8394840"/>
          <a:ext cx="931680" cy="1383480"/>
        </a:xfrm>
        <a:prstGeom prst="rect">
          <a:avLst/>
        </a:prstGeom>
        <a:noFill/>
        <a:ln w="9525">
          <a:noFill/>
        </a:ln>
      </xdr:spPr>
    </xdr:pic>
    <xdr:clientData/>
  </xdr:twoCellAnchor>
  <xdr:twoCellAnchor editAs="oneCell">
    <xdr:from>
      <xdr:col>1</xdr:col>
      <xdr:colOff>302040</xdr:colOff>
      <xdr:row>8</xdr:row>
      <xdr:rowOff>38160</xdr:rowOff>
    </xdr:from>
    <xdr:to>
      <xdr:col>1</xdr:col>
      <xdr:colOff>1211400</xdr:colOff>
      <xdr:row>8</xdr:row>
      <xdr:rowOff>1421640</xdr:rowOff>
    </xdr:to>
    <xdr:pic>
      <xdr:nvPicPr>
        <xdr:cNvPr id="1734" name="图片 8" descr="DSC09468"/>
        <xdr:cNvPicPr/>
      </xdr:nvPicPr>
      <xdr:blipFill>
        <a:blip r:embed="rId27"/>
        <a:stretch/>
      </xdr:blipFill>
      <xdr:spPr>
        <a:xfrm>
          <a:off x="4216680" y="8394840"/>
          <a:ext cx="909360" cy="1383480"/>
        </a:xfrm>
        <a:prstGeom prst="rect">
          <a:avLst/>
        </a:prstGeom>
        <a:noFill/>
        <a:ln w="9525">
          <a:noFill/>
        </a:ln>
      </xdr:spPr>
    </xdr:pic>
    <xdr:clientData/>
  </xdr:twoCellAnchor>
  <xdr:twoCellAnchor editAs="oneCell">
    <xdr:from>
      <xdr:col>1</xdr:col>
      <xdr:colOff>38160</xdr:colOff>
      <xdr:row>7</xdr:row>
      <xdr:rowOff>362520</xdr:rowOff>
    </xdr:from>
    <xdr:to>
      <xdr:col>1</xdr:col>
      <xdr:colOff>1475640</xdr:colOff>
      <xdr:row>7</xdr:row>
      <xdr:rowOff>1097280</xdr:rowOff>
    </xdr:to>
    <xdr:pic>
      <xdr:nvPicPr>
        <xdr:cNvPr id="1735" name="图片 27"/>
        <xdr:cNvPicPr/>
      </xdr:nvPicPr>
      <xdr:blipFill>
        <a:blip r:embed="rId28"/>
        <a:stretch/>
      </xdr:blipFill>
      <xdr:spPr>
        <a:xfrm>
          <a:off x="3952800" y="7258680"/>
          <a:ext cx="1437480" cy="734760"/>
        </a:xfrm>
        <a:prstGeom prst="rect">
          <a:avLst/>
        </a:prstGeom>
        <a:noFill/>
        <a:ln w="9525">
          <a:noFill/>
        </a:ln>
      </xdr:spPr>
    </xdr:pic>
    <xdr:clientData/>
  </xdr:twoCellAnchor>
</xdr:wsDr>
</file>

<file path=xl/theme/theme1.xml><?xml version="1.0" encoding="utf-8"?>
<a:theme xmlns:a="http://schemas.openxmlformats.org/drawingml/2006/main" xmlns:r="http://schemas.openxmlformats.org/officeDocument/2006/relationships" name="Office 主题​​">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itchFamily="0" charset="1"/>
        <a:ea typeface=""/>
        <a:cs typeface=""/>
      </a:majorFont>
      <a:minorFont>
        <a:latin typeface="Calibri"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hoco.i234.me:8000/sharing/sNZRr3fRn" TargetMode="External"/><Relationship Id="rId2" Type="http://schemas.openxmlformats.org/officeDocument/2006/relationships/hyperlink" Target="http://hoco.i234.me:8000/sharing/lvPYWc2jK" TargetMode="External"/><Relationship Id="rId3" Type="http://schemas.openxmlformats.org/officeDocument/2006/relationships/hyperlink" Target="http://gofile.me/649X4/YnLPowi3z" TargetMode="External"/><Relationship Id="rId4" Type="http://schemas.openxmlformats.org/officeDocument/2006/relationships/hyperlink" Target="http://gofile.me/649X4/GpiR1G2df" TargetMode="External"/><Relationship Id="rId5" Type="http://schemas.openxmlformats.org/officeDocument/2006/relationships/hyperlink" Target="http://gofile.me/649X4/hHleggMEF" TargetMode="External"/><Relationship Id="rId6" Type="http://schemas.openxmlformats.org/officeDocument/2006/relationships/hyperlink" Target="http://gofile.me/649X4/3w2Zbpruf" TargetMode="External"/><Relationship Id="rId7" Type="http://schemas.openxmlformats.org/officeDocument/2006/relationships/hyperlink" Target="http://gofile.me/649X4/mskdmNlba" TargetMode="External"/><Relationship Id="rId8" Type="http://schemas.openxmlformats.org/officeDocument/2006/relationships/hyperlink" Target="http://gofile.me/649X4/Z1r8DJUvJ" TargetMode="External"/><Relationship Id="rId9" Type="http://schemas.openxmlformats.org/officeDocument/2006/relationships/hyperlink" Target="http://gofile.me/649X4/QgGyAHsWJ" TargetMode="External"/><Relationship Id="rId10" Type="http://schemas.openxmlformats.org/officeDocument/2006/relationships/hyperlink" Target="http://gofile.me/649X4/KzEoCFGSK" TargetMode="External"/><Relationship Id="rId11" Type="http://schemas.openxmlformats.org/officeDocument/2006/relationships/hyperlink" Target="http://gofile.me/649X4/TTkX61W2n" TargetMode="External"/><Relationship Id="rId12" Type="http://schemas.openxmlformats.org/officeDocument/2006/relationships/hyperlink" Target="http://gofile.me/649X4/uT2FPKWKU" TargetMode="External"/><Relationship Id="rId13" Type="http://schemas.openxmlformats.org/officeDocument/2006/relationships/hyperlink" Target="http://gofile.me/649X4/VVZANAITg" TargetMode="External"/><Relationship Id="rId14" Type="http://schemas.openxmlformats.org/officeDocument/2006/relationships/hyperlink" Target="http://gofile.me/649X4/47TpJyq79" TargetMode="External"/><Relationship Id="rId15" Type="http://schemas.openxmlformats.org/officeDocument/2006/relationships/hyperlink" Target="http://gofile.me/649X4/2JmZ41xHB" TargetMode="External"/><Relationship Id="rId16" Type="http://schemas.openxmlformats.org/officeDocument/2006/relationships/hyperlink" Target="http://gofile.me/649X4/krD6GeIhn" TargetMode="External"/><Relationship Id="rId17" Type="http://schemas.openxmlformats.org/officeDocument/2006/relationships/hyperlink" Target="http://gofile.me/649X4/r8CPZvrOw" TargetMode="External"/><Relationship Id="rId18" Type="http://schemas.openxmlformats.org/officeDocument/2006/relationships/hyperlink" Target="http://gofile.me/649X4/pp0RG5Udq" TargetMode="External"/><Relationship Id="rId19" Type="http://schemas.openxmlformats.org/officeDocument/2006/relationships/hyperlink" Target="http://gofile.me/649X4/pp0RG5Udq" TargetMode="External"/><Relationship Id="rId20" Type="http://schemas.openxmlformats.org/officeDocument/2006/relationships/hyperlink" Target="http://gofile.me/649X4/DFnEAdxfK" TargetMode="External"/><Relationship Id="rId21" Type="http://schemas.openxmlformats.org/officeDocument/2006/relationships/hyperlink" Target="http://gofile.me/649X4/Kt4h0cLvg" TargetMode="External"/><Relationship Id="rId22" Type="http://schemas.openxmlformats.org/officeDocument/2006/relationships/hyperlink" Target="http://gofile.me/649X4/Kt4h0cLvg" TargetMode="External"/><Relationship Id="rId23" Type="http://schemas.openxmlformats.org/officeDocument/2006/relationships/hyperlink" Target="http://gofile.me/649X4/yh8shi7zr" TargetMode="External"/><Relationship Id="rId24" Type="http://schemas.openxmlformats.org/officeDocument/2006/relationships/hyperlink" Target="http://gofile.me/649X4/1bCN6yNl1" TargetMode="External"/><Relationship Id="rId25" Type="http://schemas.openxmlformats.org/officeDocument/2006/relationships/hyperlink" Target="http://gofile.me/649X4/1bCN6yNl1" TargetMode="External"/><Relationship Id="rId26" Type="http://schemas.openxmlformats.org/officeDocument/2006/relationships/hyperlink" Target="http://gofile.me/649X4/SalYxwIJY" TargetMode="External"/><Relationship Id="rId27" Type="http://schemas.openxmlformats.org/officeDocument/2006/relationships/hyperlink" Target="http://gofile.me/649X4/cjJxdF8lS" TargetMode="External"/><Relationship Id="rId28" Type="http://schemas.openxmlformats.org/officeDocument/2006/relationships/hyperlink" Target="http://gofile.me/649X4/cjJxdF8lS" TargetMode="External"/><Relationship Id="rId29" Type="http://schemas.openxmlformats.org/officeDocument/2006/relationships/hyperlink" Target="http://gofile.me/649X4/pjgwiJJ4T" TargetMode="External"/><Relationship Id="rId30" Type="http://schemas.openxmlformats.org/officeDocument/2006/relationships/hyperlink" Target="http://gofile.me/649X4/imeUDX1Ma" TargetMode="External"/><Relationship Id="rId31" Type="http://schemas.openxmlformats.org/officeDocument/2006/relationships/hyperlink" Target="http://gofile.me/649X4/imeUDX1Ma" TargetMode="External"/><Relationship Id="rId32" Type="http://schemas.openxmlformats.org/officeDocument/2006/relationships/hyperlink" Target="http://gofile.me/649X4/9m1XzPnHS" TargetMode="External"/><Relationship Id="rId33" Type="http://schemas.openxmlformats.org/officeDocument/2006/relationships/hyperlink" Target="http://gofile.me/649X4/OVH5WY0SY" TargetMode="External"/><Relationship Id="rId34" Type="http://schemas.openxmlformats.org/officeDocument/2006/relationships/hyperlink" Target="http://gofile.me/649X4/WbHyMIN89" TargetMode="External"/><Relationship Id="rId35" Type="http://schemas.openxmlformats.org/officeDocument/2006/relationships/hyperlink" Target="http://hoco.i234.me:8000/sharing/NFPcCt3Gu" TargetMode="External"/><Relationship Id="rId36" Type="http://schemas.openxmlformats.org/officeDocument/2006/relationships/hyperlink" Target="http://gofile.me/649X4/njc0p84x0" TargetMode="External"/><Relationship Id="rId37" Type="http://schemas.openxmlformats.org/officeDocument/2006/relationships/hyperlink" Target="http://hoco.i234.me:8000/sharing/XOJCdZIKO" TargetMode="External"/><Relationship Id="rId38" Type="http://schemas.openxmlformats.org/officeDocument/2006/relationships/hyperlink" Target="http://gofile.me/649X4/njc0p84x0" TargetMode="External"/><Relationship Id="rId39" Type="http://schemas.openxmlformats.org/officeDocument/2006/relationships/hyperlink" Target="http://hoco.i234.me:8000/sharing/yv5KqajG3" TargetMode="External"/><Relationship Id="rId40" Type="http://schemas.openxmlformats.org/officeDocument/2006/relationships/hyperlink" Target="http://gofile.me/649X4/njc0p84x0" TargetMode="External"/><Relationship Id="rId41" Type="http://schemas.openxmlformats.org/officeDocument/2006/relationships/hyperlink" Target="http://hoco.i234.me:8000/sharing/BnKscCOsO" TargetMode="External"/><Relationship Id="rId42" Type="http://schemas.openxmlformats.org/officeDocument/2006/relationships/hyperlink" Target="http://gofile.me/649X4/0Acdqa779" TargetMode="External"/><Relationship Id="rId43" Type="http://schemas.openxmlformats.org/officeDocument/2006/relationships/hyperlink" Target="http://hoco.i234.me:8000/sharing/lvbojUFD8" TargetMode="External"/><Relationship Id="rId44" Type="http://schemas.openxmlformats.org/officeDocument/2006/relationships/hyperlink" Target="http://gofile.me/649X4/0Acdqa779" TargetMode="External"/><Relationship Id="rId45" Type="http://schemas.openxmlformats.org/officeDocument/2006/relationships/hyperlink" Target="http://hoco.i234.me:8000/sharing/xUEFQ1gZX" TargetMode="External"/><Relationship Id="rId46" Type="http://schemas.openxmlformats.org/officeDocument/2006/relationships/hyperlink" Target="http://gofile.me/649X4/0Acdqa779" TargetMode="External"/><Relationship Id="rId47" Type="http://schemas.openxmlformats.org/officeDocument/2006/relationships/hyperlink" Target="http://hoco.i234.me:8000/sharing/ktt9mz6t2" TargetMode="External"/><Relationship Id="rId48" Type="http://schemas.openxmlformats.org/officeDocument/2006/relationships/hyperlink" Target="http://gofile.me/649X4/0Acdqa779" TargetMode="External"/><Relationship Id="rId49" Type="http://schemas.openxmlformats.org/officeDocument/2006/relationships/hyperlink" Target="http://hoco.i234.me:8000/sharing/qapxVBVgY" TargetMode="External"/><Relationship Id="rId50" Type="http://schemas.openxmlformats.org/officeDocument/2006/relationships/hyperlink" Target="http://gofile.me/649X4/0Acdqa779" TargetMode="External"/><Relationship Id="rId51" Type="http://schemas.openxmlformats.org/officeDocument/2006/relationships/hyperlink" Target="http://hoco.i234.me:8000/sharing/NeB1fGSd6" TargetMode="External"/><Relationship Id="rId52" Type="http://schemas.openxmlformats.org/officeDocument/2006/relationships/hyperlink" Target="http://gofile.me/649X4/Fd43WmWvS" TargetMode="External"/><Relationship Id="rId53" Type="http://schemas.openxmlformats.org/officeDocument/2006/relationships/hyperlink" Target="http://hoco.i234.me:8000/sharing/RFjD4e0Rl" TargetMode="External"/><Relationship Id="rId54" Type="http://schemas.openxmlformats.org/officeDocument/2006/relationships/hyperlink" Target="http://gofile.me/649X4/Fd43WmWvS" TargetMode="External"/><Relationship Id="rId55" Type="http://schemas.openxmlformats.org/officeDocument/2006/relationships/hyperlink" Target="http://hoco.i234.me:8000/sharing/tgGUw9WnF" TargetMode="External"/><Relationship Id="rId56" Type="http://schemas.openxmlformats.org/officeDocument/2006/relationships/hyperlink" Target="http://gofile.me/649X4/Fd43WmWvS" TargetMode="External"/><Relationship Id="rId57" Type="http://schemas.openxmlformats.org/officeDocument/2006/relationships/hyperlink" Target="http://gofile.me/649X4/q1kzSXuTR" TargetMode="External"/><Relationship Id="rId58" Type="http://schemas.openxmlformats.org/officeDocument/2006/relationships/hyperlink" Target="http://gofile.me/649X4/oF2jYF4Cj" TargetMode="External"/><Relationship Id="rId59" Type="http://schemas.openxmlformats.org/officeDocument/2006/relationships/hyperlink" Target="http://gofile.me/649X4/4pDNXIbA5" TargetMode="External"/><Relationship Id="rId60" Type="http://schemas.openxmlformats.org/officeDocument/2006/relationships/hyperlink" Target="http://gofile.me/649X4/yp8gRmj9e" TargetMode="External"/><Relationship Id="rId61" Type="http://schemas.openxmlformats.org/officeDocument/2006/relationships/hyperlink" Target="http://gofile.me/649X4/DZAxm8B66" TargetMode="External"/><Relationship Id="rId62" Type="http://schemas.openxmlformats.org/officeDocument/2006/relationships/hyperlink" Target="http://gofile.me/649X4/4vyzUc70z" TargetMode="External"/><Relationship Id="rId63" Type="http://schemas.openxmlformats.org/officeDocument/2006/relationships/hyperlink" Target="http://gofile.me/649X4/r408q2GcF" TargetMode="External"/><Relationship Id="rId64" Type="http://schemas.openxmlformats.org/officeDocument/2006/relationships/hyperlink" Target="http://gofile.me/649X4/Y1hAnIMQy" TargetMode="External"/><Relationship Id="rId65" Type="http://schemas.openxmlformats.org/officeDocument/2006/relationships/hyperlink" Target="http://gofile.me/649X4/AZ2A7W3RN" TargetMode="External"/><Relationship Id="rId66" Type="http://schemas.openxmlformats.org/officeDocument/2006/relationships/hyperlink" Target="http://gofile.me/649X4/Gzb3NNMFW" TargetMode="External"/><Relationship Id="rId67" Type="http://schemas.openxmlformats.org/officeDocument/2006/relationships/hyperlink" Target="http://gofile.me/649X4/lAtZC63b4" TargetMode="External"/><Relationship Id="rId68" Type="http://schemas.openxmlformats.org/officeDocument/2006/relationships/hyperlink" Target="http://gofile.me/649X4/uoR6Mr59t" TargetMode="External"/><Relationship Id="rId69" Type="http://schemas.openxmlformats.org/officeDocument/2006/relationships/hyperlink" Target="http://gofile.me/649X4/Zd7qurxuT" TargetMode="External"/><Relationship Id="rId70" Type="http://schemas.openxmlformats.org/officeDocument/2006/relationships/hyperlink" Target="http://gofile.me/649X4/k2fWNFJ1s" TargetMode="External"/><Relationship Id="rId71" Type="http://schemas.openxmlformats.org/officeDocument/2006/relationships/hyperlink" Target="http://gofile.me/649X4/BTMQzFW8V" TargetMode="External"/><Relationship Id="rId72" Type="http://schemas.openxmlformats.org/officeDocument/2006/relationships/hyperlink" Target="http://gofile.me/649X4/PCtU802Of" TargetMode="External"/><Relationship Id="rId73" Type="http://schemas.openxmlformats.org/officeDocument/2006/relationships/hyperlink" Target="http://gofile.me/649X4/uoR6Mr59t" TargetMode="External"/><Relationship Id="rId74" Type="http://schemas.openxmlformats.org/officeDocument/2006/relationships/hyperlink" Target="http://gofile.me/649X4/Zd7qurxuT" TargetMode="External"/><Relationship Id="rId75" Type="http://schemas.openxmlformats.org/officeDocument/2006/relationships/hyperlink" Target="http://gofile.me/649X4/k2fWNFJ1s" TargetMode="External"/><Relationship Id="rId76" Type="http://schemas.openxmlformats.org/officeDocument/2006/relationships/hyperlink" Target="http://gofile.me/649X4/BTMQzFW8V" TargetMode="External"/><Relationship Id="rId77" Type="http://schemas.openxmlformats.org/officeDocument/2006/relationships/hyperlink" Target="http://gofile.me/649X4/PCtU802Of" TargetMode="External"/><Relationship Id="rId78" Type="http://schemas.openxmlformats.org/officeDocument/2006/relationships/hyperlink" Target="http://gofile.me/649X4/tCenZCLYN" TargetMode="External"/><Relationship Id="rId79" Type="http://schemas.openxmlformats.org/officeDocument/2006/relationships/hyperlink" Target="http://gofile.me/649X4/l5cAM9nQk" TargetMode="External"/><Relationship Id="rId80" Type="http://schemas.openxmlformats.org/officeDocument/2006/relationships/hyperlink" Target="http://gofile.me/649X4/9mQWEXKC7" TargetMode="External"/><Relationship Id="rId81" Type="http://schemas.openxmlformats.org/officeDocument/2006/relationships/hyperlink" Target="http://gofile.me/649X4/7eJgCQgwJ" TargetMode="External"/><Relationship Id="rId82" Type="http://schemas.openxmlformats.org/officeDocument/2006/relationships/hyperlink" Target="http://gofile.me/649X4/puGyWKwLy" TargetMode="External"/><Relationship Id="rId83" Type="http://schemas.openxmlformats.org/officeDocument/2006/relationships/hyperlink" Target="http://gofile.me/649X4/tCenZCLYN" TargetMode="External"/><Relationship Id="rId84" Type="http://schemas.openxmlformats.org/officeDocument/2006/relationships/hyperlink" Target="http://gofile.me/649X4/l5cAM9nQk" TargetMode="External"/><Relationship Id="rId85" Type="http://schemas.openxmlformats.org/officeDocument/2006/relationships/hyperlink" Target="http://gofile.me/649X4/9mQWEXKC7" TargetMode="External"/><Relationship Id="rId86" Type="http://schemas.openxmlformats.org/officeDocument/2006/relationships/hyperlink" Target="http://gofile.me/649X4/7eJgCQgwJ" TargetMode="External"/><Relationship Id="rId87" Type="http://schemas.openxmlformats.org/officeDocument/2006/relationships/hyperlink" Target="http://gofile.me/649X4/puGyWKwLy" TargetMode="External"/><Relationship Id="rId88" Type="http://schemas.openxmlformats.org/officeDocument/2006/relationships/hyperlink" Target="http://gofile.me/649X4/xocjW8MF5" TargetMode="External"/><Relationship Id="rId89" Type="http://schemas.openxmlformats.org/officeDocument/2006/relationships/hyperlink" Target="http://gofile.me/649X4/hzii58BF6" TargetMode="External"/><Relationship Id="rId90" Type="http://schemas.openxmlformats.org/officeDocument/2006/relationships/hyperlink" Target="http://gofile.me/649X4/dKGYshKaC" TargetMode="External"/><Relationship Id="rId91" Type="http://schemas.openxmlformats.org/officeDocument/2006/relationships/hyperlink" Target="http://gofile.me/649X4/G83fZdDnO" TargetMode="External"/><Relationship Id="rId92" Type="http://schemas.openxmlformats.org/officeDocument/2006/relationships/hyperlink" Target="http://gofile.me/649X4/deEbTEDwO" TargetMode="External"/><Relationship Id="rId93" Type="http://schemas.openxmlformats.org/officeDocument/2006/relationships/hyperlink" Target="http://gofile.me/649X4/pllsosoJ1" TargetMode="External"/><Relationship Id="rId94" Type="http://schemas.openxmlformats.org/officeDocument/2006/relationships/hyperlink" Target="http://gofile.me/649X4/XBtg0TGTE" TargetMode="External"/><Relationship Id="rId95" Type="http://schemas.openxmlformats.org/officeDocument/2006/relationships/hyperlink" Target="http://gofile.me/649X4/EfMnVTM4t" TargetMode="External"/><Relationship Id="rId96" Type="http://schemas.openxmlformats.org/officeDocument/2006/relationships/hyperlink" Target="http://gofile.me/649X4/4MUqJ7D8R" TargetMode="External"/><Relationship Id="rId97" Type="http://schemas.openxmlformats.org/officeDocument/2006/relationships/hyperlink" Target="http://gofile.me/649X4/sP6woHVgZ" TargetMode="External"/><Relationship Id="rId98" Type="http://schemas.openxmlformats.org/officeDocument/2006/relationships/hyperlink" Target="http://gofile.me/649X4/rIKPqbCUD" TargetMode="External"/><Relationship Id="rId99" Type="http://schemas.openxmlformats.org/officeDocument/2006/relationships/hyperlink" Target="http://gofile.me/649X4/kmPXWTUwB" TargetMode="External"/><Relationship Id="rId100" Type="http://schemas.openxmlformats.org/officeDocument/2006/relationships/hyperlink" Target="http://gofile.me/649X4/EfMnVTM4t" TargetMode="External"/><Relationship Id="rId101" Type="http://schemas.openxmlformats.org/officeDocument/2006/relationships/hyperlink" Target="http://gofile.me/649X4/4MUqJ7D8R" TargetMode="External"/><Relationship Id="rId102" Type="http://schemas.openxmlformats.org/officeDocument/2006/relationships/hyperlink" Target="http://gofile.me/649X4/sP6woHVgZ" TargetMode="External"/><Relationship Id="rId103" Type="http://schemas.openxmlformats.org/officeDocument/2006/relationships/hyperlink" Target="http://gofile.me/649X4/rIKPqbCUD" TargetMode="External"/><Relationship Id="rId104" Type="http://schemas.openxmlformats.org/officeDocument/2006/relationships/hyperlink" Target="http://gofile.me/649X4/kmPXWTUwB" TargetMode="External"/><Relationship Id="rId105" Type="http://schemas.openxmlformats.org/officeDocument/2006/relationships/hyperlink" Target="http://gofile.me/649X4/D0srRikvd" TargetMode="External"/><Relationship Id="rId106" Type="http://schemas.openxmlformats.org/officeDocument/2006/relationships/hyperlink" Target="http://gofile.me/649X4/gDC7SYmip" TargetMode="External"/><Relationship Id="rId107" Type="http://schemas.openxmlformats.org/officeDocument/2006/relationships/hyperlink" Target="http://gofile.me/649X4/o8Cqw3Qti" TargetMode="External"/><Relationship Id="rId108" Type="http://schemas.openxmlformats.org/officeDocument/2006/relationships/hyperlink" Target="http://gofile.me/649X4/EaTbApLAd" TargetMode="External"/><Relationship Id="rId109" Type="http://schemas.openxmlformats.org/officeDocument/2006/relationships/hyperlink" Target="http://gofile.me/649X4/jHlMOO34e" TargetMode="External"/><Relationship Id="rId110" Type="http://schemas.openxmlformats.org/officeDocument/2006/relationships/hyperlink" Target="http://gofile.me/649X4/EvEX6Sr1s" TargetMode="External"/><Relationship Id="rId111" Type="http://schemas.openxmlformats.org/officeDocument/2006/relationships/hyperlink" Target="http://gofile.me/649X4/BW2zQkInv" TargetMode="External"/><Relationship Id="rId112" Type="http://schemas.openxmlformats.org/officeDocument/2006/relationships/hyperlink" Target="http://gofile.me/649X4/EvEX6Sr1s" TargetMode="External"/><Relationship Id="rId113" Type="http://schemas.openxmlformats.org/officeDocument/2006/relationships/hyperlink" Target="http://gofile.me/649X4/W2xpwSCo7" TargetMode="External"/><Relationship Id="rId114" Type="http://schemas.openxmlformats.org/officeDocument/2006/relationships/hyperlink" Target="http://gofile.me/649X4/EkOciVtJZ" TargetMode="External"/><Relationship Id="rId115" Type="http://schemas.openxmlformats.org/officeDocument/2006/relationships/hyperlink" Target="http://gofile.me/649X4/1bw82ZQEd" TargetMode="External"/><Relationship Id="rId116" Type="http://schemas.openxmlformats.org/officeDocument/2006/relationships/hyperlink" Target="http://gofile.me/649X4/1gLqqFrME" TargetMode="External"/><Relationship Id="rId117" Type="http://schemas.openxmlformats.org/officeDocument/2006/relationships/hyperlink" Target="http://gofile.me/649X4/Gy9ZMhXr4" TargetMode="External"/><Relationship Id="rId118" Type="http://schemas.openxmlformats.org/officeDocument/2006/relationships/hyperlink" Target="http://hoco.i234.me:8000/sharing/AJaOPgW07" TargetMode="External"/><Relationship Id="rId119" Type="http://schemas.openxmlformats.org/officeDocument/2006/relationships/hyperlink" Target="http://gofile.me/649X4/jaHiUNbYa" TargetMode="External"/><Relationship Id="rId120" Type="http://schemas.openxmlformats.org/officeDocument/2006/relationships/hyperlink" Target="http://hoco.i234.me:8000/sharing/rJzUObUYl" TargetMode="External"/><Relationship Id="rId121" Type="http://schemas.openxmlformats.org/officeDocument/2006/relationships/hyperlink" Target="http://gofile.me/649X4/jaHiUNbYa" TargetMode="External"/><Relationship Id="rId122" Type="http://schemas.openxmlformats.org/officeDocument/2006/relationships/hyperlink" Target="http://gofile.me/649X4/EWrgnl2R2" TargetMode="External"/><Relationship Id="rId123" Type="http://schemas.openxmlformats.org/officeDocument/2006/relationships/hyperlink" Target="http://gofile.me/649X4/xyiFPo9vd" TargetMode="External"/><Relationship Id="rId124" Type="http://schemas.openxmlformats.org/officeDocument/2006/relationships/hyperlink" Target="http://hoco.i234.me:8000/sharing/o4oDiqkbq" TargetMode="External"/><Relationship Id="rId125" Type="http://schemas.openxmlformats.org/officeDocument/2006/relationships/hyperlink" Target="http://gofile.me/649X4/xyiFPo9vd" TargetMode="External"/><Relationship Id="rId126" Type="http://schemas.openxmlformats.org/officeDocument/2006/relationships/hyperlink" Target="http://hoco.i234.me:8000/sharing/G8ks8neDx" TargetMode="External"/><Relationship Id="rId127" Type="http://schemas.openxmlformats.org/officeDocument/2006/relationships/hyperlink" Target="http://gofile.me/649X4/xyiFPo9vd" TargetMode="External"/><Relationship Id="rId128" Type="http://schemas.openxmlformats.org/officeDocument/2006/relationships/hyperlink" Target="http://gofile.me/649X4/EWrgnl2R2" TargetMode="External"/><Relationship Id="rId129" Type="http://schemas.openxmlformats.org/officeDocument/2006/relationships/hyperlink" Target="http://gofile.me/649X4/xyiFPo9vd" TargetMode="External"/><Relationship Id="rId130" Type="http://schemas.openxmlformats.org/officeDocument/2006/relationships/hyperlink" Target="http://hoco.i234.me:8000/sharing/G8ks8neDx" TargetMode="External"/><Relationship Id="rId131" Type="http://schemas.openxmlformats.org/officeDocument/2006/relationships/hyperlink" Target="http://gofile.me/649X4/xyiFPo9vd" TargetMode="External"/><Relationship Id="rId132" Type="http://schemas.openxmlformats.org/officeDocument/2006/relationships/hyperlink" Target="http://hoco.i234.me:8000/sharing/RksaSe3bT" TargetMode="External"/><Relationship Id="rId133" Type="http://schemas.openxmlformats.org/officeDocument/2006/relationships/hyperlink" Target="http://gofile.me/649X4/lBZs0kMOA" TargetMode="External"/><Relationship Id="rId134" Type="http://schemas.openxmlformats.org/officeDocument/2006/relationships/hyperlink" Target="http://hoco.i234.me:8000/sharing/JJkmgqzrd" TargetMode="External"/><Relationship Id="rId135" Type="http://schemas.openxmlformats.org/officeDocument/2006/relationships/hyperlink" Target="http://gofile.me/649X4/lBZs0kMOA" TargetMode="External"/><Relationship Id="rId136" Type="http://schemas.openxmlformats.org/officeDocument/2006/relationships/hyperlink" Target="http://hoco.i234.me:8000/sharing/5HN7y6gSc" TargetMode="External"/><Relationship Id="rId137" Type="http://schemas.openxmlformats.org/officeDocument/2006/relationships/hyperlink" Target="http://gofile.me/649X4/lBZs0kMOA" TargetMode="External"/><Relationship Id="rId138" Type="http://schemas.openxmlformats.org/officeDocument/2006/relationships/hyperlink" Target="http://hoco.i234.me:8000/sharing/Jj6BGUeYK" TargetMode="External"/><Relationship Id="rId139" Type="http://schemas.openxmlformats.org/officeDocument/2006/relationships/hyperlink" Target="http://gofile.me/649X4/lBZs0kMOA" TargetMode="External"/><Relationship Id="rId140" Type="http://schemas.openxmlformats.org/officeDocument/2006/relationships/hyperlink" Target="http://hoco.i234.me:8000/sharing/9sBA7UgCM" TargetMode="External"/><Relationship Id="rId141" Type="http://schemas.openxmlformats.org/officeDocument/2006/relationships/hyperlink" Target="http://gofile.me/649X4/lBZs0kMOA" TargetMode="External"/><Relationship Id="rId142" Type="http://schemas.openxmlformats.org/officeDocument/2006/relationships/hyperlink" Target="http://hoco.i234.me:8000/sharing/9sBA7UgCM" TargetMode="External"/><Relationship Id="rId143" Type="http://schemas.openxmlformats.org/officeDocument/2006/relationships/hyperlink" Target="http://gofile.me/649X4/lBZs0kMOA" TargetMode="External"/><Relationship Id="rId144" Type="http://schemas.openxmlformats.org/officeDocument/2006/relationships/hyperlink" Target="http://hoco.i234.me:8000/sharing/bR0axzZPE" TargetMode="External"/><Relationship Id="rId145" Type="http://schemas.openxmlformats.org/officeDocument/2006/relationships/hyperlink" Target="http://hoco.i234.me:8000/sharing/4lqLNjX3R" TargetMode="External"/><Relationship Id="rId146" Type="http://schemas.openxmlformats.org/officeDocument/2006/relationships/hyperlink" Target="http://hoco.myDS.me:7000/sharing/07VJ7i4eS" TargetMode="External"/><Relationship Id="rId147" Type="http://schemas.openxmlformats.org/officeDocument/2006/relationships/hyperlink" Target="http://hoco.myDS.me:7000/sharing/dVphXgAtG" TargetMode="External"/><Relationship Id="rId148" Type="http://schemas.openxmlformats.org/officeDocument/2006/relationships/hyperlink" Target="http://hoco.myDS.me:7000/sharing/K3V307rS5" TargetMode="External"/><Relationship Id="rId149" Type="http://schemas.openxmlformats.org/officeDocument/2006/relationships/hyperlink" Target="http://hoco.myDS.me:7000/sharing/wx7VZZHSv" TargetMode="External"/><Relationship Id="rId150" Type="http://schemas.openxmlformats.org/officeDocument/2006/relationships/hyperlink" Target="http://hoco.myDS.me:7000/sharing/yBpJF5ser" TargetMode="External"/><Relationship Id="rId151" Type="http://schemas.openxmlformats.org/officeDocument/2006/relationships/hyperlink" Target="http://hoco.myDS.me:7000/sharing/mPRvzSErM" TargetMode="External"/><Relationship Id="rId152" Type="http://schemas.openxmlformats.org/officeDocument/2006/relationships/hyperlink" Target="http://hoco.myDS.me:7000/sharing/XBuO0hW3h" TargetMode="External"/><Relationship Id="rId153" Type="http://schemas.openxmlformats.org/officeDocument/2006/relationships/hyperlink" Target="http://hoco.myDS.me:7000/sharing/TwZqmfXue" TargetMode="External"/><Relationship Id="rId154" Type="http://schemas.openxmlformats.org/officeDocument/2006/relationships/hyperlink" Target="http://hoco.myDS.me:7000/sharing/PPeushUL1" TargetMode="External"/><Relationship Id="rId155" Type="http://schemas.openxmlformats.org/officeDocument/2006/relationships/hyperlink" Target="http://hoco.myDS.me:7000/sharing/XBuO0hW3h" TargetMode="External"/><Relationship Id="rId156" Type="http://schemas.openxmlformats.org/officeDocument/2006/relationships/hyperlink" Target="http://hoco.myDS.me:7000/sharing/TwZqmfXue" TargetMode="External"/><Relationship Id="rId157" Type="http://schemas.openxmlformats.org/officeDocument/2006/relationships/hyperlink" Target="http://hoco.myDS.me:7000/sharing/PPeushUL1" TargetMode="External"/><Relationship Id="rId158" Type="http://schemas.openxmlformats.org/officeDocument/2006/relationships/hyperlink" Target="http://hoco.myDS.me:7000/sharing/XBuO0hW3h" TargetMode="External"/><Relationship Id="rId159" Type="http://schemas.openxmlformats.org/officeDocument/2006/relationships/hyperlink" Target="http://hoco.myDS.me:7000/sharing/TwZqmfXue" TargetMode="External"/><Relationship Id="rId160" Type="http://schemas.openxmlformats.org/officeDocument/2006/relationships/hyperlink" Target="http://hoco.myDS.me:7000/sharing/PPeushUL1" TargetMode="External"/><Relationship Id="rId16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http://gofile.me/649X4/Xv5ueykaV" TargetMode="External"/><Relationship Id="rId2" Type="http://schemas.openxmlformats.org/officeDocument/2006/relationships/hyperlink" Target="http://gofile.me/649X4/oj87vk7ss" TargetMode="External"/><Relationship Id="rId3" Type="http://schemas.openxmlformats.org/officeDocument/2006/relationships/hyperlink" Target="http://gofile.me/649X4/mZkbp1Lcw" TargetMode="External"/><Relationship Id="rId4" Type="http://schemas.openxmlformats.org/officeDocument/2006/relationships/hyperlink" Target="http://gofile.me/649X4/7k5Grtsa6" TargetMode="External"/><Relationship Id="rId5" Type="http://schemas.openxmlformats.org/officeDocument/2006/relationships/hyperlink" Target="http://gofile.me/649X4/sbeE8JJIC" TargetMode="External"/><Relationship Id="rId6" Type="http://schemas.openxmlformats.org/officeDocument/2006/relationships/hyperlink" Target="http://gofile.me/649X4/3z0RPvqoR" TargetMode="External"/><Relationship Id="rId7" Type="http://schemas.openxmlformats.org/officeDocument/2006/relationships/hyperlink" Target="http://gofile.me/649X4/gzhPtEieC" TargetMode="External"/><Relationship Id="rId8" Type="http://schemas.openxmlformats.org/officeDocument/2006/relationships/hyperlink" Target="http://gofile.me/649X4/KEVw3Dq8c" TargetMode="External"/><Relationship Id="rId9" Type="http://schemas.openxmlformats.org/officeDocument/2006/relationships/hyperlink" Target="http://gofile.me/649X4/wbKbO64BT" TargetMode="External"/><Relationship Id="rId10" Type="http://schemas.openxmlformats.org/officeDocument/2006/relationships/hyperlink" Target="http://gofile.me/649X4/qlJFOjCG3" TargetMode="External"/><Relationship Id="rId11" Type="http://schemas.openxmlformats.org/officeDocument/2006/relationships/hyperlink" Target="http://hoco.myDS.me:7000/sharing/0dchgORSD" TargetMode="External"/><Relationship Id="rId12" Type="http://schemas.openxmlformats.org/officeDocument/2006/relationships/hyperlink" Target="http://gofile.me/649X4/sT4nbqkfm" TargetMode="External"/><Relationship Id="rId13" Type="http://schemas.openxmlformats.org/officeDocument/2006/relationships/hyperlink" Target="http://gofile.me/649X4/sT4nbqkfm" TargetMode="External"/><Relationship Id="rId14" Type="http://schemas.openxmlformats.org/officeDocument/2006/relationships/hyperlink" Target="http://gofile.me/649X4/sT4nbqkfm" TargetMode="External"/><Relationship Id="rId15" Type="http://schemas.openxmlformats.org/officeDocument/2006/relationships/hyperlink" Target="http://gofile.me/649X4/sT4nbqkfm" TargetMode="External"/><Relationship Id="rId16" Type="http://schemas.openxmlformats.org/officeDocument/2006/relationships/hyperlink" Target="http://gofile.me/649X4/sT4nbqkfm" TargetMode="External"/><Relationship Id="rId17" Type="http://schemas.openxmlformats.org/officeDocument/2006/relationships/hyperlink" Target="http://gofile.me/649X4/sT4nbqkfm" TargetMode="External"/><Relationship Id="rId18" Type="http://schemas.openxmlformats.org/officeDocument/2006/relationships/hyperlink" Target="http://gofile.me/649X4/sT4nbqkfm" TargetMode="External"/><Relationship Id="rId19" Type="http://schemas.openxmlformats.org/officeDocument/2006/relationships/hyperlink" Target="http://gofile.me/649X4/sT4nbqkfm" TargetMode="External"/><Relationship Id="rId20" Type="http://schemas.openxmlformats.org/officeDocument/2006/relationships/hyperlink" Target="http://gofile.me/649X4/sT4nbqkfm" TargetMode="External"/><Relationship Id="rId21" Type="http://schemas.openxmlformats.org/officeDocument/2006/relationships/hyperlink" Target="http://gofile.me/649X4/sT4nbqkfm" TargetMode="External"/><Relationship Id="rId22"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hyperlink" Target="http://gofile.me/649X4/kcwEK02GS" TargetMode="External"/><Relationship Id="rId2" Type="http://schemas.openxmlformats.org/officeDocument/2006/relationships/hyperlink" Target="http://gofile.me/649X4/LCkeTSSOK" TargetMode="External"/><Relationship Id="rId3" Type="http://schemas.openxmlformats.org/officeDocument/2006/relationships/hyperlink" Target="http://gofile.me/649X4/ZjsiyKRJo" TargetMode="External"/><Relationship Id="rId4" Type="http://schemas.openxmlformats.org/officeDocument/2006/relationships/hyperlink" Target="http://gofile.me/649X4/KKGN7LgGw" TargetMode="External"/><Relationship Id="rId5" Type="http://schemas.openxmlformats.org/officeDocument/2006/relationships/hyperlink" Target="http://gofile.me/649X4/byd1hUzdy" TargetMode="External"/><Relationship Id="rId6" Type="http://schemas.openxmlformats.org/officeDocument/2006/relationships/hyperlink" Target="http://gofile.me/649X4/iac1Hwuh5" TargetMode="External"/><Relationship Id="rId7" Type="http://schemas.openxmlformats.org/officeDocument/2006/relationships/hyperlink" Target="http://gofile.me/649X4/CT2JL9Hyj" TargetMode="External"/><Relationship Id="rId8" Type="http://schemas.openxmlformats.org/officeDocument/2006/relationships/hyperlink" Target="http://gofile.me/649X4/fgDOPziu6" TargetMode="External"/><Relationship Id="rId9" Type="http://schemas.openxmlformats.org/officeDocument/2006/relationships/hyperlink" Target="http://gofile.me/649X4/OyZX1CmkY" TargetMode="External"/><Relationship Id="rId10" Type="http://schemas.openxmlformats.org/officeDocument/2006/relationships/hyperlink" Target="http://gofile.me/649X4/t5Rd6rSam" TargetMode="External"/><Relationship Id="rId11" Type="http://schemas.openxmlformats.org/officeDocument/2006/relationships/hyperlink" Target="http://gofile.me/649X4/aRs6r4tmy" TargetMode="External"/><Relationship Id="rId12" Type="http://schemas.openxmlformats.org/officeDocument/2006/relationships/hyperlink" Target="http://gofile.me/649X4/nlNOMAaQp" TargetMode="External"/><Relationship Id="rId13" Type="http://schemas.openxmlformats.org/officeDocument/2006/relationships/hyperlink" Target="http://gofile.me/649X4/wxc79O3Gn" TargetMode="External"/><Relationship Id="rId14" Type="http://schemas.openxmlformats.org/officeDocument/2006/relationships/hyperlink" Target="http://gofile.me/649X4/iZ74EgV0j" TargetMode="External"/><Relationship Id="rId15" Type="http://schemas.openxmlformats.org/officeDocument/2006/relationships/hyperlink" Target="http://gofile.me/649X4/wxc79O3Gn" TargetMode="External"/><Relationship Id="rId16" Type="http://schemas.openxmlformats.org/officeDocument/2006/relationships/hyperlink" Target="http://gofile.me/649X4/lkYSknVYS" TargetMode="External"/><Relationship Id="rId17" Type="http://schemas.openxmlformats.org/officeDocument/2006/relationships/hyperlink" Target="http://gofile.me/649X4/wxc79O3Gn" TargetMode="External"/><Relationship Id="rId18" Type="http://schemas.openxmlformats.org/officeDocument/2006/relationships/hyperlink" Target="http://gofile.me/649X4/f5dbYGHaV" TargetMode="External"/><Relationship Id="rId19" Type="http://schemas.openxmlformats.org/officeDocument/2006/relationships/hyperlink" Target="http://gofile.me/649X4/wxc79O3Gn" TargetMode="External"/><Relationship Id="rId20" Type="http://schemas.openxmlformats.org/officeDocument/2006/relationships/hyperlink" Target="http://gofile.me/649X4/wJX0lxyt9" TargetMode="External"/><Relationship Id="rId21" Type="http://schemas.openxmlformats.org/officeDocument/2006/relationships/hyperlink" Target="http://gofile.me/649X4/UonFozAof" TargetMode="External"/><Relationship Id="rId22" Type="http://schemas.openxmlformats.org/officeDocument/2006/relationships/hyperlink" Target="http://gofile.me/649X4/aTSK1eKWB" TargetMode="External"/><Relationship Id="rId23" Type="http://schemas.openxmlformats.org/officeDocument/2006/relationships/hyperlink" Target="http://gofile.me/649X4/DacVpjEhO" TargetMode="External"/><Relationship Id="rId24" Type="http://schemas.openxmlformats.org/officeDocument/2006/relationships/hyperlink" Target="http://gofile.me/649X4/WmyrDIAtG" TargetMode="External"/><Relationship Id="rId25" Type="http://schemas.openxmlformats.org/officeDocument/2006/relationships/hyperlink" Target="http://gofile.me/649X4/DacVpjEhO" TargetMode="External"/><Relationship Id="rId26" Type="http://schemas.openxmlformats.org/officeDocument/2006/relationships/hyperlink" Target="http://gofile.me/649X4/Ceifx4n6C" TargetMode="External"/><Relationship Id="rId27" Type="http://schemas.openxmlformats.org/officeDocument/2006/relationships/hyperlink" Target="http://gofile.me/649X4/PlppZ7E1s" TargetMode="External"/><Relationship Id="rId28" Type="http://schemas.openxmlformats.org/officeDocument/2006/relationships/hyperlink" Target="http://gofile.me/649X4/IUa8fABMB" TargetMode="External"/><Relationship Id="rId29" Type="http://schemas.openxmlformats.org/officeDocument/2006/relationships/hyperlink" Target="http://gofile.me/649X4/i3FuILOgM" TargetMode="External"/><Relationship Id="rId30" Type="http://schemas.openxmlformats.org/officeDocument/2006/relationships/hyperlink" Target="http://gofile.me/649X4/amyG1ADS9" TargetMode="External"/><Relationship Id="rId31" Type="http://schemas.openxmlformats.org/officeDocument/2006/relationships/hyperlink" Target="http://gofile.me/649X4/i3FuILOgM" TargetMode="External"/><Relationship Id="rId32" Type="http://schemas.openxmlformats.org/officeDocument/2006/relationships/hyperlink" Target="http://gofile.me/649X4/rFp4J8E1r" TargetMode="External"/><Relationship Id="rId33" Type="http://schemas.openxmlformats.org/officeDocument/2006/relationships/hyperlink" Target="http://gofile.me/649X4/W80McUULn" TargetMode="External"/><Relationship Id="rId34" Type="http://schemas.openxmlformats.org/officeDocument/2006/relationships/hyperlink" Target="http://gofile.me/649X4/wWD0E43u8" TargetMode="External"/><Relationship Id="rId35" Type="http://schemas.openxmlformats.org/officeDocument/2006/relationships/hyperlink" Target="http://gofile.me/649X4/WZVfzcyrk" TargetMode="External"/><Relationship Id="rId36" Type="http://schemas.openxmlformats.org/officeDocument/2006/relationships/hyperlink" Target="http://gofile.me/649X4/DyTriMZTj" TargetMode="External"/><Relationship Id="rId37" Type="http://schemas.openxmlformats.org/officeDocument/2006/relationships/hyperlink" Target="http://gofile.me/649X4/mL1kBAxdC" TargetMode="External"/><Relationship Id="rId38" Type="http://schemas.openxmlformats.org/officeDocument/2006/relationships/hyperlink" Target="http://gofile.me/649X4/jygKrfvkA" TargetMode="External"/><Relationship Id="rId39" Type="http://schemas.openxmlformats.org/officeDocument/2006/relationships/hyperlink" Target="http://gofile.me/649X4/mL1kBAxdC" TargetMode="External"/><Relationship Id="rId40" Type="http://schemas.openxmlformats.org/officeDocument/2006/relationships/hyperlink" Target="http://gofile.me/649X4/IGVmA6o3R" TargetMode="External"/><Relationship Id="rId41" Type="http://schemas.openxmlformats.org/officeDocument/2006/relationships/hyperlink" Target="http://gofile.me/649X4/mL1kBAxdC" TargetMode="External"/><Relationship Id="rId42" Type="http://schemas.openxmlformats.org/officeDocument/2006/relationships/hyperlink" Target="http://gofile.me/649X4/xqO0a2W9u" TargetMode="External"/><Relationship Id="rId43" Type="http://schemas.openxmlformats.org/officeDocument/2006/relationships/hyperlink" Target="http://gofile.me/649X4/RpgGZBonR" TargetMode="External"/><Relationship Id="rId44" Type="http://schemas.openxmlformats.org/officeDocument/2006/relationships/hyperlink" Target="http://gofile.me/649X4/VKd5G0SHb" TargetMode="External"/><Relationship Id="rId45" Type="http://schemas.openxmlformats.org/officeDocument/2006/relationships/hyperlink" Target="http://gofile.me/649X4/8drOwbc7t" TargetMode="External"/><Relationship Id="rId46" Type="http://schemas.openxmlformats.org/officeDocument/2006/relationships/hyperlink" Target="http://gofile.me/649X4/4Qqj8gDVX" TargetMode="External"/><Relationship Id="rId47" Type="http://schemas.openxmlformats.org/officeDocument/2006/relationships/hyperlink" Target="http://gofile.me/649X4/BsgJZUVvB" TargetMode="External"/><Relationship Id="rId48" Type="http://schemas.openxmlformats.org/officeDocument/2006/relationships/hyperlink" Target="http://gofile.me/649X4/AwOU6bMTD" TargetMode="External"/><Relationship Id="rId49" Type="http://schemas.openxmlformats.org/officeDocument/2006/relationships/hyperlink" Target="http://gofile.me/649X4/JYOb7XlPN" TargetMode="External"/><Relationship Id="rId50"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hyperlink" Target="http://gofile.me/649X4/kcwEK02GS" TargetMode="External"/><Relationship Id="rId2" Type="http://schemas.openxmlformats.org/officeDocument/2006/relationships/hyperlink" Target="http://gofile.me/649X4/ZjsiyKRJo" TargetMode="External"/><Relationship Id="rId3" Type="http://schemas.openxmlformats.org/officeDocument/2006/relationships/hyperlink" Target="http://gofile.me/649X4/byd1hUzdy" TargetMode="External"/><Relationship Id="rId4" Type="http://schemas.openxmlformats.org/officeDocument/2006/relationships/hyperlink" Target="http://gofile.me/649X4/CT2JL9Hyj" TargetMode="External"/><Relationship Id="rId5" Type="http://schemas.openxmlformats.org/officeDocument/2006/relationships/hyperlink" Target="http://gofile.me/649X4/fgDOPziu6" TargetMode="External"/><Relationship Id="rId6" Type="http://schemas.openxmlformats.org/officeDocument/2006/relationships/hyperlink" Target="http://gofile.me/649X4/aRs6r4tmy" TargetMode="External"/><Relationship Id="rId7" Type="http://schemas.openxmlformats.org/officeDocument/2006/relationships/hyperlink" Target="http://gofile.me/649X4/nlNOMAaQp" TargetMode="External"/><Relationship Id="rId8" Type="http://schemas.openxmlformats.org/officeDocument/2006/relationships/hyperlink" Target="http://gofile.me/649X4/wxc79O3Gn" TargetMode="External"/><Relationship Id="rId9" Type="http://schemas.openxmlformats.org/officeDocument/2006/relationships/hyperlink" Target="http://gofile.me/649X4/lkYSknVYS" TargetMode="External"/><Relationship Id="rId10" Type="http://schemas.openxmlformats.org/officeDocument/2006/relationships/hyperlink" Target="http://gofile.me/649X4/wxc79O3Gn" TargetMode="External"/><Relationship Id="rId11" Type="http://schemas.openxmlformats.org/officeDocument/2006/relationships/hyperlink" Target="http://gofile.me/649X4/f5dbYGHaV" TargetMode="External"/><Relationship Id="rId12" Type="http://schemas.openxmlformats.org/officeDocument/2006/relationships/hyperlink" Target="http://gofile.me/649X4/wxc79O3Gn" TargetMode="External"/><Relationship Id="rId13" Type="http://schemas.openxmlformats.org/officeDocument/2006/relationships/hyperlink" Target="http://gofile.me/649X4/wJX0lxyt9" TargetMode="External"/><Relationship Id="rId14" Type="http://schemas.openxmlformats.org/officeDocument/2006/relationships/hyperlink" Target="http://gofile.me/649X4/aTSK1eKWB" TargetMode="External"/><Relationship Id="rId15" Type="http://schemas.openxmlformats.org/officeDocument/2006/relationships/hyperlink" Target="http://gofile.me/649X4/DacVpjEhO" TargetMode="External"/><Relationship Id="rId16" Type="http://schemas.openxmlformats.org/officeDocument/2006/relationships/hyperlink" Target="http://gofile.me/649X4/WmyrDIAtG" TargetMode="External"/><Relationship Id="rId17" Type="http://schemas.openxmlformats.org/officeDocument/2006/relationships/hyperlink" Target="http://gofile.me/649X4/DacVpjEhO" TargetMode="External"/><Relationship Id="rId18" Type="http://schemas.openxmlformats.org/officeDocument/2006/relationships/hyperlink" Target="http://gofile.me/649X4/Ceifx4n6C" TargetMode="External"/><Relationship Id="rId19" Type="http://schemas.openxmlformats.org/officeDocument/2006/relationships/hyperlink" Target="http://gofile.me/649X4/IUa8fABMB" TargetMode="External"/><Relationship Id="rId20" Type="http://schemas.openxmlformats.org/officeDocument/2006/relationships/hyperlink" Target="http://gofile.me/649X4/i3FuILOgM" TargetMode="External"/><Relationship Id="rId21" Type="http://schemas.openxmlformats.org/officeDocument/2006/relationships/hyperlink" Target="http://gofile.me/649X4/rFp4J8E1r" TargetMode="External"/><Relationship Id="rId22" Type="http://schemas.openxmlformats.org/officeDocument/2006/relationships/hyperlink" Target="http://gofile.me/649X4/W80McUULn" TargetMode="External"/><Relationship Id="rId23" Type="http://schemas.openxmlformats.org/officeDocument/2006/relationships/hyperlink" Target="http://gofile.me/649X4/wWD0E43u8" TargetMode="External"/><Relationship Id="rId24" Type="http://schemas.openxmlformats.org/officeDocument/2006/relationships/hyperlink" Target="http://gofile.me/649X4/WZVfzcyrk" TargetMode="External"/><Relationship Id="rId25" Type="http://schemas.openxmlformats.org/officeDocument/2006/relationships/hyperlink" Target="http://gofile.me/649X4/DyTriMZTj" TargetMode="External"/><Relationship Id="rId26" Type="http://schemas.openxmlformats.org/officeDocument/2006/relationships/hyperlink" Target="http://gofile.me/649X4/mL1kBAxdC" TargetMode="External"/><Relationship Id="rId27" Type="http://schemas.openxmlformats.org/officeDocument/2006/relationships/hyperlink" Target="http://gofile.me/649X4/jygKrfvkA" TargetMode="External"/><Relationship Id="rId28" Type="http://schemas.openxmlformats.org/officeDocument/2006/relationships/hyperlink" Target="http://gofile.me/649X4/mL1kBAxdC" TargetMode="External"/><Relationship Id="rId29" Type="http://schemas.openxmlformats.org/officeDocument/2006/relationships/hyperlink" Target="http://gofile.me/649X4/IGVmA6o3R" TargetMode="External"/><Relationship Id="rId30" Type="http://schemas.openxmlformats.org/officeDocument/2006/relationships/hyperlink" Target="http://gofile.me/649X4/mL1kBAxdC" TargetMode="External"/><Relationship Id="rId31" Type="http://schemas.openxmlformats.org/officeDocument/2006/relationships/hyperlink" Target="http://gofile.me/649X4/xqO0a2W9u" TargetMode="External"/><Relationship Id="rId32" Type="http://schemas.openxmlformats.org/officeDocument/2006/relationships/hyperlink" Target="http://gofile.me/649X4/RpgGZBonR" TargetMode="External"/><Relationship Id="rId33" Type="http://schemas.openxmlformats.org/officeDocument/2006/relationships/hyperlink" Target="http://gofile.me/649X4/VKd5G0SHb" TargetMode="External"/><Relationship Id="rId34" Type="http://schemas.openxmlformats.org/officeDocument/2006/relationships/hyperlink" Target="http://gofile.me/649X4/4Qqj8gDVX" TargetMode="External"/><Relationship Id="rId35" Type="http://schemas.openxmlformats.org/officeDocument/2006/relationships/hyperlink" Target="http://gofile.me/649X4/BsgJZUVvB" TargetMode="External"/><Relationship Id="rId36" Type="http://schemas.openxmlformats.org/officeDocument/2006/relationships/hyperlink" Target="http://gofile.me/649X4/LCkeTSSOK" TargetMode="External"/><Relationship Id="rId37" Type="http://schemas.openxmlformats.org/officeDocument/2006/relationships/hyperlink" Target="http://gofile.me/649X4/KKGN7LgGw" TargetMode="External"/><Relationship Id="rId38" Type="http://schemas.openxmlformats.org/officeDocument/2006/relationships/hyperlink" Target="http://gofile.me/649X4/iac1Hwuh5" TargetMode="External"/><Relationship Id="rId39" Type="http://schemas.openxmlformats.org/officeDocument/2006/relationships/hyperlink" Target="http://gofile.me/649X4/OyZX1CmkY" TargetMode="External"/><Relationship Id="rId40" Type="http://schemas.openxmlformats.org/officeDocument/2006/relationships/hyperlink" Target="http://gofile.me/649X4/t5Rd6rSam" TargetMode="External"/><Relationship Id="rId41" Type="http://schemas.openxmlformats.org/officeDocument/2006/relationships/hyperlink" Target="http://gofile.me/649X4/iZ74EgV0j" TargetMode="External"/><Relationship Id="rId42" Type="http://schemas.openxmlformats.org/officeDocument/2006/relationships/hyperlink" Target="http://gofile.me/649X4/wxc79O3Gn" TargetMode="External"/><Relationship Id="rId43" Type="http://schemas.openxmlformats.org/officeDocument/2006/relationships/hyperlink" Target="http://gofile.me/649X4/UonFozAof" TargetMode="External"/><Relationship Id="rId44" Type="http://schemas.openxmlformats.org/officeDocument/2006/relationships/hyperlink" Target="http://gofile.me/649X4/PlppZ7E1s" TargetMode="External"/><Relationship Id="rId45" Type="http://schemas.openxmlformats.org/officeDocument/2006/relationships/hyperlink" Target="http://gofile.me/649X4/amyG1ADS9" TargetMode="External"/><Relationship Id="rId46" Type="http://schemas.openxmlformats.org/officeDocument/2006/relationships/hyperlink" Target="http://gofile.me/649X4/i3FuILOgM" TargetMode="External"/><Relationship Id="rId47" Type="http://schemas.openxmlformats.org/officeDocument/2006/relationships/hyperlink" Target="http://gofile.me/649X4/8drOwbc7t" TargetMode="External"/><Relationship Id="rId48" Type="http://schemas.openxmlformats.org/officeDocument/2006/relationships/hyperlink" Target="http://gofile.me/649X4/JYOb7XlPN" TargetMode="External"/><Relationship Id="rId49"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hyperlink" Target="http://gofile.me/649X4/GxqSyKx5O" TargetMode="External"/><Relationship Id="rId2" Type="http://schemas.openxmlformats.org/officeDocument/2006/relationships/hyperlink" Target="http://gofile.me/649X4/YAMTA7PlP" TargetMode="External"/><Relationship Id="rId3" Type="http://schemas.openxmlformats.org/officeDocument/2006/relationships/hyperlink" Target="http://gofile.me/649X4/yflxbb65k" TargetMode="External"/><Relationship Id="rId4" Type="http://schemas.openxmlformats.org/officeDocument/2006/relationships/hyperlink" Target="http://gofile.me/649X4/gFQucowI7" TargetMode="External"/><Relationship Id="rId5" Type="http://schemas.openxmlformats.org/officeDocument/2006/relationships/hyperlink" Target="http://gofile.me/649X4/wADtslEz1" TargetMode="External"/><Relationship Id="rId6" Type="http://schemas.openxmlformats.org/officeDocument/2006/relationships/hyperlink" Target="http://gofile.me/649X4/uXCKJU42X" TargetMode="External"/><Relationship Id="rId7" Type="http://schemas.openxmlformats.org/officeDocument/2006/relationships/hyperlink" Target="http://gofile.me/649X4/6qB91T5Jk" TargetMode="External"/><Relationship Id="rId8" Type="http://schemas.openxmlformats.org/officeDocument/2006/relationships/hyperlink" Target="http://gofile.me/649X4/PN8BV2nP7" TargetMode="External"/><Relationship Id="rId9" Type="http://schemas.openxmlformats.org/officeDocument/2006/relationships/hyperlink" Target="http://gofile.me/649X4/q8lSlxWbf" TargetMode="External"/><Relationship Id="rId10" Type="http://schemas.openxmlformats.org/officeDocument/2006/relationships/hyperlink" Target="http://gofile.me/649X4/fWDDqscvl" TargetMode="External"/><Relationship Id="rId11" Type="http://schemas.openxmlformats.org/officeDocument/2006/relationships/hyperlink" Target="http://gofile.me/649X4/Gw0lKFe6n" TargetMode="External"/><Relationship Id="rId12" Type="http://schemas.openxmlformats.org/officeDocument/2006/relationships/hyperlink" Target="http://gofile.me/649X4/sZo8OAizC" TargetMode="External"/><Relationship Id="rId13" Type="http://schemas.openxmlformats.org/officeDocument/2006/relationships/hyperlink" Target="http://gofile.me/649X4/ygxmII6pw" TargetMode="External"/><Relationship Id="rId14" Type="http://schemas.openxmlformats.org/officeDocument/2006/relationships/hyperlink" Target="http://gofile.me/649X4/uJPFCIYmp" TargetMode="External"/><Relationship Id="rId15" Type="http://schemas.openxmlformats.org/officeDocument/2006/relationships/hyperlink" Target="http://gofile.me/649X4/E8ky9Qq0f" TargetMode="External"/><Relationship Id="rId16" Type="http://schemas.openxmlformats.org/officeDocument/2006/relationships/hyperlink" Target="http://gofile.me/649X4/UFCVtgn3T" TargetMode="External"/><Relationship Id="rId17" Type="http://schemas.openxmlformats.org/officeDocument/2006/relationships/hyperlink" Target="http://gofile.me/649X4/VvePyw2yZ" TargetMode="External"/><Relationship Id="rId18" Type="http://schemas.openxmlformats.org/officeDocument/2006/relationships/hyperlink" Target="http://gofile.me/649X4/axjwetjx3" TargetMode="External"/><Relationship Id="rId19" Type="http://schemas.openxmlformats.org/officeDocument/2006/relationships/hyperlink" Target="http://gofile.me/649X4/hbGBMAe4H" TargetMode="External"/><Relationship Id="rId20" Type="http://schemas.openxmlformats.org/officeDocument/2006/relationships/hyperlink" Target="http://gofile.me/649X4/0UMaRiI5y" TargetMode="External"/><Relationship Id="rId21" Type="http://schemas.openxmlformats.org/officeDocument/2006/relationships/hyperlink" Target="http://gofile.me/649X4/vXMSp8Zjg" TargetMode="External"/><Relationship Id="rId22" Type="http://schemas.openxmlformats.org/officeDocument/2006/relationships/hyperlink" Target="http://gofile.me/649X4/Tmt7eokZN" TargetMode="External"/><Relationship Id="rId23" Type="http://schemas.openxmlformats.org/officeDocument/2006/relationships/hyperlink" Target="http://gofile.me/649X4/V69DxRmnz" TargetMode="External"/><Relationship Id="rId24" Type="http://schemas.openxmlformats.org/officeDocument/2006/relationships/hyperlink" Target="http://gofile.me/649X4/L2evwGiQX" TargetMode="External"/><Relationship Id="rId25" Type="http://schemas.openxmlformats.org/officeDocument/2006/relationships/hyperlink" Target="http://gofile.me/649X4/frBBxw5C4" TargetMode="External"/><Relationship Id="rId26" Type="http://schemas.openxmlformats.org/officeDocument/2006/relationships/hyperlink" Target="http://gofile.me/649X4/bzncuDkUi" TargetMode="External"/><Relationship Id="rId27" Type="http://schemas.openxmlformats.org/officeDocument/2006/relationships/hyperlink" Target="http://gofile.me/649X4/p7Y73rsLA" TargetMode="External"/><Relationship Id="rId28" Type="http://schemas.openxmlformats.org/officeDocument/2006/relationships/hyperlink" Target="http://gofile.me/649X4/NDV5LbtCh" TargetMode="External"/><Relationship Id="rId29" Type="http://schemas.openxmlformats.org/officeDocument/2006/relationships/hyperlink" Target="http://gofile.me/649X4/EPrQLfsas" TargetMode="External"/><Relationship Id="rId30" Type="http://schemas.openxmlformats.org/officeDocument/2006/relationships/hyperlink" Target="http://gofile.me/649X4/uKjM3067K" TargetMode="External"/><Relationship Id="rId31" Type="http://schemas.openxmlformats.org/officeDocument/2006/relationships/hyperlink" Target="http://gofile.me/649X4/cyDy0hrFW" TargetMode="External"/><Relationship Id="rId32" Type="http://schemas.openxmlformats.org/officeDocument/2006/relationships/hyperlink" Target="http://gofile.me/649X4/RMfsiVxZC" TargetMode="External"/><Relationship Id="rId33" Type="http://schemas.openxmlformats.org/officeDocument/2006/relationships/hyperlink" Target="http://gofile.me/649X4/QoG9FIXFk" TargetMode="External"/><Relationship Id="rId34" Type="http://schemas.openxmlformats.org/officeDocument/2006/relationships/hyperlink" Target="http://gofile.me/649X4/3HMcoD5vc" TargetMode="External"/><Relationship Id="rId35" Type="http://schemas.openxmlformats.org/officeDocument/2006/relationships/hyperlink" Target="http://gofile.me/649X4/iCmfP6gJc" TargetMode="External"/><Relationship Id="rId36" Type="http://schemas.openxmlformats.org/officeDocument/2006/relationships/hyperlink" Target="http://gofile.me/649X4/3HMcoD5vc" TargetMode="External"/><Relationship Id="rId37" Type="http://schemas.openxmlformats.org/officeDocument/2006/relationships/hyperlink" Target="http://gofile.me/649X4/5VkobJrzs" TargetMode="External"/><Relationship Id="rId38" Type="http://schemas.openxmlformats.org/officeDocument/2006/relationships/hyperlink" Target="http://gofile.me/649X4/3HMcoD5vc" TargetMode="External"/><Relationship Id="rId39" Type="http://schemas.openxmlformats.org/officeDocument/2006/relationships/hyperlink" Target="http://gofile.me/649X4/OuTwSOFS3" TargetMode="External"/><Relationship Id="rId40" Type="http://schemas.openxmlformats.org/officeDocument/2006/relationships/hyperlink" Target="http://gofile.me/649X4/VdAZM0ZgM" TargetMode="External"/><Relationship Id="rId41" Type="http://schemas.openxmlformats.org/officeDocument/2006/relationships/hyperlink" Target="http://gofile.me/649X4/leG7dRbJ0" TargetMode="External"/><Relationship Id="rId42" Type="http://schemas.openxmlformats.org/officeDocument/2006/relationships/hyperlink" Target="http://gofile.me/649X4/VdAZM0ZgM" TargetMode="External"/><Relationship Id="rId43" Type="http://schemas.openxmlformats.org/officeDocument/2006/relationships/hyperlink" Target="http://gofile.me/649X4/8N1zBC3Tt" TargetMode="External"/><Relationship Id="rId44" Type="http://schemas.openxmlformats.org/officeDocument/2006/relationships/hyperlink" Target="http://gofile.me/649X4/VdAZM0ZgM" TargetMode="External"/><Relationship Id="rId45" Type="http://schemas.openxmlformats.org/officeDocument/2006/relationships/hyperlink" Target="http://gofile.me/649X4/vhhB7swvr" TargetMode="External"/><Relationship Id="rId46" Type="http://schemas.openxmlformats.org/officeDocument/2006/relationships/hyperlink" Target="http://gofile.me/649X4/L81sFvbCQ" TargetMode="External"/><Relationship Id="rId47" Type="http://schemas.openxmlformats.org/officeDocument/2006/relationships/hyperlink" Target="http://gofile.me/649X4/MiRvuTQTP" TargetMode="External"/><Relationship Id="rId48" Type="http://schemas.openxmlformats.org/officeDocument/2006/relationships/hyperlink" Target="http://gofile.me/649X4/L81sFvbCQ" TargetMode="External"/><Relationship Id="rId49" Type="http://schemas.openxmlformats.org/officeDocument/2006/relationships/hyperlink" Target="http://gofile.me/649X4/Wm0aZNRuj" TargetMode="External"/><Relationship Id="rId50" Type="http://schemas.openxmlformats.org/officeDocument/2006/relationships/hyperlink" Target="http://gofile.me/649X4/zEUsA1sG6" TargetMode="External"/><Relationship Id="rId51" Type="http://schemas.openxmlformats.org/officeDocument/2006/relationships/hyperlink" Target="http://gofile.me/649X4/Tq8shr5S5" TargetMode="External"/><Relationship Id="rId52" Type="http://schemas.openxmlformats.org/officeDocument/2006/relationships/hyperlink" Target="http://gofile.me/649X4/zEUsA1sG6" TargetMode="External"/><Relationship Id="rId53" Type="http://schemas.openxmlformats.org/officeDocument/2006/relationships/hyperlink" Target="http://gofile.me/649X4/Gvs7OO8KO" TargetMode="External"/><Relationship Id="rId54" Type="http://schemas.openxmlformats.org/officeDocument/2006/relationships/hyperlink" Target="http://gofile.me/649X4/zEUsA1sG6" TargetMode="External"/><Relationship Id="rId55" Type="http://schemas.openxmlformats.org/officeDocument/2006/relationships/hyperlink" Target="http://gofile.me/649X4/vnGFj4CpQ" TargetMode="External"/><Relationship Id="rId56" Type="http://schemas.openxmlformats.org/officeDocument/2006/relationships/hyperlink" Target="http://gofile.me/649X4/SKNBMz7kM" TargetMode="External"/><Relationship Id="rId57" Type="http://schemas.openxmlformats.org/officeDocument/2006/relationships/hyperlink" Target="http://gofile.me/649X4/Zr6MSu5MB" TargetMode="External"/><Relationship Id="rId58" Type="http://schemas.openxmlformats.org/officeDocument/2006/relationships/hyperlink" Target="http://gofile.me/649X4/SKNBMz7kM" TargetMode="External"/><Relationship Id="rId59" Type="http://schemas.openxmlformats.org/officeDocument/2006/relationships/hyperlink" Target="http://gofile.me/649X4/eNsYjsPun" TargetMode="External"/><Relationship Id="rId60" Type="http://schemas.openxmlformats.org/officeDocument/2006/relationships/hyperlink" Target="http://gofile.me/649X4/SKNBMz7kM" TargetMode="External"/><Relationship Id="rId61" Type="http://schemas.openxmlformats.org/officeDocument/2006/relationships/hyperlink" Target="http://gofile.me/649X4/f1mjAaUrs" TargetMode="External"/><Relationship Id="rId62" Type="http://schemas.openxmlformats.org/officeDocument/2006/relationships/hyperlink" Target="http://gofile.me/649X4/gstqc79gJ" TargetMode="External"/><Relationship Id="rId63" Type="http://schemas.openxmlformats.org/officeDocument/2006/relationships/hyperlink" Target="http://gofile.me/649X4/pr7bjtPgl" TargetMode="External"/><Relationship Id="rId64" Type="http://schemas.openxmlformats.org/officeDocument/2006/relationships/hyperlink" Target="http://gofile.me/649X4/gstqc79gJ" TargetMode="External"/><Relationship Id="rId65" Type="http://schemas.openxmlformats.org/officeDocument/2006/relationships/hyperlink" Target="http://gofile.me/649X4/20jSs0q21" TargetMode="External"/><Relationship Id="rId66" Type="http://schemas.openxmlformats.org/officeDocument/2006/relationships/hyperlink" Target="http://gofile.me/649X4/gstqc79gJ" TargetMode="External"/><Relationship Id="rId67" Type="http://schemas.openxmlformats.org/officeDocument/2006/relationships/hyperlink" Target="http://gofile.me/649X4/3vDeS2lQ6" TargetMode="External"/><Relationship Id="rId68" Type="http://schemas.openxmlformats.org/officeDocument/2006/relationships/hyperlink" Target="http://gofile.me/649X4/gstqc79gJ" TargetMode="External"/><Relationship Id="rId69" Type="http://schemas.openxmlformats.org/officeDocument/2006/relationships/hyperlink" Target="http://gofile.me/649X4/CXRbbFX4v" TargetMode="External"/><Relationship Id="rId70" Type="http://schemas.openxmlformats.org/officeDocument/2006/relationships/hyperlink" Target="http://gofile.me/649X4/NqAcCkhlp" TargetMode="External"/><Relationship Id="rId71" Type="http://schemas.openxmlformats.org/officeDocument/2006/relationships/hyperlink" Target="http://gofile.me/649X4/bGaQys0Xy" TargetMode="External"/><Relationship Id="rId72" Type="http://schemas.openxmlformats.org/officeDocument/2006/relationships/hyperlink" Target="http://gofile.me/649X4/Zv26AsRrb" TargetMode="External"/><Relationship Id="rId73" Type="http://schemas.openxmlformats.org/officeDocument/2006/relationships/hyperlink" Target="http://gofile.me/649X4/abznmFobj" TargetMode="External"/><Relationship Id="rId74" Type="http://schemas.openxmlformats.org/officeDocument/2006/relationships/hyperlink" Target="http://gofile.me/649X4/oN1hw29rI" TargetMode="External"/><Relationship Id="rId75" Type="http://schemas.openxmlformats.org/officeDocument/2006/relationships/hyperlink" Target="http://gofile.me/649X4/CCpnOYglw" TargetMode="External"/><Relationship Id="rId76" Type="http://schemas.openxmlformats.org/officeDocument/2006/relationships/hyperlink" Target="http://gofile.me/649X4/Fn4UVaCow" TargetMode="External"/><Relationship Id="rId77" Type="http://schemas.openxmlformats.org/officeDocument/2006/relationships/hyperlink" Target="http://gofile.me/649X4/G3hOyGhpP" TargetMode="External"/><Relationship Id="rId78" Type="http://schemas.openxmlformats.org/officeDocument/2006/relationships/hyperlink" Target="http://gofile.me/649X4/YY7rXsGCq" TargetMode="External"/><Relationship Id="rId79" Type="http://schemas.openxmlformats.org/officeDocument/2006/relationships/hyperlink" Target="http://gofile.me/649X4/gN1FVp6ug" TargetMode="External"/><Relationship Id="rId80" Type="http://schemas.openxmlformats.org/officeDocument/2006/relationships/hyperlink" Target="http://gofile.me/649X4/sBcBwxNQO" TargetMode="External"/><Relationship Id="rId81" Type="http://schemas.openxmlformats.org/officeDocument/2006/relationships/hyperlink" Target="http://gofile.me/649X4/eUf3l0mrK" TargetMode="External"/><Relationship Id="rId82" Type="http://schemas.openxmlformats.org/officeDocument/2006/relationships/hyperlink" Target="http://gofile.me/649X4/VCijRkC9G" TargetMode="External"/><Relationship Id="rId83" Type="http://schemas.openxmlformats.org/officeDocument/2006/relationships/hyperlink" Target="http://gofile.me/649X4/HxDQ36Je2" TargetMode="External"/><Relationship Id="rId84" Type="http://schemas.openxmlformats.org/officeDocument/2006/relationships/hyperlink" Target="http://gofile.me/649X4/EgEK5pt8v" TargetMode="External"/><Relationship Id="rId85" Type="http://schemas.openxmlformats.org/officeDocument/2006/relationships/hyperlink" Target="http://gofile.me/649X4/Buz9qoHJi" TargetMode="External"/><Relationship Id="rId86" Type="http://schemas.openxmlformats.org/officeDocument/2006/relationships/hyperlink" Target="http://gofile.me/649X4/Z0uaEUPnK" TargetMode="External"/><Relationship Id="rId87" Type="http://schemas.openxmlformats.org/officeDocument/2006/relationships/hyperlink" Target="http://gofile.me/649X4/bx3dN658y" TargetMode="External"/><Relationship Id="rId88" Type="http://schemas.openxmlformats.org/officeDocument/2006/relationships/hyperlink" Target="http://gofile.me/649X4/OBCsBsoej" TargetMode="External"/><Relationship Id="rId89" Type="http://schemas.openxmlformats.org/officeDocument/2006/relationships/hyperlink" Target="http://gofile.me/649X4/Bkudc6e6H" TargetMode="External"/><Relationship Id="rId90" Type="http://schemas.openxmlformats.org/officeDocument/2006/relationships/hyperlink" Target="http://gofile.me/649X4/fF5PiEald" TargetMode="External"/><Relationship Id="rId91" Type="http://schemas.openxmlformats.org/officeDocument/2006/relationships/hyperlink" Target="http://gofile.me/649X4/bFqzHP3Fn" TargetMode="External"/><Relationship Id="rId92" Type="http://schemas.openxmlformats.org/officeDocument/2006/relationships/hyperlink" Target="http://gofile.me/649X4/R3gjWMUDN" TargetMode="External"/><Relationship Id="rId93" Type="http://schemas.openxmlformats.org/officeDocument/2006/relationships/hyperlink" Target="http://gofile.me/649X4/qkRug2Gyi" TargetMode="External"/><Relationship Id="rId94" Type="http://schemas.openxmlformats.org/officeDocument/2006/relationships/hyperlink" Target="http://gofile.me/649X4/49hrh0ouL" TargetMode="External"/><Relationship Id="rId95" Type="http://schemas.openxmlformats.org/officeDocument/2006/relationships/hyperlink" Target="http://gofile.me/649X4/zH9osNaxu" TargetMode="External"/><Relationship Id="rId96" Type="http://schemas.openxmlformats.org/officeDocument/2006/relationships/hyperlink" Target="http://gofile.me/649X4/oJZLe96ww" TargetMode="External"/><Relationship Id="rId97" Type="http://schemas.openxmlformats.org/officeDocument/2006/relationships/hyperlink" Target="http://gofile.me/649X4/EOiyd1Q0J" TargetMode="External"/><Relationship Id="rId98" Type="http://schemas.openxmlformats.org/officeDocument/2006/relationships/hyperlink" Target="http://gofile.me/649X4/SLVNHw2CW" TargetMode="External"/><Relationship Id="rId99" Type="http://schemas.openxmlformats.org/officeDocument/2006/relationships/hyperlink" Target="http://gofile.me/649X4/nxrDKXANI" TargetMode="External"/><Relationship Id="rId100" Type="http://schemas.openxmlformats.org/officeDocument/2006/relationships/hyperlink" Target="http://gofile.me/649X4/J2AmsQqdJ" TargetMode="External"/><Relationship Id="rId101" Type="http://schemas.openxmlformats.org/officeDocument/2006/relationships/hyperlink" Target="http://gofile.me/649X4/PFyyZpfHK" TargetMode="External"/><Relationship Id="rId102" Type="http://schemas.openxmlformats.org/officeDocument/2006/relationships/hyperlink" Target="http://gofile.me/649X4/R8LN8TOHT" TargetMode="External"/><Relationship Id="rId103" Type="http://schemas.openxmlformats.org/officeDocument/2006/relationships/hyperlink" Target="http://gofile.me/649X4/M7ifwgAMF" TargetMode="External"/><Relationship Id="rId104" Type="http://schemas.openxmlformats.org/officeDocument/2006/relationships/hyperlink" Target="http://gofile.me/649X4/ZV9vOpbXb" TargetMode="External"/><Relationship Id="rId105" Type="http://schemas.openxmlformats.org/officeDocument/2006/relationships/hyperlink" Target="http://gofile.me/649X4/P7NdhFZq8" TargetMode="External"/><Relationship Id="rId106" Type="http://schemas.openxmlformats.org/officeDocument/2006/relationships/hyperlink" Target="http://gofile.me/649X4/ZV9vOpbXb" TargetMode="External"/><Relationship Id="rId107" Type="http://schemas.openxmlformats.org/officeDocument/2006/relationships/hyperlink" Target="http://gofile.me/649X4/P9kjqI24T" TargetMode="External"/><Relationship Id="rId108" Type="http://schemas.openxmlformats.org/officeDocument/2006/relationships/hyperlink" Target="http://gofile.me/649X4/ZV9vOpbXb" TargetMode="External"/><Relationship Id="rId109" Type="http://schemas.openxmlformats.org/officeDocument/2006/relationships/hyperlink" Target="http://gofile.me/649X4/g8pvXizr1" TargetMode="External"/><Relationship Id="rId110" Type="http://schemas.openxmlformats.org/officeDocument/2006/relationships/hyperlink" Target="http://gofile.me/649X4/IqdoZumCt" TargetMode="External"/><Relationship Id="rId111" Type="http://schemas.openxmlformats.org/officeDocument/2006/relationships/hyperlink" Target="http://gofile.me/649X4/MYLv3cYCg" TargetMode="External"/><Relationship Id="rId112" Type="http://schemas.openxmlformats.org/officeDocument/2006/relationships/hyperlink" Target="http://gofile.me/649X4/ebUkVpNOy" TargetMode="External"/><Relationship Id="rId113" Type="http://schemas.openxmlformats.org/officeDocument/2006/relationships/hyperlink" Target="http://gofile.me/649X4/IOkxH15eQ" TargetMode="External"/><Relationship Id="rId114" Type="http://schemas.openxmlformats.org/officeDocument/2006/relationships/hyperlink" Target="http://gofile.me/649X4/SYv83pL7j" TargetMode="External"/><Relationship Id="rId115" Type="http://schemas.openxmlformats.org/officeDocument/2006/relationships/hyperlink" Target="http://gofile.me/649X4/9JBazxz6V" TargetMode="External"/><Relationship Id="rId116" Type="http://schemas.openxmlformats.org/officeDocument/2006/relationships/hyperlink" Target="http://gofile.me/649X4/CZFf9ZLWf" TargetMode="External"/><Relationship Id="rId117" Type="http://schemas.openxmlformats.org/officeDocument/2006/relationships/hyperlink" Target="http://gofile.me/649X4/CID0ULzbP" TargetMode="External"/><Relationship Id="rId118" Type="http://schemas.openxmlformats.org/officeDocument/2006/relationships/hyperlink" Target="http://gofile.me/649X4/Lvf7FksvE" TargetMode="External"/><Relationship Id="rId119" Type="http://schemas.openxmlformats.org/officeDocument/2006/relationships/hyperlink" Target="http://gofile.me/649X4/d7HWVw4PY" TargetMode="External"/><Relationship Id="rId120" Type="http://schemas.openxmlformats.org/officeDocument/2006/relationships/hyperlink" Target="http://gofile.me/649X4/9zjJSOkp6" TargetMode="External"/><Relationship Id="rId121" Type="http://schemas.openxmlformats.org/officeDocument/2006/relationships/hyperlink" Target="http://gofile.me/649X4/CvE3nSlzq" TargetMode="External"/><Relationship Id="rId122" Type="http://schemas.openxmlformats.org/officeDocument/2006/relationships/hyperlink" Target="http://hoco.i234.me:8000/sharing/y4BNcAS04" TargetMode="External"/><Relationship Id="rId123" Type="http://schemas.openxmlformats.org/officeDocument/2006/relationships/hyperlink" Target="http://hoco.i234.me:8000/sharing/5BqnecLVo" TargetMode="External"/><Relationship Id="rId124" Type="http://schemas.openxmlformats.org/officeDocument/2006/relationships/hyperlink" Target="http://hoco.myDS.me:7000/sharing/sejfXuZEP" TargetMode="External"/><Relationship Id="rId125" Type="http://schemas.openxmlformats.org/officeDocument/2006/relationships/hyperlink" Target="http://hoco.myDS.me:7000/sharing/X90yKEKm3" TargetMode="External"/><Relationship Id="rId126" Type="http://schemas.openxmlformats.org/officeDocument/2006/relationships/hyperlink" Target="http://gofile.me/649X4/ASEq325nA" TargetMode="External"/><Relationship Id="rId127" Type="http://schemas.openxmlformats.org/officeDocument/2006/relationships/hyperlink" Target="http://hoco.myDS.me:7000/sharing/EcAVIu28F" TargetMode="External"/><Relationship Id="rId128" Type="http://schemas.openxmlformats.org/officeDocument/2006/relationships/hyperlink" Target="http://gofile.me/649X4/pSzGlBzy5" TargetMode="External"/><Relationship Id="rId129" Type="http://schemas.openxmlformats.org/officeDocument/2006/relationships/hyperlink" Target="http://hoco.myDS.me:7000/sharing/McHLbFVUK" TargetMode="External"/><Relationship Id="rId130" Type="http://schemas.openxmlformats.org/officeDocument/2006/relationships/hyperlink" Target="http://gofile.me/649X4/pSzGlBzy5" TargetMode="External"/><Relationship Id="rId131" Type="http://schemas.openxmlformats.org/officeDocument/2006/relationships/hyperlink" Target="http://gofile.me/649X4/CgGRylgYn" TargetMode="External"/><Relationship Id="rId132" Type="http://schemas.openxmlformats.org/officeDocument/2006/relationships/hyperlink" Target="http://gofile.me/649X4/plrAyfhvB" TargetMode="External"/><Relationship Id="rId133" Type="http://schemas.openxmlformats.org/officeDocument/2006/relationships/hyperlink" Target="http://gofile.me/649X4/BNBZ5volZ" TargetMode="External"/><Relationship Id="rId134" Type="http://schemas.openxmlformats.org/officeDocument/2006/relationships/hyperlink" Target="http://hoco.myDS.me:7000/sharing/e9yrxAMFi" TargetMode="External"/><Relationship Id="rId135" Type="http://schemas.openxmlformats.org/officeDocument/2006/relationships/hyperlink" Target="http://gofile.me/649X4/2uZ6BxNAk" TargetMode="External"/><Relationship Id="rId136" Type="http://schemas.openxmlformats.org/officeDocument/2006/relationships/hyperlink" Target="http://gofile.me/649X4/yO9c4PpHw" TargetMode="External"/><Relationship Id="rId137" Type="http://schemas.openxmlformats.org/officeDocument/2006/relationships/hyperlink" Target="http://hoco.myDS.me:7000/sharing/YlFpSgHLI" TargetMode="External"/><Relationship Id="rId138" Type="http://schemas.openxmlformats.org/officeDocument/2006/relationships/hyperlink" Target="http://gofile.me/649X4/Vr67zJcJy" TargetMode="External"/><Relationship Id="rId139" Type="http://schemas.openxmlformats.org/officeDocument/2006/relationships/hyperlink" Target="http://hoco.myDS.me:7000/sharing/eiE4wCICN" TargetMode="External"/><Relationship Id="rId140" Type="http://schemas.openxmlformats.org/officeDocument/2006/relationships/drawing" Target="../drawings/drawing5.xml"/>
</Relationships>
</file>

<file path=xl/worksheets/_rels/sheet8.xml.rels><?xml version="1.0" encoding="UTF-8"?>
<Relationships xmlns="http://schemas.openxmlformats.org/package/2006/relationships"><Relationship Id="rId1" Type="http://schemas.openxmlformats.org/officeDocument/2006/relationships/hyperlink" Target="http://gofile.me/649X4/QMqJQEF4y" TargetMode="External"/><Relationship Id="rId2" Type="http://schemas.openxmlformats.org/officeDocument/2006/relationships/hyperlink" Target="http://gofile.me/649X4/u9PtRU0OI" TargetMode="External"/><Relationship Id="rId3" Type="http://schemas.openxmlformats.org/officeDocument/2006/relationships/hyperlink" Target="http://gofile.me/649X4/orsCHzTde" TargetMode="External"/><Relationship Id="rId4" Type="http://schemas.openxmlformats.org/officeDocument/2006/relationships/hyperlink" Target="http://hoco.i234.me:8000/sharing/OSm7Ysn5G" TargetMode="External"/><Relationship Id="rId5" Type="http://schemas.openxmlformats.org/officeDocument/2006/relationships/hyperlink" Target="http://gofile.me/649X4/m0obZBnXk" TargetMode="External"/><Relationship Id="rId6" Type="http://schemas.openxmlformats.org/officeDocument/2006/relationships/hyperlink" Target="http://gofile.me/649X4/hfqUBZDQJ" TargetMode="External"/><Relationship Id="rId7" Type="http://schemas.openxmlformats.org/officeDocument/2006/relationships/hyperlink" Target="http://gofile.me/649X4/33GiW7iJX" TargetMode="External"/><Relationship Id="rId8" Type="http://schemas.openxmlformats.org/officeDocument/2006/relationships/hyperlink" Target="http://hoco.i234.me:8000/sharing/Rnp3hZvnX" TargetMode="External"/><Relationship Id="rId9" Type="http://schemas.openxmlformats.org/officeDocument/2006/relationships/hyperlink" Target="http://hoco.i234.me:8000/sharing/q3TxUumJK" TargetMode="External"/><Relationship Id="rId10" Type="http://schemas.openxmlformats.org/officeDocument/2006/relationships/hyperlink" Target="http://gofile.me/649X4/ftDGzvRlf" TargetMode="External"/><Relationship Id="rId11" Type="http://schemas.openxmlformats.org/officeDocument/2006/relationships/hyperlink" Target="http://gofile.me/649X4/oUtQtmZUA" TargetMode="External"/><Relationship Id="rId12" Type="http://schemas.openxmlformats.org/officeDocument/2006/relationships/hyperlink" Target="http://gofile.me/649X4/AougNRbf0" TargetMode="External"/><Relationship Id="rId13" Type="http://schemas.openxmlformats.org/officeDocument/2006/relationships/hyperlink" Target="http://gofile.me/649X4/2Y2fvrLo0" TargetMode="External"/><Relationship Id="rId14" Type="http://schemas.openxmlformats.org/officeDocument/2006/relationships/drawing" Target="../drawings/drawing6.xml"/>
</Relationships>
</file>

<file path=xl/worksheets/_rels/sheet9.xml.rels><?xml version="1.0" encoding="UTF-8"?>
<Relationships xmlns="http://schemas.openxmlformats.org/package/2006/relationships"><Relationship Id="rId1" Type="http://schemas.openxmlformats.org/officeDocument/2006/relationships/hyperlink" Target="http://gofile.me/649X4/gFmuj5zlu" TargetMode="External"/><Relationship Id="rId2" Type="http://schemas.openxmlformats.org/officeDocument/2006/relationships/hyperlink" Target="http://gofile.me/649X4/u91IqEspl" TargetMode="External"/><Relationship Id="rId3" Type="http://schemas.openxmlformats.org/officeDocument/2006/relationships/hyperlink" Target="http://gofile.me/649X4/ngI8h521L" TargetMode="External"/><Relationship Id="rId4" Type="http://schemas.openxmlformats.org/officeDocument/2006/relationships/hyperlink" Target="http://gofile.me/649X4/4jl5XAE00" TargetMode="External"/><Relationship Id="rId5" Type="http://schemas.openxmlformats.org/officeDocument/2006/relationships/hyperlink" Target="http://gofile.me/649X4/ldRRTA5qu" TargetMode="External"/><Relationship Id="rId6" Type="http://schemas.openxmlformats.org/officeDocument/2006/relationships/hyperlink" Target="http://gofile.me/649X4/AvkZKWx5J" TargetMode="External"/><Relationship Id="rId7" Type="http://schemas.openxmlformats.org/officeDocument/2006/relationships/hyperlink" Target="http://gofile.me/649X4/qySCU0KkH" TargetMode="External"/><Relationship Id="rId8" Type="http://schemas.openxmlformats.org/officeDocument/2006/relationships/hyperlink" Target="http://gofile.me/649X4/VBJwDcFFN" TargetMode="External"/><Relationship Id="rId9" Type="http://schemas.openxmlformats.org/officeDocument/2006/relationships/hyperlink" Target="http://gofile.me/649X4/ae5z7qVex" TargetMode="External"/><Relationship Id="rId10" Type="http://schemas.openxmlformats.org/officeDocument/2006/relationships/hyperlink" Target="http://gofile.me/649X4/l5XCjpohl" TargetMode="External"/><Relationship Id="rId11" Type="http://schemas.openxmlformats.org/officeDocument/2006/relationships/hyperlink" Target="http://gofile.me/649X4/zQpEI92GA" TargetMode="External"/><Relationship Id="rId12" Type="http://schemas.openxmlformats.org/officeDocument/2006/relationships/hyperlink" Target="http://gofile.me/649X4/XD2Zt0Zbm" TargetMode="External"/><Relationship Id="rId13" Type="http://schemas.openxmlformats.org/officeDocument/2006/relationships/hyperlink" Target="http://gofile.me/649X4/EwDNMmkJ9" TargetMode="External"/><Relationship Id="rId14" Type="http://schemas.openxmlformats.org/officeDocument/2006/relationships/hyperlink" Target="http://gofile.me/649X4/UOBV2IPXU" TargetMode="External"/><Relationship Id="rId15" Type="http://schemas.openxmlformats.org/officeDocument/2006/relationships/hyperlink" Target="http://gofile.me/649X4/8hc73N9tI" TargetMode="External"/><Relationship Id="rId16" Type="http://schemas.openxmlformats.org/officeDocument/2006/relationships/hyperlink" Target="http://gofile.me/649X4/EGe0wNcmt" TargetMode="External"/><Relationship Id="rId17" Type="http://schemas.openxmlformats.org/officeDocument/2006/relationships/hyperlink" Target="http://gofile.me/649X4/CA37yOW3W" TargetMode="External"/><Relationship Id="rId18" Type="http://schemas.openxmlformats.org/officeDocument/2006/relationships/hyperlink" Target="http://gofile.me/649X4/zL8nyUXrv" TargetMode="External"/><Relationship Id="rId19" Type="http://schemas.openxmlformats.org/officeDocument/2006/relationships/hyperlink" Target="http://gofile.me/649X4/mahwhE9gg" TargetMode="External"/><Relationship Id="rId20" Type="http://schemas.openxmlformats.org/officeDocument/2006/relationships/hyperlink" Target="http://gofile.me/649X4/RDE55gTUM" TargetMode="External"/><Relationship Id="rId21" Type="http://schemas.openxmlformats.org/officeDocument/2006/relationships/hyperlink" Target="http://gofile.me/649X4/Q6sF6att6" TargetMode="External"/><Relationship Id="rId22" Type="http://schemas.openxmlformats.org/officeDocument/2006/relationships/hyperlink" Target="http://gofile.me/649X4/MMn7x3E0t" TargetMode="External"/><Relationship Id="rId23" Type="http://schemas.openxmlformats.org/officeDocument/2006/relationships/hyperlink" Target="http://gofile.me/649X4/XeD1lNhml" TargetMode="External"/><Relationship Id="rId24" Type="http://schemas.openxmlformats.org/officeDocument/2006/relationships/hyperlink" Target="http://gofile.me/649X4/NmvvSjJFn" TargetMode="External"/><Relationship Id="rId25" Type="http://schemas.openxmlformats.org/officeDocument/2006/relationships/hyperlink" Target="http://gofile.me/649X4/dQwXRGYyi" TargetMode="External"/><Relationship Id="rId26" Type="http://schemas.openxmlformats.org/officeDocument/2006/relationships/hyperlink" Target="http://gofile.me/649X4/fPIVoENwx" TargetMode="External"/><Relationship Id="rId27" Type="http://schemas.openxmlformats.org/officeDocument/2006/relationships/hyperlink" Target="http://gofile.me/649X4/fmKszFJAp" TargetMode="External"/><Relationship Id="rId28" Type="http://schemas.openxmlformats.org/officeDocument/2006/relationships/hyperlink" Target="http://gofile.me/649X4/CG4sN0LX5" TargetMode="External"/><Relationship Id="rId29" Type="http://schemas.openxmlformats.org/officeDocument/2006/relationships/hyperlink" Target="http://gofile.me/649X4/EFyFZtxwK" TargetMode="External"/><Relationship Id="rId30" Type="http://schemas.openxmlformats.org/officeDocument/2006/relationships/hyperlink" Target="http://gofile.me/649X4/3u3IG5RiO" TargetMode="External"/><Relationship Id="rId31" Type="http://schemas.openxmlformats.org/officeDocument/2006/relationships/hyperlink" Target="http://gofile.me/649X4/JQR2qqyVi" TargetMode="External"/><Relationship Id="rId32" Type="http://schemas.openxmlformats.org/officeDocument/2006/relationships/hyperlink" Target="http://hoco.i234.me:8000/sharing/J3VvLHWas" TargetMode="External"/><Relationship Id="rId33" Type="http://schemas.openxmlformats.org/officeDocument/2006/relationships/hyperlink" Target="http://hoco.i234.me:8000/sharing/PNvyhVHxp" TargetMode="External"/><Relationship Id="rId34" Type="http://schemas.openxmlformats.org/officeDocument/2006/relationships/hyperlink" Target="http://hoco.i234.me:8000/sharing/QsLqJ82Wy" TargetMode="External"/><Relationship Id="rId35" Type="http://schemas.openxmlformats.org/officeDocument/2006/relationships/hyperlink" Target="http://hoco.i234.me:8000/sharing/m0SFRzV1X" TargetMode="External"/><Relationship Id="rId36" Type="http://schemas.openxmlformats.org/officeDocument/2006/relationships/hyperlink" Target="http://gofile.me/649X4/44hmMA8MM" TargetMode="External"/><Relationship Id="rId37" Type="http://schemas.openxmlformats.org/officeDocument/2006/relationships/hyperlink" Target="http://hoco.i234.me:8000/sharing/TQnVFaZP5" TargetMode="External"/><Relationship Id="rId38" Type="http://schemas.openxmlformats.org/officeDocument/2006/relationships/hyperlink" Target="http://gofile.me/649X4/2mFXTbkb7" TargetMode="External"/><Relationship Id="rId39" Type="http://schemas.openxmlformats.org/officeDocument/2006/relationships/hyperlink" Target="http://hoco.i234.me:8000/sharing/kWtM2DYqq" TargetMode="External"/><Relationship Id="rId40" Type="http://schemas.openxmlformats.org/officeDocument/2006/relationships/hyperlink" Target="http://gofile.me/649X4/79mLe5wb7" TargetMode="External"/><Relationship Id="rId41" Type="http://schemas.openxmlformats.org/officeDocument/2006/relationships/hyperlink" Target="http://hoco.i234.me:8000/sharing/REAlpVDHb" TargetMode="External"/><Relationship Id="rId42" Type="http://schemas.openxmlformats.org/officeDocument/2006/relationships/hyperlink" Target="http://hoco.i234.me:8000/sharing/BZ9JemPuk" TargetMode="External"/><Relationship Id="rId43" Type="http://schemas.openxmlformats.org/officeDocument/2006/relationships/hyperlink" Target="http://hoco.i234.me:8000/sharing/Z17ouRMmw" TargetMode="External"/><Relationship Id="rId44" Type="http://schemas.openxmlformats.org/officeDocument/2006/relationships/hyperlink" Target="http://hoco.myDS.me:7000/sharing/eAPuju10E" TargetMode="External"/><Relationship Id="rId45" Type="http://schemas.openxmlformats.org/officeDocument/2006/relationships/hyperlink" Target="http://hoco.myDS.me:7000/sharing/VgBuW8EEB" TargetMode="External"/><Relationship Id="rId46" Type="http://schemas.openxmlformats.org/officeDocument/2006/relationships/hyperlink" Target="http://hoco.myDS.me:7000/sharing/6jGdinaAz" TargetMode="External"/><Relationship Id="rId47" Type="http://schemas.openxmlformats.org/officeDocument/2006/relationships/hyperlink" Target="http://gofile.me/649X4/LqG4e0tXr" TargetMode="External"/><Relationship Id="rId48" Type="http://schemas.openxmlformats.org/officeDocument/2006/relationships/hyperlink" Target="http://hoco.myDS.me:7000/sharing/EFtPxxjU1" TargetMode="External"/><Relationship Id="rId49" Type="http://schemas.openxmlformats.org/officeDocument/2006/relationships/drawing" Target="../drawings/drawing7.xml"/>
</Relationships>
</file>

<file path=xl/worksheets/_rels/sheet10.xml.rels><?xml version="1.0" encoding="UTF-8"?>
<Relationships xmlns="http://schemas.openxmlformats.org/package/2006/relationships"><Relationship Id="rId1" Type="http://schemas.openxmlformats.org/officeDocument/2006/relationships/hyperlink" Target="http://gofile.me/649X4/xRF7MyVv5" TargetMode="External"/><Relationship Id="rId2" Type="http://schemas.openxmlformats.org/officeDocument/2006/relationships/hyperlink" Target="http://gofile.me/649X4/AsnbTUVXw" TargetMode="External"/><Relationship Id="rId3" Type="http://schemas.openxmlformats.org/officeDocument/2006/relationships/hyperlink" Target="http://gofile.me/649X4/e3tnGmVqR" TargetMode="External"/><Relationship Id="rId4" Type="http://schemas.openxmlformats.org/officeDocument/2006/relationships/hyperlink" Target="http://gofile.me/649X4/hZ0N2CKpm" TargetMode="External"/><Relationship Id="rId5" Type="http://schemas.openxmlformats.org/officeDocument/2006/relationships/hyperlink" Target="http://gofile.me/649X4/eASdBxGQt" TargetMode="External"/><Relationship Id="rId6" Type="http://schemas.openxmlformats.org/officeDocument/2006/relationships/hyperlink" Target="http://gofile.me/649X4/lHfvLX99C" TargetMode="External"/><Relationship Id="rId7" Type="http://schemas.openxmlformats.org/officeDocument/2006/relationships/hyperlink" Target="http://gofile.me/649X4/mg19RSvjB" TargetMode="External"/><Relationship Id="rId8" Type="http://schemas.openxmlformats.org/officeDocument/2006/relationships/hyperlink" Target="http://gofile.me/649X4/PPSTUMFjL" TargetMode="External"/><Relationship Id="rId9" Type="http://schemas.openxmlformats.org/officeDocument/2006/relationships/hyperlink" Target="http://gofile.me/649X4/KMcClIZZV" TargetMode="External"/><Relationship Id="rId10" Type="http://schemas.openxmlformats.org/officeDocument/2006/relationships/hyperlink" Target="http://gofile.me/649X4/VtGQE0Hbm" TargetMode="External"/><Relationship Id="rId11" Type="http://schemas.openxmlformats.org/officeDocument/2006/relationships/hyperlink" Target="http://gofile.me/649X4/rtuc0W4i2" TargetMode="External"/><Relationship Id="rId12" Type="http://schemas.openxmlformats.org/officeDocument/2006/relationships/hyperlink" Target="http://gofile.me/649X4/u67B8745R" TargetMode="External"/><Relationship Id="rId13" Type="http://schemas.openxmlformats.org/officeDocument/2006/relationships/hyperlink" Target="http://gofile.me/649X4/l7vmUSaeW" TargetMode="External"/><Relationship Id="rId14" Type="http://schemas.openxmlformats.org/officeDocument/2006/relationships/hyperlink" Target="http://gofile.me/649X4/46gVH3f5u" TargetMode="External"/><Relationship Id="rId15" Type="http://schemas.openxmlformats.org/officeDocument/2006/relationships/hyperlink" Target="http://gofile.me/649X4/DpLIavbMD" TargetMode="External"/><Relationship Id="rId16" Type="http://schemas.openxmlformats.org/officeDocument/2006/relationships/hyperlink" Target="http://gofile.me/649X4/zoL66VEDJ" TargetMode="External"/><Relationship Id="rId17" Type="http://schemas.openxmlformats.org/officeDocument/2006/relationships/hyperlink" Target="http://gofile.me/649X4/VY578Gzew" TargetMode="External"/><Relationship Id="rId18" Type="http://schemas.openxmlformats.org/officeDocument/2006/relationships/hyperlink" Target="http://gofile.me/649X4/SfPFttpi0" TargetMode="External"/><Relationship Id="rId19" Type="http://schemas.openxmlformats.org/officeDocument/2006/relationships/hyperlink" Target="http://gofile.me/649X4/xcMsscdQy" TargetMode="External"/><Relationship Id="rId20" Type="http://schemas.openxmlformats.org/officeDocument/2006/relationships/hyperlink" Target="http://gofile.me/649X4/ZvigzL0u4" TargetMode="External"/><Relationship Id="rId21" Type="http://schemas.openxmlformats.org/officeDocument/2006/relationships/hyperlink" Target="http://gofile.me/649X4/qmmzlnuJU" TargetMode="External"/><Relationship Id="rId22" Type="http://schemas.openxmlformats.org/officeDocument/2006/relationships/hyperlink" Target="http://gofile.me/649X4/u2ebeei4C" TargetMode="External"/><Relationship Id="rId23" Type="http://schemas.openxmlformats.org/officeDocument/2006/relationships/hyperlink" Target="http://gofile.me/649X4/e46YKqLqE" TargetMode="External"/><Relationship Id="rId24" Type="http://schemas.openxmlformats.org/officeDocument/2006/relationships/hyperlink" Target="http://gofile.me/649X4/9sbvosjsw" TargetMode="External"/><Relationship Id="rId25" Type="http://schemas.openxmlformats.org/officeDocument/2006/relationships/hyperlink" Target="http://gofile.me/649X4/4RDYN25vr" TargetMode="External"/><Relationship Id="rId26" Type="http://schemas.openxmlformats.org/officeDocument/2006/relationships/drawing" Target="../drawings/drawing8.xml"/>
</Relationships>
</file>

<file path=xl/worksheets/_rels/sheet11.xml.rels><?xml version="1.0" encoding="UTF-8"?>
<Relationships xmlns="http://schemas.openxmlformats.org/package/2006/relationships"><Relationship Id="rId1" Type="http://schemas.openxmlformats.org/officeDocument/2006/relationships/hyperlink" Target="http://hoco.i234.me:8000/sharing/mlNvRgKeA" TargetMode="External"/><Relationship Id="rId2" Type="http://schemas.openxmlformats.org/officeDocument/2006/relationships/hyperlink" Target="http://hoco.i234.me:8000/sharing/7VpCpEan9" TargetMode="External"/><Relationship Id="rId3" Type="http://schemas.openxmlformats.org/officeDocument/2006/relationships/hyperlink" Target="http://gofile.me/649X4/NgMFlxZjV" TargetMode="External"/><Relationship Id="rId4" Type="http://schemas.openxmlformats.org/officeDocument/2006/relationships/hyperlink" Target="http://hoco.i234.me:8000/sharing/3uggw4IE7" TargetMode="External"/><Relationship Id="rId5" Type="http://schemas.openxmlformats.org/officeDocument/2006/relationships/hyperlink" Target="http://gofile.me/649X4/WFERpcVWs" TargetMode="External"/><Relationship Id="rId6" Type="http://schemas.openxmlformats.org/officeDocument/2006/relationships/hyperlink" Target="http://gofile.me/649X4/IPJFsXkcQ" TargetMode="External"/><Relationship Id="rId7" Type="http://schemas.openxmlformats.org/officeDocument/2006/relationships/hyperlink" Target="http://gofile.me/649X4/gJdnlKsdr" TargetMode="External"/><Relationship Id="rId8" Type="http://schemas.openxmlformats.org/officeDocument/2006/relationships/hyperlink" Target="http://gofile.me/649X4/wVrT2W6XI" TargetMode="External"/><Relationship Id="rId9" Type="http://schemas.openxmlformats.org/officeDocument/2006/relationships/hyperlink" Target="http://gofile.me/649X4/B5ct87ueN" TargetMode="External"/><Relationship Id="rId10" Type="http://schemas.openxmlformats.org/officeDocument/2006/relationships/hyperlink" Target="http://gofile.me/649X4/pLdiXJXzq" TargetMode="External"/><Relationship Id="rId11" Type="http://schemas.openxmlformats.org/officeDocument/2006/relationships/hyperlink" Target="http://gofile.me/649X4/JCz5QdCvY" TargetMode="External"/><Relationship Id="rId12" Type="http://schemas.openxmlformats.org/officeDocument/2006/relationships/hyperlink" Target="http://gofile.me/649X4/HZ3y7fJdK" TargetMode="External"/><Relationship Id="rId13" Type="http://schemas.openxmlformats.org/officeDocument/2006/relationships/hyperlink" Target="http://gofile.me/649X4/CdMdS8lqd" TargetMode="External"/><Relationship Id="rId14" Type="http://schemas.openxmlformats.org/officeDocument/2006/relationships/hyperlink" Target="http://gofile.me/649X4/ouZhqZqIC" TargetMode="External"/><Relationship Id="rId15" Type="http://schemas.openxmlformats.org/officeDocument/2006/relationships/hyperlink" Target="http://gofile.me/649X4/Oqac4BHYV" TargetMode="External"/><Relationship Id="rId16" Type="http://schemas.openxmlformats.org/officeDocument/2006/relationships/hyperlink" Target="http://hoco.i234.me:8000/sharing/ZD63yBKJk" TargetMode="External"/><Relationship Id="rId17" Type="http://schemas.openxmlformats.org/officeDocument/2006/relationships/hyperlink" Target="http://gofile.me/649X4/JicPu11GB" TargetMode="External"/><Relationship Id="rId18" Type="http://schemas.openxmlformats.org/officeDocument/2006/relationships/hyperlink" Target="http://gofile.me/649X4/mmNkjJbrc" TargetMode="External"/><Relationship Id="rId19" Type="http://schemas.openxmlformats.org/officeDocument/2006/relationships/hyperlink" Target="http://gofile.me/649X4/PdBhLIuCk" TargetMode="External"/><Relationship Id="rId20" Type="http://schemas.openxmlformats.org/officeDocument/2006/relationships/hyperlink" Target="http://gofile.me/649X4/TZZycjLiu" TargetMode="External"/><Relationship Id="rId21" Type="http://schemas.openxmlformats.org/officeDocument/2006/relationships/hyperlink" Target="http://gofile.me/649X4/6DjAShOR6" TargetMode="External"/><Relationship Id="rId22" Type="http://schemas.openxmlformats.org/officeDocument/2006/relationships/hyperlink" Target="http://gofile.me/649X4/ywKanUgCu" TargetMode="External"/><Relationship Id="rId23" Type="http://schemas.openxmlformats.org/officeDocument/2006/relationships/hyperlink" Target="http://gofile.me/649X4/GV88DnZ25" TargetMode="External"/><Relationship Id="rId24" Type="http://schemas.openxmlformats.org/officeDocument/2006/relationships/hyperlink" Target="http://gofile.me/649X4/XgFmOkro7" TargetMode="External"/><Relationship Id="rId25" Type="http://schemas.openxmlformats.org/officeDocument/2006/relationships/hyperlink" Target="http://gofile.me/649X4/CGVdpwe37" TargetMode="External"/><Relationship Id="rId26" Type="http://schemas.openxmlformats.org/officeDocument/2006/relationships/hyperlink" Target="http://gofile.me/649X4/XARhNw3CN" TargetMode="External"/><Relationship Id="rId27" Type="http://schemas.openxmlformats.org/officeDocument/2006/relationships/hyperlink" Target="http://gofile.me/649X4/5Z4CofMDw" TargetMode="External"/><Relationship Id="rId28" Type="http://schemas.openxmlformats.org/officeDocument/2006/relationships/hyperlink" Target="http://gofile.me/649X4/6RBLJutxJ" TargetMode="External"/><Relationship Id="rId29" Type="http://schemas.openxmlformats.org/officeDocument/2006/relationships/hyperlink" Target="http://gofile.me/649X4/GjgjTc6o1" TargetMode="External"/><Relationship Id="rId30" Type="http://schemas.openxmlformats.org/officeDocument/2006/relationships/hyperlink" Target="http://gofile.me/649X4/AMX3s7Yet" TargetMode="External"/><Relationship Id="rId31" Type="http://schemas.openxmlformats.org/officeDocument/2006/relationships/hyperlink" Target="http://gofile.me/649X4/DqbHhuygC" TargetMode="External"/><Relationship Id="rId32" Type="http://schemas.openxmlformats.org/officeDocument/2006/relationships/hyperlink" Target="http://gofile.me/649X4/VEPyFWk0E" TargetMode="External"/><Relationship Id="rId33" Type="http://schemas.openxmlformats.org/officeDocument/2006/relationships/hyperlink" Target="http://gofile.me/649X4/OpqafcpVF" TargetMode="External"/><Relationship Id="rId34" Type="http://schemas.openxmlformats.org/officeDocument/2006/relationships/hyperlink" Target="http://gofile.me/649X4/qCS7TPnbX" TargetMode="External"/><Relationship Id="rId35" Type="http://schemas.openxmlformats.org/officeDocument/2006/relationships/hyperlink" Target="http://gofile.me/649X4/fPrXmdJ5e" TargetMode="External"/><Relationship Id="rId36" Type="http://schemas.openxmlformats.org/officeDocument/2006/relationships/hyperlink" Target="http://gofile.me/649X4/fXO2qGF3v" TargetMode="External"/><Relationship Id="rId37" Type="http://schemas.openxmlformats.org/officeDocument/2006/relationships/hyperlink" Target="http://gofile.me/649X4/1Nker2wtl" TargetMode="External"/><Relationship Id="rId38" Type="http://schemas.openxmlformats.org/officeDocument/2006/relationships/hyperlink" Target="http://gofile.me/649X4/BQRXuOdvM" TargetMode="External"/><Relationship Id="rId39" Type="http://schemas.openxmlformats.org/officeDocument/2006/relationships/hyperlink" Target="http://gofile.me/649X4/HwWuai5KZ" TargetMode="External"/><Relationship Id="rId40" Type="http://schemas.openxmlformats.org/officeDocument/2006/relationships/hyperlink" Target="http://hoco.i234.me:8000/sharing/2Agw373dY" TargetMode="External"/><Relationship Id="rId41" Type="http://schemas.openxmlformats.org/officeDocument/2006/relationships/hyperlink" Target="http://hoco.i234.me:8000/sharing/PWEuGtPau" TargetMode="External"/><Relationship Id="rId42" Type="http://schemas.openxmlformats.org/officeDocument/2006/relationships/hyperlink" Target="http://hoco.i234.me:8000/sharing/5fkfiVwiM" TargetMode="External"/><Relationship Id="rId43" Type="http://schemas.openxmlformats.org/officeDocument/2006/relationships/hyperlink" Target="http://hoco.i234.me:8000/sharing/iu25FpXZ0" TargetMode="External"/><Relationship Id="rId44" Type="http://schemas.openxmlformats.org/officeDocument/2006/relationships/hyperlink" Target="http://hoco.i234.me:8000/sharing/mYmDjV7SS" TargetMode="External"/><Relationship Id="rId45" Type="http://schemas.openxmlformats.org/officeDocument/2006/relationships/hyperlink" Target="http://hoco.i234.me:8000/sharing/DdOpvaExj" TargetMode="External"/><Relationship Id="rId46" Type="http://schemas.openxmlformats.org/officeDocument/2006/relationships/hyperlink" Target="http://gofile.me/649X4/UMbu2x5y6" TargetMode="External"/><Relationship Id="rId47" Type="http://schemas.openxmlformats.org/officeDocument/2006/relationships/hyperlink" Target="http://hoco.i234.me:8000/sharing/IyJL6VLBM" TargetMode="External"/><Relationship Id="rId48" Type="http://schemas.openxmlformats.org/officeDocument/2006/relationships/hyperlink" Target="http://gofile.me/649X4/BDWRGDUiE" TargetMode="External"/><Relationship Id="rId49" Type="http://schemas.openxmlformats.org/officeDocument/2006/relationships/drawing" Target="../drawings/drawing9.xml"/>
</Relationships>
</file>

<file path=xl/worksheets/_rels/sheet12.xml.rels><?xml version="1.0" encoding="UTF-8"?>
<Relationships xmlns="http://schemas.openxmlformats.org/package/2006/relationships"><Relationship Id="rId1" Type="http://schemas.openxmlformats.org/officeDocument/2006/relationships/hyperlink" Target="http://gofile.me/649X4/cBxkaH4LQ" TargetMode="External"/><Relationship Id="rId2" Type="http://schemas.openxmlformats.org/officeDocument/2006/relationships/hyperlink" Target="http://gofile.me/649X4/vMXnYl4B0" TargetMode="External"/><Relationship Id="rId3" Type="http://schemas.openxmlformats.org/officeDocument/2006/relationships/hyperlink" Target="http://gofile.me/649X4/KvEmfVGZ1" TargetMode="External"/><Relationship Id="rId4" Type="http://schemas.openxmlformats.org/officeDocument/2006/relationships/hyperlink" Target="http://gofile.me/649X4/1iHNOR26O" TargetMode="External"/><Relationship Id="rId5" Type="http://schemas.openxmlformats.org/officeDocument/2006/relationships/hyperlink" Target="http://gofile.me/649X4/azk2eLEz0" TargetMode="External"/><Relationship Id="rId6" Type="http://schemas.openxmlformats.org/officeDocument/2006/relationships/hyperlink" Target="http://gofile.me/649X4/NPc0BxIM0" TargetMode="External"/><Relationship Id="rId7" Type="http://schemas.openxmlformats.org/officeDocument/2006/relationships/hyperlink" Target="http://gofile.me/649X4/mJbRWriZj" TargetMode="External"/><Relationship Id="rId8" Type="http://schemas.openxmlformats.org/officeDocument/2006/relationships/hyperlink" Target="http://gofile.me/649X4/T8AJ9GZlE" TargetMode="External"/><Relationship Id="rId9" Type="http://schemas.openxmlformats.org/officeDocument/2006/relationships/hyperlink" Target="http://gofile.me/649X4/nrOQ2ltaD" TargetMode="External"/><Relationship Id="rId10" Type="http://schemas.openxmlformats.org/officeDocument/2006/relationships/hyperlink" Target="http://gofile.me/649X4/flRuJr0jt" TargetMode="External"/><Relationship Id="rId11" Type="http://schemas.openxmlformats.org/officeDocument/2006/relationships/hyperlink" Target="http://gofile.me/649X4/JAddvEy4J" TargetMode="External"/><Relationship Id="rId12" Type="http://schemas.openxmlformats.org/officeDocument/2006/relationships/hyperlink" Target="http://gofile.me/649X4/3CIp3U0IN" TargetMode="External"/><Relationship Id="rId13" Type="http://schemas.openxmlformats.org/officeDocument/2006/relationships/hyperlink" Target="http://gofile.me/649X4/iyq9cxfEg" TargetMode="External"/><Relationship Id="rId14" Type="http://schemas.openxmlformats.org/officeDocument/2006/relationships/hyperlink" Target="http://gofile.me/649X4/nWYoib9I1" TargetMode="External"/><Relationship Id="rId15" Type="http://schemas.openxmlformats.org/officeDocument/2006/relationships/hyperlink" Target="http://gofile.me/649X4/OmsG8t035" TargetMode="External"/><Relationship Id="rId16" Type="http://schemas.openxmlformats.org/officeDocument/2006/relationships/hyperlink" Target="http://gofile.me/649X4/Et1GjRaMu" TargetMode="External"/><Relationship Id="rId17" Type="http://schemas.openxmlformats.org/officeDocument/2006/relationships/hyperlink" Target="http://gofile.me/649X4/ZslsssyqW" TargetMode="External"/><Relationship Id="rId18" Type="http://schemas.openxmlformats.org/officeDocument/2006/relationships/hyperlink" Target="http://gofile.me/649X4/qclbMNQBo" TargetMode="External"/><Relationship Id="rId19" Type="http://schemas.openxmlformats.org/officeDocument/2006/relationships/hyperlink" Target="http://gofile.me/649X4/UYzM14k9g" TargetMode="External"/><Relationship Id="rId20" Type="http://schemas.openxmlformats.org/officeDocument/2006/relationships/hyperlink" Target="http://gofile.me/649X4/Nvj2W8mVr" TargetMode="External"/><Relationship Id="rId21" Type="http://schemas.openxmlformats.org/officeDocument/2006/relationships/hyperlink" Target="http://gofile.me/649X4/UO7LdpVuR" TargetMode="External"/><Relationship Id="rId22" Type="http://schemas.openxmlformats.org/officeDocument/2006/relationships/hyperlink" Target="http://gofile.me/649X4/pENzxDdad" TargetMode="External"/><Relationship Id="rId23" Type="http://schemas.openxmlformats.org/officeDocument/2006/relationships/hyperlink" Target="http://gofile.me/649X4/J2pLbOBtb" TargetMode="External"/><Relationship Id="rId24" Type="http://schemas.openxmlformats.org/officeDocument/2006/relationships/hyperlink" Target="http://gofile.me/649X4/qlSYsq2HX" TargetMode="External"/><Relationship Id="rId25" Type="http://schemas.openxmlformats.org/officeDocument/2006/relationships/hyperlink" Target="http://gofile.me/649X4/GMAk7bxF7" TargetMode="External"/><Relationship Id="rId26" Type="http://schemas.openxmlformats.org/officeDocument/2006/relationships/hyperlink" Target="http://gofile.me/649X4/LZpnubTJp" TargetMode="External"/><Relationship Id="rId27" Type="http://schemas.openxmlformats.org/officeDocument/2006/relationships/hyperlink" Target="http://gofile.me/649X4/So5JPgjDi" TargetMode="External"/><Relationship Id="rId28" Type="http://schemas.openxmlformats.org/officeDocument/2006/relationships/drawing" Target="../drawings/drawing10.xml"/>
</Relationships>
</file>

<file path=xl/worksheets/_rels/sheet13.xml.rels><?xml version="1.0" encoding="UTF-8"?>
<Relationships xmlns="http://schemas.openxmlformats.org/package/2006/relationships"><Relationship Id="rId1" Type="http://schemas.openxmlformats.org/officeDocument/2006/relationships/hyperlink" Target="http://gofile.me/649X4/FXzLwvScC" TargetMode="External"/><Relationship Id="rId2" Type="http://schemas.openxmlformats.org/officeDocument/2006/relationships/hyperlink" Target="http://gofile.me/649X4/Ph71rDvbm" TargetMode="External"/><Relationship Id="rId3" Type="http://schemas.openxmlformats.org/officeDocument/2006/relationships/hyperlink" Target="http://gofile.me/649X4/9MQ3C3xGs" TargetMode="External"/><Relationship Id="rId4" Type="http://schemas.openxmlformats.org/officeDocument/2006/relationships/hyperlink" Target="http://gofile.me/649X4/XwYKoRspI" TargetMode="External"/><Relationship Id="rId5" Type="http://schemas.openxmlformats.org/officeDocument/2006/relationships/hyperlink" Target="http://gofile.me/649X4/5Nhn87PCb" TargetMode="External"/><Relationship Id="rId6" Type="http://schemas.openxmlformats.org/officeDocument/2006/relationships/hyperlink" Target="http://gofile.me/649X4/zzEKQcA1I" TargetMode="External"/><Relationship Id="rId7" Type="http://schemas.openxmlformats.org/officeDocument/2006/relationships/hyperlink" Target="http://gofile.me/649X4/kkUkJuW7z" TargetMode="External"/><Relationship Id="rId8" Type="http://schemas.openxmlformats.org/officeDocument/2006/relationships/hyperlink" Target="http://gofile.me/649X4/IzxfbUn3Z" TargetMode="External"/><Relationship Id="rId9" Type="http://schemas.openxmlformats.org/officeDocument/2006/relationships/hyperlink" Target="http://gofile.me/649X4/8adStInw4" TargetMode="External"/><Relationship Id="rId10" Type="http://schemas.openxmlformats.org/officeDocument/2006/relationships/hyperlink" Target="http://gofile.me/649X4/z6o8C7LaO" TargetMode="External"/><Relationship Id="rId11" Type="http://schemas.openxmlformats.org/officeDocument/2006/relationships/drawing" Target="../drawings/drawing11.xml"/>
</Relationships>
</file>

<file path=xl/worksheets/_rels/sheet14.xml.rels><?xml version="1.0" encoding="UTF-8"?>
<Relationships xmlns="http://schemas.openxmlformats.org/package/2006/relationships"><Relationship Id="rId1" Type="http://schemas.openxmlformats.org/officeDocument/2006/relationships/hyperlink" Target="http://gofile.me/649X4/J9l5Bmgyr" TargetMode="External"/><Relationship Id="rId2" Type="http://schemas.openxmlformats.org/officeDocument/2006/relationships/hyperlink" Target="http://gofile.me/649X4/45UvGo9Cp" TargetMode="External"/><Relationship Id="rId3" Type="http://schemas.openxmlformats.org/officeDocument/2006/relationships/hyperlink" Target="http://gofile.me/649X4/5n0fF3qzX" TargetMode="External"/><Relationship Id="rId4" Type="http://schemas.openxmlformats.org/officeDocument/2006/relationships/hyperlink" Target="http://gofile.me/649X4/XejNAB5rL" TargetMode="External"/><Relationship Id="rId5" Type="http://schemas.openxmlformats.org/officeDocument/2006/relationships/hyperlink" Target="http://gofile.me/649X4/Pli7l5M39" TargetMode="External"/><Relationship Id="rId6" Type="http://schemas.openxmlformats.org/officeDocument/2006/relationships/hyperlink" Target="http://gofile.me/649X4/smvNsbzqL" TargetMode="External"/><Relationship Id="rId7" Type="http://schemas.openxmlformats.org/officeDocument/2006/relationships/hyperlink" Target="http://gofile.me/649X4/EDN66G3Gp" TargetMode="External"/><Relationship Id="rId8" Type="http://schemas.openxmlformats.org/officeDocument/2006/relationships/hyperlink" Target="http://gofile.me/649X4/19dMBAjfU" TargetMode="External"/><Relationship Id="rId9" Type="http://schemas.openxmlformats.org/officeDocument/2006/relationships/hyperlink" Target="http://gofile.me/649X4/JIfWZo6iU" TargetMode="External"/><Relationship Id="rId10" Type="http://schemas.openxmlformats.org/officeDocument/2006/relationships/hyperlink" Target="http://gofile.me/649X4/i4g71yIyb" TargetMode="External"/><Relationship Id="rId11" Type="http://schemas.openxmlformats.org/officeDocument/2006/relationships/hyperlink" Target="http://gofile.me/649X4/8EuGtLAWZ" TargetMode="External"/><Relationship Id="rId12" Type="http://schemas.openxmlformats.org/officeDocument/2006/relationships/hyperlink" Target="http://gofile.me/649X4/tVllRweya" TargetMode="External"/><Relationship Id="rId13" Type="http://schemas.openxmlformats.org/officeDocument/2006/relationships/hyperlink" Target="http://gofile.me/649X4/gHAuUmAVv" TargetMode="External"/><Relationship Id="rId14" Type="http://schemas.openxmlformats.org/officeDocument/2006/relationships/hyperlink" Target="http://gofile.me/649X4/a0mEHYzLs" TargetMode="External"/><Relationship Id="rId15" Type="http://schemas.openxmlformats.org/officeDocument/2006/relationships/hyperlink" Target="http://gofile.me/649X4/H7xgo1cvZ" TargetMode="External"/><Relationship Id="rId16" Type="http://schemas.openxmlformats.org/officeDocument/2006/relationships/hyperlink" Target="http://gofile.me/649X4/eeC7ULkvk" TargetMode="External"/><Relationship Id="rId17" Type="http://schemas.openxmlformats.org/officeDocument/2006/relationships/hyperlink" Target="http://gofile.me/649X4/NVLY8nXK0" TargetMode="External"/><Relationship Id="rId18" Type="http://schemas.openxmlformats.org/officeDocument/2006/relationships/hyperlink" Target="http://gofile.me/649X4/p5SGgakA3" TargetMode="External"/><Relationship Id="rId19" Type="http://schemas.openxmlformats.org/officeDocument/2006/relationships/hyperlink" Target="http://gofile.me/649X4/RdBVaFUxT" TargetMode="External"/><Relationship Id="rId20" Type="http://schemas.openxmlformats.org/officeDocument/2006/relationships/hyperlink" Target="http://gofile.me/649X4/sOSdkDjsT" TargetMode="External"/><Relationship Id="rId21" Type="http://schemas.openxmlformats.org/officeDocument/2006/relationships/hyperlink" Target="http://hoco.i234.me:8000/sharing/hKxp2oESH" TargetMode="External"/><Relationship Id="rId22" Type="http://schemas.openxmlformats.org/officeDocument/2006/relationships/hyperlink" Target="http://gofile.me/649X4/YKKd63MR8" TargetMode="External"/><Relationship Id="rId23" Type="http://schemas.openxmlformats.org/officeDocument/2006/relationships/hyperlink" Target="http://gofile.me/649X4/SFQLSAkf4" TargetMode="External"/><Relationship Id="rId24" Type="http://schemas.openxmlformats.org/officeDocument/2006/relationships/hyperlink" Target="http://gofile.me/649X4/tyw7lWhWp" TargetMode="External"/><Relationship Id="rId25" Type="http://schemas.openxmlformats.org/officeDocument/2006/relationships/hyperlink" Target="http://gofile.me/649X4/4hK2Fr5jU" TargetMode="External"/><Relationship Id="rId26" Type="http://schemas.openxmlformats.org/officeDocument/2006/relationships/hyperlink" Target="http://gofile.me/649X4/7xCjQO86t" TargetMode="External"/><Relationship Id="rId27" Type="http://schemas.openxmlformats.org/officeDocument/2006/relationships/hyperlink" Target="http://gofile.me/649X4/NRhLkDJCH" TargetMode="External"/><Relationship Id="rId28" Type="http://schemas.openxmlformats.org/officeDocument/2006/relationships/hyperlink" Target="http://gofile.me/649X4/Nnh5I4BKy" TargetMode="External"/><Relationship Id="rId29" Type="http://schemas.openxmlformats.org/officeDocument/2006/relationships/hyperlink" Target="http://gofile.me/649X4/28glJGEGf" TargetMode="External"/><Relationship Id="rId30" Type="http://schemas.openxmlformats.org/officeDocument/2006/relationships/hyperlink" Target="http://gofile.me/649X4/GnLxX4uvW" TargetMode="External"/><Relationship Id="rId31" Type="http://schemas.openxmlformats.org/officeDocument/2006/relationships/hyperlink" Target="https://gofile.me/649X4/xNDqPW2HJ" TargetMode="External"/><Relationship Id="rId32" Type="http://schemas.openxmlformats.org/officeDocument/2006/relationships/hyperlink" Target="http://gofile.me/649X4/CNYDf2mwP" TargetMode="External"/><Relationship Id="rId33" Type="http://schemas.openxmlformats.org/officeDocument/2006/relationships/hyperlink" Target="http://gofile.me/649X4/njtFHloCB" TargetMode="External"/><Relationship Id="rId34" Type="http://schemas.openxmlformats.org/officeDocument/2006/relationships/hyperlink" Target="http://gofile.me/649X4/6ATHYBKsT" TargetMode="External"/><Relationship Id="rId35" Type="http://schemas.openxmlformats.org/officeDocument/2006/relationships/hyperlink" Target="http://gofile.me/649X4/vLKwtZXMH" TargetMode="External"/><Relationship Id="rId36" Type="http://schemas.openxmlformats.org/officeDocument/2006/relationships/hyperlink" Target="http://gofile.me/649X4/sCSuGEylU" TargetMode="External"/><Relationship Id="rId37" Type="http://schemas.openxmlformats.org/officeDocument/2006/relationships/hyperlink" Target="http://gofile.me/649X4/3kIxiY183" TargetMode="External"/><Relationship Id="rId38" Type="http://schemas.openxmlformats.org/officeDocument/2006/relationships/hyperlink" Target="http://gofile.me/649X4/F9NPP880G" TargetMode="External"/><Relationship Id="rId39" Type="http://schemas.openxmlformats.org/officeDocument/2006/relationships/hyperlink" Target="http://gofile.me/649X4/bZwRCaUfW" TargetMode="External"/><Relationship Id="rId40" Type="http://schemas.openxmlformats.org/officeDocument/2006/relationships/hyperlink" Target="http://hoco.i234.me:8000/sharing/g0Ccgctin" TargetMode="External"/><Relationship Id="rId41" Type="http://schemas.openxmlformats.org/officeDocument/2006/relationships/hyperlink" Target="http://hoco.i234.me:8000/sharing/ug02ySvzP" TargetMode="External"/><Relationship Id="rId42" Type="http://schemas.openxmlformats.org/officeDocument/2006/relationships/drawing" Target="../drawings/drawing12.xml"/>
</Relationships>
</file>

<file path=xl/worksheets/_rels/sheet15.xml.rels><?xml version="1.0" encoding="UTF-8"?>
<Relationships xmlns="http://schemas.openxmlformats.org/package/2006/relationships"><Relationship Id="rId1" Type="http://schemas.openxmlformats.org/officeDocument/2006/relationships/hyperlink" Target="http://gofile.me/649X4/OeiHl4OmS" TargetMode="External"/><Relationship Id="rId2" Type="http://schemas.openxmlformats.org/officeDocument/2006/relationships/hyperlink" Target="http://gofile.me/649X4/McIzvwVJO" TargetMode="External"/><Relationship Id="rId3" Type="http://schemas.openxmlformats.org/officeDocument/2006/relationships/hyperlink" Target="http://gofile.me/649X4/bdQQL6wdU" TargetMode="External"/><Relationship Id="rId4" Type="http://schemas.openxmlformats.org/officeDocument/2006/relationships/hyperlink" Target="http://gofile.me/649X4/wBLxSb5Xr" TargetMode="External"/><Relationship Id="rId5" Type="http://schemas.openxmlformats.org/officeDocument/2006/relationships/hyperlink" Target="http://gofile.me/649X4/oVBEbHt5x" TargetMode="External"/><Relationship Id="rId6" Type="http://schemas.openxmlformats.org/officeDocument/2006/relationships/hyperlink" Target="http://gofile.me/649X4/zmCVJ6NPi" TargetMode="External"/><Relationship Id="rId7" Type="http://schemas.openxmlformats.org/officeDocument/2006/relationships/hyperlink" Target="http://gofile.me/649X4/9FS7Krvyz" TargetMode="External"/><Relationship Id="rId8" Type="http://schemas.openxmlformats.org/officeDocument/2006/relationships/hyperlink" Target="http://gofile.me/649X4/OGhVzVN7E" TargetMode="External"/><Relationship Id="rId9" Type="http://schemas.openxmlformats.org/officeDocument/2006/relationships/hyperlink" Target="http://gofile.me/649X4/m2wqXK11h" TargetMode="External"/><Relationship Id="rId10" Type="http://schemas.openxmlformats.org/officeDocument/2006/relationships/hyperlink" Target="http://gofile.me/649X4/6w9RQcSJP" TargetMode="External"/><Relationship Id="rId11" Type="http://schemas.openxmlformats.org/officeDocument/2006/relationships/hyperlink" Target="http://gofile.me/649X4/aHSMgVp2T" TargetMode="External"/><Relationship Id="rId12" Type="http://schemas.openxmlformats.org/officeDocument/2006/relationships/hyperlink" Target="http://gofile.me/649X4/qCnKRev0f" TargetMode="External"/><Relationship Id="rId13" Type="http://schemas.openxmlformats.org/officeDocument/2006/relationships/hyperlink" Target="http://gofile.me/649X4/qCnKRev0f" TargetMode="External"/><Relationship Id="rId14" Type="http://schemas.openxmlformats.org/officeDocument/2006/relationships/hyperlink" Target="http://gofile.me/649X4/Nd4wwCFyp" TargetMode="External"/><Relationship Id="rId15" Type="http://schemas.openxmlformats.org/officeDocument/2006/relationships/hyperlink" Target="http://gofile.me/649X4/4ZROHHRwH" TargetMode="External"/><Relationship Id="rId16" Type="http://schemas.openxmlformats.org/officeDocument/2006/relationships/hyperlink" Target="http://gofile.me/649X4/TKbOBrBHs" TargetMode="External"/><Relationship Id="rId17" Type="http://schemas.openxmlformats.org/officeDocument/2006/relationships/hyperlink" Target="http://hoco.i234.me:8000/sharing/gHcI8PLIT" TargetMode="External"/><Relationship Id="rId18" Type="http://schemas.openxmlformats.org/officeDocument/2006/relationships/hyperlink" Target="http://hoco.i234.me:8000/sharing/r3YRDjhId" TargetMode="External"/><Relationship Id="rId19" Type="http://schemas.openxmlformats.org/officeDocument/2006/relationships/hyperlink" Target="http://hoco.i234.me:8000/sharing/OVEuqRaPJ" TargetMode="External"/><Relationship Id="rId20" Type="http://schemas.openxmlformats.org/officeDocument/2006/relationships/hyperlink" Target="http://hoco.i234.me:8000/sharing/9qTwE8O0z" TargetMode="External"/><Relationship Id="rId21" Type="http://schemas.openxmlformats.org/officeDocument/2006/relationships/hyperlink" Target="http://hoco.i234.me:8000/sharing/dP9kDLeSQ" TargetMode="External"/><Relationship Id="rId22" Type="http://schemas.openxmlformats.org/officeDocument/2006/relationships/hyperlink" Target="http://gofile.me/649X4/lgAAbTDsQ" TargetMode="External"/><Relationship Id="rId23" Type="http://schemas.openxmlformats.org/officeDocument/2006/relationships/drawing" Target="../drawings/drawing13.xml"/>
</Relationships>
</file>

<file path=xl/worksheets/_rels/sheet16.xml.rels><?xml version="1.0" encoding="UTF-8"?>
<Relationships xmlns="http://schemas.openxmlformats.org/package/2006/relationships"><Relationship Id="rId1" Type="http://schemas.openxmlformats.org/officeDocument/2006/relationships/hyperlink" Target="http://gofile.me/649X4/OWVQfH4yH" TargetMode="External"/><Relationship Id="rId2" Type="http://schemas.openxmlformats.org/officeDocument/2006/relationships/hyperlink" Target="http://gofile.me/649X4/zL0k4eQAV" TargetMode="External"/><Relationship Id="rId3" Type="http://schemas.openxmlformats.org/officeDocument/2006/relationships/hyperlink" Target="http://gofile.me/649X4/XVzWIg250" TargetMode="External"/><Relationship Id="rId4" Type="http://schemas.openxmlformats.org/officeDocument/2006/relationships/hyperlink" Target="http://gofile.me/649X4/bNJmiUuV8" TargetMode="External"/><Relationship Id="rId5" Type="http://schemas.openxmlformats.org/officeDocument/2006/relationships/hyperlink" Target="http://gofile.me/649X4/jTMA7nOMC" TargetMode="External"/><Relationship Id="rId6" Type="http://schemas.openxmlformats.org/officeDocument/2006/relationships/hyperlink" Target="http://gofile.me/649X4/6QiGtNlAF" TargetMode="External"/><Relationship Id="rId7" Type="http://schemas.openxmlformats.org/officeDocument/2006/relationships/hyperlink" Target="http://gofile.me/649X4/JCy6zbWYr" TargetMode="External"/><Relationship Id="rId8" Type="http://schemas.openxmlformats.org/officeDocument/2006/relationships/hyperlink" Target="http://gofile.me/649X4/a5oRJtd8F" TargetMode="External"/><Relationship Id="rId9" Type="http://schemas.openxmlformats.org/officeDocument/2006/relationships/hyperlink" Target="http://gofile.me/649X4/TuAFFIjaK" TargetMode="External"/><Relationship Id="rId10" Type="http://schemas.openxmlformats.org/officeDocument/2006/relationships/drawing" Target="../drawings/drawing14.xml"/>
</Relationships>
</file>

<file path=xl/worksheets/_rels/sheet17.xml.rels><?xml version="1.0" encoding="UTF-8"?>
<Relationships xmlns="http://schemas.openxmlformats.org/package/2006/relationships"><Relationship Id="rId1" Type="http://schemas.openxmlformats.org/officeDocument/2006/relationships/hyperlink" Target="http://gofile.me/649X4/4y2Ky8UyF" TargetMode="External"/><Relationship Id="rId2" Type="http://schemas.openxmlformats.org/officeDocument/2006/relationships/hyperlink" Target="http://gofile.me/649X4/4y2Ky8UyF" TargetMode="External"/><Relationship Id="rId3" Type="http://schemas.openxmlformats.org/officeDocument/2006/relationships/hyperlink" Target="http://gofile.me/649X4/z2Uu6Wf2l" TargetMode="External"/><Relationship Id="rId4" Type="http://schemas.openxmlformats.org/officeDocument/2006/relationships/hyperlink" Target="http://gofile.me/649X4/z2Uu6Wf2l" TargetMode="External"/><Relationship Id="rId5" Type="http://schemas.openxmlformats.org/officeDocument/2006/relationships/hyperlink" Target="http://gofile.me/649X4/eALkteUE7" TargetMode="External"/><Relationship Id="rId6" Type="http://schemas.openxmlformats.org/officeDocument/2006/relationships/hyperlink" Target="http://gofile.me/649X4/yjalJeTg0" TargetMode="External"/><Relationship Id="rId7" Type="http://schemas.openxmlformats.org/officeDocument/2006/relationships/hyperlink" Target="http://gofile.me/649X4/yjalJeTg0" TargetMode="External"/><Relationship Id="rId8" Type="http://schemas.openxmlformats.org/officeDocument/2006/relationships/hyperlink" Target="http://gofile.me/649X4/4zcs4eupd" TargetMode="External"/><Relationship Id="rId9" Type="http://schemas.openxmlformats.org/officeDocument/2006/relationships/hyperlink" Target="http://gofile.me/649X4/4zcs4eupd" TargetMode="External"/><Relationship Id="rId10" Type="http://schemas.openxmlformats.org/officeDocument/2006/relationships/hyperlink" Target="http://gofile.me/649X4/1EVlByxP6" TargetMode="External"/><Relationship Id="rId11" Type="http://schemas.openxmlformats.org/officeDocument/2006/relationships/hyperlink" Target="http://gofile.me/649X4/1EVlByxP6" TargetMode="External"/><Relationship Id="rId12" Type="http://schemas.openxmlformats.org/officeDocument/2006/relationships/hyperlink" Target="http://gofile.me/649X4/FDFl5Erdt" TargetMode="External"/><Relationship Id="rId13" Type="http://schemas.openxmlformats.org/officeDocument/2006/relationships/hyperlink" Target="http://gofile.me/649X4/FDFl5Erdt" TargetMode="External"/><Relationship Id="rId14" Type="http://schemas.openxmlformats.org/officeDocument/2006/relationships/hyperlink" Target="http://gofile.me/649X4/9aI16IBOS" TargetMode="External"/><Relationship Id="rId15" Type="http://schemas.openxmlformats.org/officeDocument/2006/relationships/hyperlink" Target="http://gofile.me/649X4/9aI16IBOS" TargetMode="External"/><Relationship Id="rId16" Type="http://schemas.openxmlformats.org/officeDocument/2006/relationships/hyperlink" Target="http://gofile.me/649X4/N2X44Z91j" TargetMode="External"/><Relationship Id="rId17" Type="http://schemas.openxmlformats.org/officeDocument/2006/relationships/hyperlink" Target="http://gofile.me/649X4/N2X44Z91j" TargetMode="External"/><Relationship Id="rId18" Type="http://schemas.openxmlformats.org/officeDocument/2006/relationships/hyperlink" Target="http://gofile.me/649X4/8ZCMmrIhO" TargetMode="External"/><Relationship Id="rId19" Type="http://schemas.openxmlformats.org/officeDocument/2006/relationships/hyperlink" Target="http://gofile.me/649X4/8ZCMmrIhO" TargetMode="External"/><Relationship Id="rId20" Type="http://schemas.openxmlformats.org/officeDocument/2006/relationships/hyperlink" Target="http://gofile.me/649X4/WtWdsmxGf" TargetMode="External"/><Relationship Id="rId21" Type="http://schemas.openxmlformats.org/officeDocument/2006/relationships/hyperlink" Target="http://gofile.me/649X4/WtWdsmxGf" TargetMode="External"/><Relationship Id="rId22" Type="http://schemas.openxmlformats.org/officeDocument/2006/relationships/drawing" Target="../drawings/drawing15.xml"/>
</Relationships>
</file>

<file path=xl/worksheets/_rels/sheet18.xml.rels><?xml version="1.0" encoding="UTF-8"?>
<Relationships xmlns="http://schemas.openxmlformats.org/package/2006/relationships"><Relationship Id="rId1" Type="http://schemas.openxmlformats.org/officeDocument/2006/relationships/hyperlink" Target="http://gofile.me/649X4/AvJzT6BB4" TargetMode="External"/><Relationship Id="rId2" Type="http://schemas.openxmlformats.org/officeDocument/2006/relationships/hyperlink" Target="http://gofile.me/649X4/peGKR8uGZ" TargetMode="External"/><Relationship Id="rId3" Type="http://schemas.openxmlformats.org/officeDocument/2006/relationships/hyperlink" Target="http://gofile.me/649X4/XqNIMw9aP" TargetMode="External"/><Relationship Id="rId4" Type="http://schemas.openxmlformats.org/officeDocument/2006/relationships/hyperlink" Target="http://gofile.me/649X4/me5Iv11RG" TargetMode="External"/><Relationship Id="rId5" Type="http://schemas.openxmlformats.org/officeDocument/2006/relationships/hyperlink" Target="http://gofile.me/649X4/me5Iv11RG" TargetMode="External"/><Relationship Id="rId6" Type="http://schemas.openxmlformats.org/officeDocument/2006/relationships/hyperlink" Target="http://gofile.me/649X4/kRYNvZ1GI" TargetMode="External"/><Relationship Id="rId7" Type="http://schemas.openxmlformats.org/officeDocument/2006/relationships/hyperlink" Target="http://gofile.me/649X4/UgAAoWnGq" TargetMode="External"/><Relationship Id="rId8" Type="http://schemas.openxmlformats.org/officeDocument/2006/relationships/hyperlink" Target="http://gofile.me/649X4/FVDxoB61r" TargetMode="External"/><Relationship Id="rId9" Type="http://schemas.openxmlformats.org/officeDocument/2006/relationships/hyperlink" Target="http://gofile.me/649X4/CaeyccTOq" TargetMode="External"/><Relationship Id="rId10" Type="http://schemas.openxmlformats.org/officeDocument/2006/relationships/hyperlink" Target="http://gofile.me/649X4/Cvq0B7k27" TargetMode="External"/><Relationship Id="rId11" Type="http://schemas.openxmlformats.org/officeDocument/2006/relationships/hyperlink" Target="http://gofile.me/649X4/AQCqL5Pmi" TargetMode="External"/><Relationship Id="rId12" Type="http://schemas.openxmlformats.org/officeDocument/2006/relationships/hyperlink" Target="http://gofile.me/649X4/lMvhfkG1l" TargetMode="External"/><Relationship Id="rId13" Type="http://schemas.openxmlformats.org/officeDocument/2006/relationships/hyperlink" Target="http://gofile.me/649X4/lMvhfkG1l" TargetMode="External"/><Relationship Id="rId14" Type="http://schemas.openxmlformats.org/officeDocument/2006/relationships/hyperlink" Target="http://gofile.me/649X4/NEZNZ6h1i" TargetMode="External"/><Relationship Id="rId15" Type="http://schemas.openxmlformats.org/officeDocument/2006/relationships/hyperlink" Target="http://gofile.me/649X4/ZUXoPPU6g" TargetMode="External"/><Relationship Id="rId16" Type="http://schemas.openxmlformats.org/officeDocument/2006/relationships/hyperlink" Target="http://gofile.me/649X4/V41H4Ygrd" TargetMode="External"/><Relationship Id="rId17" Type="http://schemas.openxmlformats.org/officeDocument/2006/relationships/hyperlink" Target="http://gofile.me/649X4/zy2GXtYlQ" TargetMode="External"/><Relationship Id="rId18" Type="http://schemas.openxmlformats.org/officeDocument/2006/relationships/hyperlink" Target="http://gofile.me/649X4/rajMarcCR" TargetMode="External"/><Relationship Id="rId19" Type="http://schemas.openxmlformats.org/officeDocument/2006/relationships/hyperlink" Target="http://gofile.me/649X4/ClRI8exf9" TargetMode="External"/><Relationship Id="rId20" Type="http://schemas.openxmlformats.org/officeDocument/2006/relationships/hyperlink" Target="http://gofile.me/649X4/gqSAa8PkJ" TargetMode="External"/><Relationship Id="rId21" Type="http://schemas.openxmlformats.org/officeDocument/2006/relationships/hyperlink" Target="http://gofile.me/649X4/qlvo80c5d" TargetMode="External"/><Relationship Id="rId22" Type="http://schemas.openxmlformats.org/officeDocument/2006/relationships/hyperlink" Target="http://gofile.me/649X4/xCvKmkjoM" TargetMode="External"/><Relationship Id="rId23" Type="http://schemas.openxmlformats.org/officeDocument/2006/relationships/hyperlink" Target="http://gofile.me/649X4/KKkWKWTLT" TargetMode="External"/><Relationship Id="rId24" Type="http://schemas.openxmlformats.org/officeDocument/2006/relationships/hyperlink" Target="http://gofile.me/649X4/KKkWKWTLT" TargetMode="External"/><Relationship Id="rId25" Type="http://schemas.openxmlformats.org/officeDocument/2006/relationships/hyperlink" Target="http://gofile.me/649X4/pqSku8oTC" TargetMode="External"/><Relationship Id="rId26" Type="http://schemas.openxmlformats.org/officeDocument/2006/relationships/hyperlink" Target="http://gofile.me/649X4/pqSku8oTC" TargetMode="External"/><Relationship Id="rId27" Type="http://schemas.openxmlformats.org/officeDocument/2006/relationships/hyperlink" Target="http://gofile.me/649X4/peGKR8uGZ" TargetMode="External"/><Relationship Id="rId28" Type="http://schemas.openxmlformats.org/officeDocument/2006/relationships/hyperlink" Target="http://gofile.me/649X4/xwVCnau6K" TargetMode="External"/><Relationship Id="rId29" Type="http://schemas.openxmlformats.org/officeDocument/2006/relationships/hyperlink" Target="http://gofile.me/649X4/xwVCnau6K" TargetMode="External"/><Relationship Id="rId30" Type="http://schemas.openxmlformats.org/officeDocument/2006/relationships/hyperlink" Target="http://gofile.me/649X4/UgAAoWnGq" TargetMode="External"/><Relationship Id="rId31" Type="http://schemas.openxmlformats.org/officeDocument/2006/relationships/hyperlink" Target="http://gofile.me/649X4/MBMyHr1Fj" TargetMode="External"/><Relationship Id="rId32" Type="http://schemas.openxmlformats.org/officeDocument/2006/relationships/hyperlink" Target="http://gofile.me/649X4/MBMyHr1Fj" TargetMode="External"/><Relationship Id="rId33" Type="http://schemas.openxmlformats.org/officeDocument/2006/relationships/hyperlink" Target="http://gofile.me/649X4/Cvq0B7k27" TargetMode="External"/><Relationship Id="rId34" Type="http://schemas.openxmlformats.org/officeDocument/2006/relationships/hyperlink" Target="http://gofile.me/649X4/pLFvIu4P8" TargetMode="External"/><Relationship Id="rId35" Type="http://schemas.openxmlformats.org/officeDocument/2006/relationships/hyperlink" Target="http://gofile.me/649X4/pLFvIu4P8" TargetMode="External"/><Relationship Id="rId36" Type="http://schemas.openxmlformats.org/officeDocument/2006/relationships/hyperlink" Target="http://gofile.me/649X4/ZUXoPPU6g" TargetMode="External"/><Relationship Id="rId37" Type="http://schemas.openxmlformats.org/officeDocument/2006/relationships/hyperlink" Target="http://gofile.me/649X4/9HQYIBh3d" TargetMode="External"/><Relationship Id="rId38" Type="http://schemas.openxmlformats.org/officeDocument/2006/relationships/hyperlink" Target="http://gofile.me/649X4/9HQYIBh3d" TargetMode="External"/><Relationship Id="rId39" Type="http://schemas.openxmlformats.org/officeDocument/2006/relationships/hyperlink" Target="http://gofile.me/649X4/zy2GXtYlQ" TargetMode="External"/><Relationship Id="rId40" Type="http://schemas.openxmlformats.org/officeDocument/2006/relationships/hyperlink" Target="http://gofile.me/649X4/zy2GXtYlQ" TargetMode="External"/><Relationship Id="rId41" Type="http://schemas.openxmlformats.org/officeDocument/2006/relationships/hyperlink" Target="http://gofile.me/649X4/05rvdIxt5" TargetMode="External"/><Relationship Id="rId42" Type="http://schemas.openxmlformats.org/officeDocument/2006/relationships/hyperlink" Target="http://gofile.me/649X4/05rvdIxt5" TargetMode="External"/><Relationship Id="rId43" Type="http://schemas.openxmlformats.org/officeDocument/2006/relationships/hyperlink" Target="http://gofile.me/649X4/ClRI8exf9" TargetMode="External"/><Relationship Id="rId44" Type="http://schemas.openxmlformats.org/officeDocument/2006/relationships/hyperlink" Target="http://gofile.me/649X4/ClRI8exf9" TargetMode="External"/><Relationship Id="rId45" Type="http://schemas.openxmlformats.org/officeDocument/2006/relationships/hyperlink" Target="http://gofile.me/649X4/LZ7vyE1nV" TargetMode="External"/><Relationship Id="rId46" Type="http://schemas.openxmlformats.org/officeDocument/2006/relationships/hyperlink" Target="http://gofile.me/649X4/wZZpyjwc8" TargetMode="External"/><Relationship Id="rId47" Type="http://schemas.openxmlformats.org/officeDocument/2006/relationships/hyperlink" Target="http://gofile.me/649X4/LZ7vyE1nV" TargetMode="External"/><Relationship Id="rId48" Type="http://schemas.openxmlformats.org/officeDocument/2006/relationships/hyperlink" Target="http://gofile.me/649X4/wZZpyjwc8" TargetMode="External"/><Relationship Id="rId49" Type="http://schemas.openxmlformats.org/officeDocument/2006/relationships/hyperlink" Target="http://gofile.me/649X4/qlvo80c5d" TargetMode="External"/><Relationship Id="rId50" Type="http://schemas.openxmlformats.org/officeDocument/2006/relationships/hyperlink" Target="http://gofile.me/649X4/qlvo80c5d" TargetMode="External"/><Relationship Id="rId51" Type="http://schemas.openxmlformats.org/officeDocument/2006/relationships/hyperlink" Target="http://gofile.me/649X4/LTAUWqrJH" TargetMode="External"/><Relationship Id="rId52" Type="http://schemas.openxmlformats.org/officeDocument/2006/relationships/hyperlink" Target="http://gofile.me/649X4/LTAUWqrJH" TargetMode="External"/><Relationship Id="rId53" Type="http://schemas.openxmlformats.org/officeDocument/2006/relationships/hyperlink" Target="http://gofile.me/649X4/DDMFS2JUx" TargetMode="External"/><Relationship Id="rId54" Type="http://schemas.openxmlformats.org/officeDocument/2006/relationships/hyperlink" Target="http://gofile.me/649X4/DDMFS2JUx" TargetMode="External"/><Relationship Id="rId55" Type="http://schemas.openxmlformats.org/officeDocument/2006/relationships/hyperlink" Target="http://gofile.me/649X4/9zg1Yx9V1" TargetMode="External"/><Relationship Id="rId56" Type="http://schemas.openxmlformats.org/officeDocument/2006/relationships/hyperlink" Target="http://gofile.me/649X4/9zg1Yx9V1" TargetMode="External"/><Relationship Id="rId57" Type="http://schemas.openxmlformats.org/officeDocument/2006/relationships/hyperlink" Target="http://gofile.me/649X4/ThgedCR0K" TargetMode="External"/><Relationship Id="rId58" Type="http://schemas.openxmlformats.org/officeDocument/2006/relationships/hyperlink" Target="http://gofile.me/649X4/ThgedCR0K" TargetMode="External"/><Relationship Id="rId59" Type="http://schemas.openxmlformats.org/officeDocument/2006/relationships/hyperlink" Target="http://gofile.me/649X4/W4LaQIr7b" TargetMode="External"/><Relationship Id="rId60" Type="http://schemas.openxmlformats.org/officeDocument/2006/relationships/hyperlink" Target="http://gofile.me/649X4/W4LaQIr7b" TargetMode="External"/><Relationship Id="rId61" Type="http://schemas.openxmlformats.org/officeDocument/2006/relationships/hyperlink" Target="http://gofile.me/649X4/QqhJolu1M" TargetMode="External"/><Relationship Id="rId62" Type="http://schemas.openxmlformats.org/officeDocument/2006/relationships/hyperlink" Target="http://gofile.me/649X4/QqhJolu1M" TargetMode="External"/><Relationship Id="rId63" Type="http://schemas.openxmlformats.org/officeDocument/2006/relationships/hyperlink" Target="http://gofile.me/649X4/05rvdIxt5" TargetMode="External"/><Relationship Id="rId64" Type="http://schemas.openxmlformats.org/officeDocument/2006/relationships/hyperlink" Target="http://gofile.me/649X4/05rvdIxt5" TargetMode="External"/><Relationship Id="rId65" Type="http://schemas.openxmlformats.org/officeDocument/2006/relationships/hyperlink" Target="http://gofile.me/649X4/BMpyHb9xF" TargetMode="External"/><Relationship Id="rId66" Type="http://schemas.openxmlformats.org/officeDocument/2006/relationships/hyperlink" Target="http://gofile.me/649X4/BMpyHb9xF" TargetMode="External"/><Relationship Id="rId67" Type="http://schemas.openxmlformats.org/officeDocument/2006/relationships/hyperlink" Target="http://gofile.me/649X4/ZLhX1SuXo" TargetMode="External"/><Relationship Id="rId68" Type="http://schemas.openxmlformats.org/officeDocument/2006/relationships/hyperlink" Target="http://gofile.me/649X4/wZZpyjwc8" TargetMode="External"/><Relationship Id="rId69" Type="http://schemas.openxmlformats.org/officeDocument/2006/relationships/hyperlink" Target="http://gofile.me/649X4/ZLhX1SuXo" TargetMode="External"/><Relationship Id="rId70" Type="http://schemas.openxmlformats.org/officeDocument/2006/relationships/hyperlink" Target="http://gofile.me/649X4/wZZpyjwc8" TargetMode="External"/><Relationship Id="rId71" Type="http://schemas.openxmlformats.org/officeDocument/2006/relationships/hyperlink" Target="http://gofile.me/649X4/oEtq0FX5W" TargetMode="External"/><Relationship Id="rId72" Type="http://schemas.openxmlformats.org/officeDocument/2006/relationships/hyperlink" Target="http://gofile.me/649X4/wZZpyjwc8" TargetMode="External"/><Relationship Id="rId73" Type="http://schemas.openxmlformats.org/officeDocument/2006/relationships/hyperlink" Target="http://gofile.me/649X4/oEtq0FX5W" TargetMode="External"/><Relationship Id="rId74" Type="http://schemas.openxmlformats.org/officeDocument/2006/relationships/hyperlink" Target="http://gofile.me/649X4/wZZpyjwc8" TargetMode="External"/><Relationship Id="rId75" Type="http://schemas.openxmlformats.org/officeDocument/2006/relationships/hyperlink" Target="http://gofile.me/649X4/aPN1FdE7Y" TargetMode="External"/><Relationship Id="rId76" Type="http://schemas.openxmlformats.org/officeDocument/2006/relationships/hyperlink" Target="http://gofile.me/649X4/aPN1FdE7Y" TargetMode="External"/><Relationship Id="rId77" Type="http://schemas.openxmlformats.org/officeDocument/2006/relationships/hyperlink" Target="http://gofile.me/649X4/6CiEXXLYM" TargetMode="External"/><Relationship Id="rId78" Type="http://schemas.openxmlformats.org/officeDocument/2006/relationships/hyperlink" Target="http://gofile.me/649X4/6CiEXXLYM" TargetMode="External"/><Relationship Id="rId79" Type="http://schemas.openxmlformats.org/officeDocument/2006/relationships/hyperlink" Target="http://gofile.me/649X4/nrq2fZwN7" TargetMode="External"/><Relationship Id="rId80" Type="http://schemas.openxmlformats.org/officeDocument/2006/relationships/hyperlink" Target="http://gofile.me/649X4/nrq2fZwN7" TargetMode="External"/><Relationship Id="rId81" Type="http://schemas.openxmlformats.org/officeDocument/2006/relationships/hyperlink" Target="http://gofile.me/649X4/oeFEDrjY5" TargetMode="External"/><Relationship Id="rId82" Type="http://schemas.openxmlformats.org/officeDocument/2006/relationships/hyperlink" Target="http://gofile.me/649X4/oeFEDrjY5" TargetMode="External"/><Relationship Id="rId83" Type="http://schemas.openxmlformats.org/officeDocument/2006/relationships/hyperlink" Target="http://gofile.me/649X4/d19aarYJe" TargetMode="External"/><Relationship Id="rId84" Type="http://schemas.openxmlformats.org/officeDocument/2006/relationships/hyperlink" Target="http://gofile.me/649X4/wZZpyjwc8" TargetMode="External"/><Relationship Id="rId85" Type="http://schemas.openxmlformats.org/officeDocument/2006/relationships/hyperlink" Target="http://gofile.me/649X4/d19aarYJe" TargetMode="External"/><Relationship Id="rId86" Type="http://schemas.openxmlformats.org/officeDocument/2006/relationships/hyperlink" Target="http://gofile.me/649X4/wZZpyjwc8" TargetMode="External"/><Relationship Id="rId87" Type="http://schemas.openxmlformats.org/officeDocument/2006/relationships/hyperlink" Target="http://gofile.me/649X4/cCZIddwfz" TargetMode="External"/><Relationship Id="rId88" Type="http://schemas.openxmlformats.org/officeDocument/2006/relationships/hyperlink" Target="http://gofile.me/649X4/wZZpyjwc8" TargetMode="External"/><Relationship Id="rId89" Type="http://schemas.openxmlformats.org/officeDocument/2006/relationships/hyperlink" Target="http://gofile.me/649X4/cCZIddwfz" TargetMode="External"/><Relationship Id="rId90" Type="http://schemas.openxmlformats.org/officeDocument/2006/relationships/hyperlink" Target="http://gofile.me/649X4/wZZpyjwc8" TargetMode="External"/><Relationship Id="rId91" Type="http://schemas.openxmlformats.org/officeDocument/2006/relationships/hyperlink" Target="http://gofile.me/649X4/jOQj0iHlo" TargetMode="External"/><Relationship Id="rId92" Type="http://schemas.openxmlformats.org/officeDocument/2006/relationships/hyperlink" Target="http://gofile.me/649X4/jOQj0iHlo" TargetMode="External"/><Relationship Id="rId93" Type="http://schemas.openxmlformats.org/officeDocument/2006/relationships/hyperlink" Target="http://gofile.me/649X4/lZUPNkd0H" TargetMode="External"/><Relationship Id="rId94" Type="http://schemas.openxmlformats.org/officeDocument/2006/relationships/hyperlink" Target="http://gofile.me/649X4/lZUPNkd0H" TargetMode="External"/><Relationship Id="rId95" Type="http://schemas.openxmlformats.org/officeDocument/2006/relationships/hyperlink" Target="http://gofile.me/649X4/cRiTPGVl3" TargetMode="External"/><Relationship Id="rId96" Type="http://schemas.openxmlformats.org/officeDocument/2006/relationships/hyperlink" Target="http://gofile.me/649X4/wZZpyjwc8" TargetMode="External"/><Relationship Id="rId97" Type="http://schemas.openxmlformats.org/officeDocument/2006/relationships/hyperlink" Target="http://gofile.me/649X4/cRiTPGVl3" TargetMode="External"/><Relationship Id="rId98" Type="http://schemas.openxmlformats.org/officeDocument/2006/relationships/hyperlink" Target="http://gofile.me/649X4/wZZpyjwc8" TargetMode="External"/><Relationship Id="rId99" Type="http://schemas.openxmlformats.org/officeDocument/2006/relationships/hyperlink" Target="http://gofile.me/649X4/CNfI9aTJq" TargetMode="External"/><Relationship Id="rId100" Type="http://schemas.openxmlformats.org/officeDocument/2006/relationships/hyperlink" Target="http://gofile.me/649X4/CNfI9aTJq" TargetMode="External"/><Relationship Id="rId101" Type="http://schemas.openxmlformats.org/officeDocument/2006/relationships/hyperlink" Target="http://gofile.me/649X4/CNfI9aTJq" TargetMode="External"/><Relationship Id="rId102" Type="http://schemas.openxmlformats.org/officeDocument/2006/relationships/hyperlink" Target="http://gofile.me/649X4/l9NZxgwBQ" TargetMode="External"/><Relationship Id="rId103" Type="http://schemas.openxmlformats.org/officeDocument/2006/relationships/hyperlink" Target="http://gofile.me/649X4/l9NZxgwBQ" TargetMode="External"/><Relationship Id="rId104" Type="http://schemas.openxmlformats.org/officeDocument/2006/relationships/hyperlink" Target="http://gofile.me/649X4/l9NZxgwBQ" TargetMode="External"/><Relationship Id="rId105" Type="http://schemas.openxmlformats.org/officeDocument/2006/relationships/hyperlink" Target="http://gofile.me/649X4/zv9IMwSOZ" TargetMode="External"/><Relationship Id="rId106" Type="http://schemas.openxmlformats.org/officeDocument/2006/relationships/hyperlink" Target="http://gofile.me/649X4/wZZpyjwc8" TargetMode="External"/><Relationship Id="rId107" Type="http://schemas.openxmlformats.org/officeDocument/2006/relationships/hyperlink" Target="http://gofile.me/649X4/zv9IMwSOZ" TargetMode="External"/><Relationship Id="rId108" Type="http://schemas.openxmlformats.org/officeDocument/2006/relationships/hyperlink" Target="http://gofile.me/649X4/wZZpyjwc8" TargetMode="External"/><Relationship Id="rId109" Type="http://schemas.openxmlformats.org/officeDocument/2006/relationships/hyperlink" Target="http://gofile.me/649X4/zv9IMwSOZ" TargetMode="External"/><Relationship Id="rId110" Type="http://schemas.openxmlformats.org/officeDocument/2006/relationships/hyperlink" Target="http://gofile.me/649X4/wZZpyjwc8" TargetMode="External"/><Relationship Id="rId111" Type="http://schemas.openxmlformats.org/officeDocument/2006/relationships/drawing" Target="../drawings/drawing16.xml"/>
</Relationships>
</file>

<file path=xl/worksheets/_rels/sheet21.xml.rels><?xml version="1.0" encoding="UTF-8"?>
<Relationships xmlns="http://schemas.openxmlformats.org/package/2006/relationships"><Relationship Id="rId1" Type="http://schemas.openxmlformats.org/officeDocument/2006/relationships/drawing" Target="../drawings/drawing17.xml"/>
</Relationships>
</file>

<file path=xl/worksheets/_rels/sheet22.xml.rels><?xml version="1.0" encoding="UTF-8"?>
<Relationships xmlns="http://schemas.openxmlformats.org/package/2006/relationships"><Relationship Id="rId1" Type="http://schemas.openxmlformats.org/officeDocument/2006/relationships/drawing" Target="../drawings/drawing18.xml"/>
</Relationships>
</file>

<file path=xl/worksheets/_rels/sheet23.xml.rels><?xml version="1.0" encoding="UTF-8"?>
<Relationships xmlns="http://schemas.openxmlformats.org/package/2006/relationships"><Relationship Id="rId1" Type="http://schemas.openxmlformats.org/officeDocument/2006/relationships/drawing" Target="../drawings/drawing1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pageSetUpPr fitToPage="false"/>
  </sheetPr>
  <dimension ref="A1:HZ67"/>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9" defaultRowHeight="17.4" customHeight="false" zeroHeight="false" outlineLevelRow="0" outlineLevelCol="0"/>
  <cols>
    <col collapsed="false" customWidth="true" hidden="false" outlineLevel="0" max="1" min="1" style="1" width="48"/>
    <col collapsed="false" customWidth="true" hidden="false" outlineLevel="0" max="2" min="2" style="2" width="5.63"/>
    <col collapsed="false" customWidth="true" hidden="false" outlineLevel="0" max="3" min="3" style="1" width="55.63"/>
    <col collapsed="false" customWidth="true" hidden="false" outlineLevel="0" max="4" min="4" style="1" width="5.63"/>
    <col collapsed="false" customWidth="true" hidden="false" outlineLevel="0" max="5" min="5" style="1" width="55.63"/>
    <col collapsed="false" customWidth="false" hidden="false" outlineLevel="0" max="100" min="6" style="1" width="9"/>
  </cols>
  <sheetData>
    <row r="1" s="4" customFormat="true" ht="162" hidden="false" customHeight="true" outlineLevel="0" collapsed="false">
      <c r="A1" s="3"/>
      <c r="B1" s="3"/>
      <c r="C1" s="3"/>
      <c r="D1" s="3"/>
      <c r="E1" s="3"/>
    </row>
    <row r="2" s="4" customFormat="true" ht="35.1" hidden="false" customHeight="true" outlineLevel="0" collapsed="false">
      <c r="A2" s="5" t="s">
        <v>0</v>
      </c>
      <c r="B2" s="5"/>
      <c r="C2" s="5"/>
      <c r="D2" s="5"/>
      <c r="E2" s="5"/>
    </row>
    <row r="3" s="10" customFormat="true" ht="30" hidden="false" customHeight="true" outlineLevel="0" collapsed="false">
      <c r="A3" s="6" t="s">
        <v>1</v>
      </c>
      <c r="B3" s="7"/>
      <c r="C3" s="8" t="s">
        <v>2</v>
      </c>
      <c r="D3" s="9"/>
      <c r="E3" s="6" t="s">
        <v>3</v>
      </c>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row>
    <row r="4" s="15" customFormat="true" ht="18" hidden="false" customHeight="true" outlineLevel="0" collapsed="false">
      <c r="A4" s="11" t="s">
        <v>4</v>
      </c>
      <c r="B4" s="12"/>
      <c r="C4" s="11" t="s">
        <v>5</v>
      </c>
      <c r="D4" s="13"/>
      <c r="E4" s="11" t="s">
        <v>6</v>
      </c>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row>
    <row r="5" s="15" customFormat="true" ht="18" hidden="false" customHeight="true" outlineLevel="0" collapsed="false">
      <c r="A5" s="16" t="s">
        <v>7</v>
      </c>
      <c r="B5" s="17"/>
      <c r="C5" s="16" t="s">
        <v>8</v>
      </c>
      <c r="D5" s="18"/>
      <c r="E5" s="19"/>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row>
    <row r="6" s="15" customFormat="true" ht="18" hidden="false" customHeight="true" outlineLevel="0" collapsed="false">
      <c r="A6" s="19" t="s">
        <v>9</v>
      </c>
      <c r="B6" s="17"/>
      <c r="C6" s="16" t="s">
        <v>10</v>
      </c>
      <c r="D6" s="18"/>
      <c r="E6" s="19"/>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row>
    <row r="7" s="15" customFormat="true" ht="18" hidden="false" customHeight="true" outlineLevel="0" collapsed="false">
      <c r="A7" s="16" t="s">
        <v>11</v>
      </c>
      <c r="B7" s="17"/>
      <c r="C7" s="16" t="s">
        <v>12</v>
      </c>
      <c r="D7" s="18"/>
      <c r="E7" s="19"/>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row>
    <row r="8" s="15" customFormat="true" ht="18" hidden="false" customHeight="true" outlineLevel="0" collapsed="false">
      <c r="A8" s="19"/>
      <c r="B8" s="17"/>
      <c r="C8" s="20"/>
      <c r="D8" s="18"/>
      <c r="E8" s="19"/>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row>
    <row r="9" s="15" customFormat="true" ht="18" hidden="false" customHeight="true" outlineLevel="0" collapsed="false">
      <c r="A9" s="19"/>
      <c r="B9" s="17"/>
      <c r="C9" s="20"/>
      <c r="D9" s="18"/>
      <c r="E9" s="19"/>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row>
    <row r="10" s="15" customFormat="true" ht="18" hidden="false" customHeight="true" outlineLevel="0" collapsed="false">
      <c r="A10" s="19"/>
      <c r="B10" s="17"/>
      <c r="C10" s="20"/>
      <c r="D10" s="18"/>
      <c r="E10" s="19"/>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row>
    <row r="11" s="15" customFormat="true" ht="18" hidden="false" customHeight="true" outlineLevel="0" collapsed="false">
      <c r="A11" s="19"/>
      <c r="B11" s="17"/>
      <c r="C11" s="20"/>
      <c r="D11" s="18"/>
      <c r="E11" s="19"/>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row>
    <row r="12" s="22" customFormat="true" ht="18" hidden="false" customHeight="true" outlineLevel="0" collapsed="false">
      <c r="A12" s="19"/>
      <c r="B12" s="17"/>
      <c r="C12" s="20"/>
      <c r="D12" s="18"/>
      <c r="E12" s="19"/>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row>
    <row r="13" s="22" customFormat="true" ht="18" hidden="false" customHeight="true" outlineLevel="0" collapsed="false">
      <c r="A13" s="18"/>
      <c r="B13" s="17"/>
      <c r="C13" s="17"/>
      <c r="D13" s="18"/>
      <c r="E13" s="18"/>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row>
    <row r="14" s="10" customFormat="true" ht="30" hidden="false" customHeight="true" outlineLevel="0" collapsed="false">
      <c r="A14" s="23" t="s">
        <v>13</v>
      </c>
      <c r="B14" s="24"/>
      <c r="C14" s="25" t="s">
        <v>14</v>
      </c>
      <c r="D14" s="26"/>
      <c r="E14" s="23" t="s">
        <v>15</v>
      </c>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row>
    <row r="15" s="15" customFormat="true" ht="18" hidden="false" customHeight="true" outlineLevel="0" collapsed="false">
      <c r="A15" s="16" t="s">
        <v>16</v>
      </c>
      <c r="B15" s="17"/>
      <c r="C15" s="16" t="s">
        <v>17</v>
      </c>
      <c r="D15" s="18"/>
      <c r="E15" s="16" t="s">
        <v>18</v>
      </c>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row>
    <row r="16" s="15" customFormat="true" ht="18" hidden="false" customHeight="true" outlineLevel="0" collapsed="false">
      <c r="A16" s="16" t="s">
        <v>19</v>
      </c>
      <c r="B16" s="17"/>
      <c r="C16" s="16" t="s">
        <v>20</v>
      </c>
      <c r="D16" s="18"/>
      <c r="E16" s="16" t="s">
        <v>21</v>
      </c>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row>
    <row r="17" s="15" customFormat="true" ht="18" hidden="false" customHeight="true" outlineLevel="0" collapsed="false">
      <c r="A17" s="19"/>
      <c r="B17" s="17"/>
      <c r="C17" s="16" t="s">
        <v>22</v>
      </c>
      <c r="D17" s="18"/>
      <c r="E17" s="16" t="s">
        <v>23</v>
      </c>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row>
    <row r="18" s="15" customFormat="true" ht="18" hidden="false" customHeight="true" outlineLevel="0" collapsed="false">
      <c r="A18" s="19"/>
      <c r="B18" s="17"/>
      <c r="C18" s="20"/>
      <c r="D18" s="18"/>
      <c r="E18" s="19"/>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row>
    <row r="19" s="15" customFormat="true" ht="18" hidden="false" customHeight="true" outlineLevel="0" collapsed="false">
      <c r="A19" s="19"/>
      <c r="B19" s="17"/>
      <c r="C19" s="20"/>
      <c r="D19" s="18"/>
      <c r="E19" s="19"/>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row>
    <row r="20" s="15" customFormat="true" ht="18" hidden="false" customHeight="true" outlineLevel="0" collapsed="false">
      <c r="A20" s="19"/>
      <c r="B20" s="17"/>
      <c r="C20" s="20"/>
      <c r="D20" s="18"/>
      <c r="E20" s="19"/>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row>
    <row r="21" s="22" customFormat="true" ht="18" hidden="false" customHeight="true" outlineLevel="0" collapsed="false">
      <c r="A21" s="19"/>
      <c r="B21" s="17"/>
      <c r="C21" s="20"/>
      <c r="D21" s="18"/>
      <c r="E21" s="19"/>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row>
    <row r="22" s="22" customFormat="true" ht="18" hidden="false" customHeight="true" outlineLevel="0" collapsed="false">
      <c r="A22" s="18"/>
      <c r="B22" s="17"/>
      <c r="C22" s="17"/>
      <c r="D22" s="18"/>
      <c r="E22" s="18"/>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row>
    <row r="23" s="10" customFormat="true" ht="30" hidden="false" customHeight="true" outlineLevel="0" collapsed="false">
      <c r="A23" s="23" t="s">
        <v>24</v>
      </c>
      <c r="B23" s="24"/>
      <c r="C23" s="23" t="s">
        <v>25</v>
      </c>
      <c r="D23" s="26"/>
      <c r="E23" s="23" t="s">
        <v>26</v>
      </c>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row>
    <row r="24" s="15" customFormat="true" ht="18" hidden="false" customHeight="true" outlineLevel="0" collapsed="false">
      <c r="A24" s="27" t="s">
        <v>27</v>
      </c>
      <c r="B24" s="17"/>
      <c r="C24" s="27" t="s">
        <v>25</v>
      </c>
      <c r="D24" s="18"/>
      <c r="E24" s="27" t="s">
        <v>28</v>
      </c>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row>
    <row r="25" s="15" customFormat="true" ht="18" hidden="false" customHeight="true" outlineLevel="0" collapsed="false">
      <c r="A25" s="27" t="s">
        <v>24</v>
      </c>
      <c r="B25" s="17"/>
      <c r="C25" s="27" t="s">
        <v>29</v>
      </c>
      <c r="D25" s="18"/>
      <c r="E25" s="27" t="s">
        <v>30</v>
      </c>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row>
    <row r="26" s="15" customFormat="true" ht="18" hidden="false" customHeight="true" outlineLevel="0" collapsed="false">
      <c r="A26" s="19"/>
      <c r="B26" s="17"/>
      <c r="C26" s="20"/>
      <c r="D26" s="18"/>
      <c r="E26" s="27" t="s">
        <v>31</v>
      </c>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row>
    <row r="27" s="15" customFormat="true" ht="18" hidden="false" customHeight="true" outlineLevel="0" collapsed="false">
      <c r="A27" s="19"/>
      <c r="B27" s="17"/>
      <c r="C27" s="20"/>
      <c r="D27" s="18"/>
      <c r="E27" s="27" t="s">
        <v>32</v>
      </c>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row>
    <row r="28" s="15" customFormat="true" ht="18" hidden="false" customHeight="true" outlineLevel="0" collapsed="false">
      <c r="A28" s="19"/>
      <c r="B28" s="17"/>
      <c r="C28" s="20"/>
      <c r="D28" s="18"/>
      <c r="E28" s="27" t="s">
        <v>33</v>
      </c>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row>
    <row r="29" s="15" customFormat="true" ht="18" hidden="false" customHeight="true" outlineLevel="0" collapsed="false">
      <c r="A29" s="19"/>
      <c r="B29" s="17"/>
      <c r="C29" s="20"/>
      <c r="D29" s="18"/>
      <c r="E29" s="27" t="s">
        <v>34</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row>
    <row r="30" s="15" customFormat="true" ht="18" hidden="false" customHeight="true" outlineLevel="0" collapsed="false">
      <c r="A30" s="19"/>
      <c r="B30" s="17"/>
      <c r="C30" s="20"/>
      <c r="D30" s="18"/>
      <c r="E30" s="27" t="s">
        <v>35</v>
      </c>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row>
    <row r="31" s="15" customFormat="true" ht="18" hidden="false" customHeight="true" outlineLevel="0" collapsed="false">
      <c r="A31" s="19"/>
      <c r="B31" s="17"/>
      <c r="C31" s="20"/>
      <c r="D31" s="18"/>
      <c r="E31" s="19"/>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row>
    <row r="32" s="22" customFormat="true" ht="18" hidden="false" customHeight="true" outlineLevel="0" collapsed="false">
      <c r="A32" s="18"/>
      <c r="B32" s="17"/>
      <c r="C32" s="17"/>
      <c r="D32" s="18"/>
      <c r="E32" s="18"/>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c r="GO32" s="21"/>
      <c r="GP32" s="21"/>
      <c r="GQ32" s="21"/>
      <c r="GR32" s="21"/>
      <c r="GS32" s="21"/>
      <c r="GT32" s="21"/>
      <c r="GU32" s="21"/>
      <c r="GV32" s="21"/>
      <c r="GW32" s="21"/>
      <c r="GX32" s="21"/>
      <c r="GY32" s="21"/>
      <c r="GZ32" s="21"/>
      <c r="HA32" s="21"/>
      <c r="HB32" s="21"/>
      <c r="HC32" s="21"/>
      <c r="HD32" s="21"/>
      <c r="HE32" s="21"/>
      <c r="HF32" s="21"/>
      <c r="HG32" s="21"/>
      <c r="HH32" s="21"/>
      <c r="HI32" s="21"/>
      <c r="HJ32" s="21"/>
      <c r="HK32" s="21"/>
      <c r="HL32" s="21"/>
      <c r="HM32" s="21"/>
      <c r="HN32" s="21"/>
      <c r="HO32" s="21"/>
      <c r="HP32" s="21"/>
      <c r="HQ32" s="21"/>
      <c r="HR32" s="21"/>
      <c r="HS32" s="21"/>
      <c r="HT32" s="21"/>
      <c r="HU32" s="21"/>
      <c r="HV32" s="21"/>
      <c r="HW32" s="21"/>
      <c r="HX32" s="21"/>
      <c r="HY32" s="21"/>
      <c r="HZ32" s="21"/>
    </row>
    <row r="33" s="10" customFormat="true" ht="30" hidden="false" customHeight="true" outlineLevel="0" collapsed="false">
      <c r="A33" s="23" t="s">
        <v>36</v>
      </c>
      <c r="B33" s="24"/>
      <c r="C33" s="23" t="s">
        <v>37</v>
      </c>
      <c r="D33" s="24"/>
      <c r="E33" s="23" t="s">
        <v>38</v>
      </c>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row>
    <row r="34" s="15" customFormat="true" ht="18" hidden="false" customHeight="true" outlineLevel="0" collapsed="false">
      <c r="A34" s="16" t="s">
        <v>39</v>
      </c>
      <c r="B34" s="17"/>
      <c r="C34" s="16" t="s">
        <v>40</v>
      </c>
      <c r="D34" s="17"/>
      <c r="E34" s="16" t="s">
        <v>41</v>
      </c>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row>
    <row r="35" s="15" customFormat="true" ht="18" hidden="false" customHeight="true" outlineLevel="0" collapsed="false">
      <c r="A35" s="16" t="s">
        <v>42</v>
      </c>
      <c r="B35" s="17"/>
      <c r="C35" s="19"/>
      <c r="D35" s="17"/>
      <c r="E35" s="16" t="s">
        <v>43</v>
      </c>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row>
    <row r="36" s="15" customFormat="true" ht="18" hidden="false" customHeight="true" outlineLevel="0" collapsed="false">
      <c r="A36" s="19"/>
      <c r="B36" s="17"/>
      <c r="C36" s="19"/>
      <c r="D36" s="17"/>
      <c r="E36" s="16" t="s">
        <v>44</v>
      </c>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row>
    <row r="37" s="15" customFormat="true" ht="14" hidden="false" customHeight="true" outlineLevel="0" collapsed="false">
      <c r="A37" s="19"/>
      <c r="B37" s="17"/>
      <c r="C37" s="20"/>
      <c r="D37" s="18"/>
      <c r="E37" s="16" t="s">
        <v>45</v>
      </c>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row>
    <row r="38" s="22" customFormat="true" ht="18" hidden="false" customHeight="true" outlineLevel="0" collapsed="false">
      <c r="A38" s="19"/>
      <c r="B38" s="17"/>
      <c r="C38" s="20"/>
      <c r="D38" s="18"/>
      <c r="E38" s="19"/>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c r="HB38" s="21"/>
      <c r="HC38" s="21"/>
      <c r="HD38" s="21"/>
      <c r="HE38" s="21"/>
      <c r="HF38" s="21"/>
      <c r="HG38" s="21"/>
      <c r="HH38" s="21"/>
      <c r="HI38" s="21"/>
      <c r="HJ38" s="21"/>
      <c r="HK38" s="21"/>
      <c r="HL38" s="21"/>
      <c r="HM38" s="21"/>
      <c r="HN38" s="21"/>
      <c r="HO38" s="21"/>
      <c r="HP38" s="21"/>
      <c r="HQ38" s="21"/>
      <c r="HR38" s="21"/>
      <c r="HS38" s="21"/>
      <c r="HT38" s="21"/>
      <c r="HU38" s="21"/>
      <c r="HV38" s="21"/>
      <c r="HW38" s="21"/>
      <c r="HX38" s="21"/>
      <c r="HY38" s="21"/>
      <c r="HZ38" s="21"/>
    </row>
    <row r="39" s="22" customFormat="true" ht="18" hidden="false" customHeight="true" outlineLevel="0" collapsed="false">
      <c r="A39" s="19"/>
      <c r="B39" s="17"/>
      <c r="C39" s="20"/>
      <c r="D39" s="18"/>
      <c r="E39" s="19"/>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c r="HM39" s="21"/>
      <c r="HN39" s="21"/>
      <c r="HO39" s="21"/>
      <c r="HP39" s="21"/>
      <c r="HQ39" s="21"/>
      <c r="HR39" s="21"/>
      <c r="HS39" s="21"/>
      <c r="HT39" s="21"/>
      <c r="HU39" s="21"/>
      <c r="HV39" s="21"/>
      <c r="HW39" s="21"/>
      <c r="HX39" s="21"/>
      <c r="HY39" s="21"/>
      <c r="HZ39" s="21"/>
    </row>
    <row r="40" s="22" customFormat="true" ht="18" hidden="false" customHeight="true" outlineLevel="0" collapsed="false">
      <c r="A40" s="19"/>
      <c r="B40" s="17"/>
      <c r="C40" s="20"/>
      <c r="D40" s="18"/>
      <c r="E40" s="19"/>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1"/>
      <c r="GD40" s="21"/>
      <c r="GE40" s="21"/>
      <c r="GF40" s="21"/>
      <c r="GG40" s="21"/>
      <c r="GH40" s="21"/>
      <c r="GI40" s="21"/>
      <c r="GJ40" s="21"/>
      <c r="GK40" s="21"/>
      <c r="GL40" s="21"/>
      <c r="GM40" s="21"/>
      <c r="GN40" s="21"/>
      <c r="GO40" s="21"/>
      <c r="GP40" s="21"/>
      <c r="GQ40" s="21"/>
      <c r="GR40" s="21"/>
      <c r="GS40" s="21"/>
      <c r="GT40" s="21"/>
      <c r="GU40" s="21"/>
      <c r="GV40" s="21"/>
      <c r="GW40" s="21"/>
      <c r="GX40" s="21"/>
      <c r="GY40" s="21"/>
      <c r="GZ40" s="21"/>
      <c r="HA40" s="21"/>
      <c r="HB40" s="21"/>
      <c r="HC40" s="21"/>
      <c r="HD40" s="21"/>
      <c r="HE40" s="21"/>
      <c r="HF40" s="21"/>
      <c r="HG40" s="21"/>
      <c r="HH40" s="21"/>
      <c r="HI40" s="21"/>
      <c r="HJ40" s="21"/>
      <c r="HK40" s="21"/>
      <c r="HL40" s="21"/>
      <c r="HM40" s="21"/>
      <c r="HN40" s="21"/>
      <c r="HO40" s="21"/>
      <c r="HP40" s="21"/>
      <c r="HQ40" s="21"/>
      <c r="HR40" s="21"/>
      <c r="HS40" s="21"/>
      <c r="HT40" s="21"/>
      <c r="HU40" s="21"/>
      <c r="HV40" s="21"/>
      <c r="HW40" s="21"/>
      <c r="HX40" s="21"/>
      <c r="HY40" s="21"/>
      <c r="HZ40" s="21"/>
    </row>
    <row r="41" s="22" customFormat="true" ht="18" hidden="false" customHeight="true" outlineLevel="0" collapsed="false">
      <c r="A41" s="18"/>
      <c r="B41" s="17"/>
      <c r="C41" s="17"/>
      <c r="D41" s="18"/>
      <c r="E41" s="18"/>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c r="FC41" s="21"/>
      <c r="FD41" s="21"/>
      <c r="FE41" s="21"/>
      <c r="FF41" s="21"/>
      <c r="FG41" s="21"/>
      <c r="FH41" s="21"/>
      <c r="FI41" s="21"/>
      <c r="FJ41" s="21"/>
      <c r="FK41" s="21"/>
      <c r="FL41" s="21"/>
      <c r="FM41" s="21"/>
      <c r="FN41" s="21"/>
      <c r="FO41" s="21"/>
      <c r="FP41" s="21"/>
      <c r="FQ41" s="21"/>
      <c r="FR41" s="21"/>
      <c r="FS41" s="21"/>
      <c r="FT41" s="21"/>
      <c r="FU41" s="21"/>
      <c r="FV41" s="21"/>
      <c r="FW41" s="21"/>
      <c r="FX41" s="21"/>
      <c r="FY41" s="21"/>
      <c r="FZ41" s="21"/>
      <c r="GA41" s="21"/>
      <c r="GB41" s="21"/>
      <c r="GC41" s="21"/>
      <c r="GD41" s="21"/>
      <c r="GE41" s="21"/>
      <c r="GF41" s="21"/>
      <c r="GG41" s="21"/>
      <c r="GH41" s="21"/>
      <c r="GI41" s="21"/>
      <c r="GJ41" s="21"/>
      <c r="GK41" s="21"/>
      <c r="GL41" s="21"/>
      <c r="GM41" s="21"/>
      <c r="GN41" s="21"/>
      <c r="GO41" s="21"/>
      <c r="GP41" s="21"/>
      <c r="GQ41" s="21"/>
      <c r="GR41" s="21"/>
      <c r="GS41" s="21"/>
      <c r="GT41" s="21"/>
      <c r="GU41" s="21"/>
      <c r="GV41" s="21"/>
      <c r="GW41" s="21"/>
      <c r="GX41" s="21"/>
      <c r="GY41" s="21"/>
      <c r="GZ41" s="21"/>
      <c r="HA41" s="21"/>
      <c r="HB41" s="21"/>
      <c r="HC41" s="21"/>
      <c r="HD41" s="21"/>
      <c r="HE41" s="21"/>
      <c r="HF41" s="21"/>
      <c r="HG41" s="21"/>
      <c r="HH41" s="21"/>
      <c r="HI41" s="21"/>
      <c r="HJ41" s="21"/>
      <c r="HK41" s="21"/>
      <c r="HL41" s="21"/>
      <c r="HM41" s="21"/>
      <c r="HN41" s="21"/>
      <c r="HO41" s="21"/>
      <c r="HP41" s="21"/>
      <c r="HQ41" s="21"/>
      <c r="HR41" s="21"/>
      <c r="HS41" s="21"/>
      <c r="HT41" s="21"/>
      <c r="HU41" s="21"/>
      <c r="HV41" s="21"/>
      <c r="HW41" s="21"/>
      <c r="HX41" s="21"/>
      <c r="HY41" s="21"/>
      <c r="HZ41" s="21"/>
    </row>
    <row r="42" s="10" customFormat="true" ht="30" hidden="false" customHeight="true" outlineLevel="0" collapsed="false">
      <c r="A42" s="23" t="s">
        <v>46</v>
      </c>
      <c r="B42" s="24"/>
      <c r="C42" s="23" t="s">
        <v>47</v>
      </c>
      <c r="D42" s="26"/>
      <c r="E42" s="23" t="s">
        <v>48</v>
      </c>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row>
    <row r="43" s="15" customFormat="true" ht="18" hidden="false" customHeight="true" outlineLevel="0" collapsed="false">
      <c r="A43" s="16" t="s">
        <v>49</v>
      </c>
      <c r="B43" s="17"/>
      <c r="C43" s="16" t="s">
        <v>50</v>
      </c>
      <c r="D43" s="18"/>
      <c r="E43" s="16" t="s">
        <v>51</v>
      </c>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row>
    <row r="44" s="15" customFormat="true" ht="18" hidden="false" customHeight="true" outlineLevel="0" collapsed="false">
      <c r="A44" s="19"/>
      <c r="B44" s="17"/>
      <c r="C44" s="19"/>
      <c r="D44" s="18"/>
      <c r="E44" s="19"/>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row>
    <row r="45" s="15" customFormat="true" ht="18" hidden="false" customHeight="true" outlineLevel="0" collapsed="false">
      <c r="A45" s="19"/>
      <c r="B45" s="17"/>
      <c r="C45" s="19"/>
      <c r="D45" s="18"/>
      <c r="E45" s="19"/>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row>
    <row r="46" s="22" customFormat="true" ht="18" hidden="false" customHeight="true" outlineLevel="0" collapsed="false">
      <c r="A46" s="19"/>
      <c r="B46" s="17"/>
      <c r="C46" s="20"/>
      <c r="D46" s="18"/>
      <c r="E46" s="19"/>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c r="FA46" s="21"/>
      <c r="FB46" s="21"/>
      <c r="FC46" s="21"/>
      <c r="FD46" s="21"/>
      <c r="FE46" s="21"/>
      <c r="FF46" s="21"/>
      <c r="FG46" s="21"/>
      <c r="FH46" s="21"/>
      <c r="FI46" s="21"/>
      <c r="FJ46" s="21"/>
      <c r="FK46" s="21"/>
      <c r="FL46" s="21"/>
      <c r="FM46" s="21"/>
      <c r="FN46" s="21"/>
      <c r="FO46" s="21"/>
      <c r="FP46" s="21"/>
      <c r="FQ46" s="21"/>
      <c r="FR46" s="21"/>
      <c r="FS46" s="21"/>
      <c r="FT46" s="21"/>
      <c r="FU46" s="21"/>
      <c r="FV46" s="21"/>
      <c r="FW46" s="21"/>
      <c r="FX46" s="21"/>
      <c r="FY46" s="21"/>
      <c r="FZ46" s="21"/>
      <c r="GA46" s="21"/>
      <c r="GB46" s="21"/>
      <c r="GC46" s="21"/>
      <c r="GD46" s="21"/>
      <c r="GE46" s="21"/>
      <c r="GF46" s="21"/>
      <c r="GG46" s="21"/>
      <c r="GH46" s="21"/>
      <c r="GI46" s="21"/>
      <c r="GJ46" s="21"/>
      <c r="GK46" s="21"/>
      <c r="GL46" s="21"/>
      <c r="GM46" s="21"/>
      <c r="GN46" s="21"/>
      <c r="GO46" s="21"/>
      <c r="GP46" s="21"/>
      <c r="GQ46" s="21"/>
      <c r="GR46" s="21"/>
      <c r="GS46" s="21"/>
      <c r="GT46" s="21"/>
      <c r="GU46" s="21"/>
      <c r="GV46" s="21"/>
      <c r="GW46" s="21"/>
      <c r="GX46" s="21"/>
      <c r="GY46" s="21"/>
      <c r="GZ46" s="21"/>
      <c r="HA46" s="21"/>
      <c r="HB46" s="21"/>
      <c r="HC46" s="21"/>
      <c r="HD46" s="21"/>
      <c r="HE46" s="21"/>
      <c r="HF46" s="21"/>
      <c r="HG46" s="21"/>
      <c r="HH46" s="21"/>
      <c r="HI46" s="21"/>
      <c r="HJ46" s="21"/>
      <c r="HK46" s="21"/>
      <c r="HL46" s="21"/>
      <c r="HM46" s="21"/>
      <c r="HN46" s="21"/>
      <c r="HO46" s="21"/>
      <c r="HP46" s="21"/>
      <c r="HQ46" s="21"/>
      <c r="HR46" s="21"/>
      <c r="HS46" s="21"/>
      <c r="HT46" s="21"/>
      <c r="HU46" s="21"/>
      <c r="HV46" s="21"/>
      <c r="HW46" s="21"/>
      <c r="HX46" s="21"/>
      <c r="HY46" s="21"/>
      <c r="HZ46" s="21"/>
    </row>
    <row r="47" s="22" customFormat="true" ht="18" hidden="false" customHeight="true" outlineLevel="0" collapsed="false">
      <c r="A47" s="19"/>
      <c r="B47" s="17"/>
      <c r="C47" s="20"/>
      <c r="D47" s="18"/>
      <c r="E47" s="19"/>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c r="GK47" s="21"/>
      <c r="GL47" s="21"/>
      <c r="GM47" s="21"/>
      <c r="GN47" s="21"/>
      <c r="GO47" s="21"/>
      <c r="GP47" s="21"/>
      <c r="GQ47" s="21"/>
      <c r="GR47" s="21"/>
      <c r="GS47" s="21"/>
      <c r="GT47" s="21"/>
      <c r="GU47" s="21"/>
      <c r="GV47" s="21"/>
      <c r="GW47" s="21"/>
      <c r="GX47" s="21"/>
      <c r="GY47" s="21"/>
      <c r="GZ47" s="21"/>
      <c r="HA47" s="21"/>
      <c r="HB47" s="21"/>
      <c r="HC47" s="21"/>
      <c r="HD47" s="21"/>
      <c r="HE47" s="21"/>
      <c r="HF47" s="21"/>
      <c r="HG47" s="21"/>
      <c r="HH47" s="21"/>
      <c r="HI47" s="21"/>
      <c r="HJ47" s="21"/>
      <c r="HK47" s="21"/>
      <c r="HL47" s="21"/>
      <c r="HM47" s="21"/>
      <c r="HN47" s="21"/>
      <c r="HO47" s="21"/>
      <c r="HP47" s="21"/>
      <c r="HQ47" s="21"/>
      <c r="HR47" s="21"/>
      <c r="HS47" s="21"/>
      <c r="HT47" s="21"/>
      <c r="HU47" s="21"/>
      <c r="HV47" s="21"/>
      <c r="HW47" s="21"/>
      <c r="HX47" s="21"/>
      <c r="HY47" s="21"/>
      <c r="HZ47" s="21"/>
    </row>
    <row r="48" s="22" customFormat="true" ht="18" hidden="false" customHeight="true" outlineLevel="0" collapsed="false">
      <c r="A48" s="19"/>
      <c r="B48" s="17"/>
      <c r="C48" s="20"/>
      <c r="D48" s="18"/>
      <c r="E48" s="19"/>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c r="FA48" s="21"/>
      <c r="FB48" s="21"/>
      <c r="FC48" s="21"/>
      <c r="FD48" s="21"/>
      <c r="FE48" s="21"/>
      <c r="FF48" s="21"/>
      <c r="FG48" s="21"/>
      <c r="FH48" s="21"/>
      <c r="FI48" s="21"/>
      <c r="FJ48" s="21"/>
      <c r="FK48" s="21"/>
      <c r="FL48" s="21"/>
      <c r="FM48" s="21"/>
      <c r="FN48" s="21"/>
      <c r="FO48" s="21"/>
      <c r="FP48" s="21"/>
      <c r="FQ48" s="21"/>
      <c r="FR48" s="21"/>
      <c r="FS48" s="21"/>
      <c r="FT48" s="21"/>
      <c r="FU48" s="21"/>
      <c r="FV48" s="21"/>
      <c r="FW48" s="21"/>
      <c r="FX48" s="21"/>
      <c r="FY48" s="21"/>
      <c r="FZ48" s="21"/>
      <c r="GA48" s="21"/>
      <c r="GB48" s="21"/>
      <c r="GC48" s="21"/>
      <c r="GD48" s="21"/>
      <c r="GE48" s="21"/>
      <c r="GF48" s="21"/>
      <c r="GG48" s="21"/>
      <c r="GH48" s="21"/>
      <c r="GI48" s="21"/>
      <c r="GJ48" s="21"/>
      <c r="GK48" s="21"/>
      <c r="GL48" s="21"/>
      <c r="GM48" s="21"/>
      <c r="GN48" s="21"/>
      <c r="GO48" s="21"/>
      <c r="GP48" s="21"/>
      <c r="GQ48" s="21"/>
      <c r="GR48" s="21"/>
      <c r="GS48" s="21"/>
      <c r="GT48" s="21"/>
      <c r="GU48" s="21"/>
      <c r="GV48" s="21"/>
      <c r="GW48" s="21"/>
      <c r="GX48" s="21"/>
      <c r="GY48" s="21"/>
      <c r="GZ48" s="21"/>
      <c r="HA48" s="21"/>
      <c r="HB48" s="21"/>
      <c r="HC48" s="21"/>
      <c r="HD48" s="21"/>
      <c r="HE48" s="21"/>
      <c r="HF48" s="21"/>
      <c r="HG48" s="21"/>
      <c r="HH48" s="21"/>
      <c r="HI48" s="21"/>
      <c r="HJ48" s="21"/>
      <c r="HK48" s="21"/>
      <c r="HL48" s="21"/>
      <c r="HM48" s="21"/>
      <c r="HN48" s="21"/>
      <c r="HO48" s="21"/>
      <c r="HP48" s="21"/>
      <c r="HQ48" s="21"/>
      <c r="HR48" s="21"/>
      <c r="HS48" s="21"/>
      <c r="HT48" s="21"/>
      <c r="HU48" s="21"/>
      <c r="HV48" s="21"/>
      <c r="HW48" s="21"/>
      <c r="HX48" s="21"/>
      <c r="HY48" s="21"/>
      <c r="HZ48" s="21"/>
    </row>
    <row r="49" s="22" customFormat="true" ht="18" hidden="false" customHeight="true" outlineLevel="0" collapsed="false">
      <c r="A49" s="19"/>
      <c r="B49" s="17"/>
      <c r="C49" s="20"/>
      <c r="D49" s="18"/>
      <c r="E49" s="19"/>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c r="FA49" s="21"/>
      <c r="FB49" s="21"/>
      <c r="FC49" s="21"/>
      <c r="FD49" s="21"/>
      <c r="FE49" s="21"/>
      <c r="FF49" s="21"/>
      <c r="FG49" s="21"/>
      <c r="FH49" s="21"/>
      <c r="FI49" s="21"/>
      <c r="FJ49" s="21"/>
      <c r="FK49" s="21"/>
      <c r="FL49" s="21"/>
      <c r="FM49" s="21"/>
      <c r="FN49" s="21"/>
      <c r="FO49" s="21"/>
      <c r="FP49" s="21"/>
      <c r="FQ49" s="21"/>
      <c r="FR49" s="21"/>
      <c r="FS49" s="21"/>
      <c r="FT49" s="21"/>
      <c r="FU49" s="21"/>
      <c r="FV49" s="21"/>
      <c r="FW49" s="21"/>
      <c r="FX49" s="21"/>
      <c r="FY49" s="21"/>
      <c r="FZ49" s="21"/>
      <c r="GA49" s="21"/>
      <c r="GB49" s="21"/>
      <c r="GC49" s="21"/>
      <c r="GD49" s="21"/>
      <c r="GE49" s="21"/>
      <c r="GF49" s="21"/>
      <c r="GG49" s="21"/>
      <c r="GH49" s="21"/>
      <c r="GI49" s="21"/>
      <c r="GJ49" s="21"/>
      <c r="GK49" s="21"/>
      <c r="GL49" s="21"/>
      <c r="GM49" s="21"/>
      <c r="GN49" s="21"/>
      <c r="GO49" s="21"/>
      <c r="GP49" s="21"/>
      <c r="GQ49" s="21"/>
      <c r="GR49" s="21"/>
      <c r="GS49" s="21"/>
      <c r="GT49" s="21"/>
      <c r="GU49" s="21"/>
      <c r="GV49" s="21"/>
      <c r="GW49" s="21"/>
      <c r="GX49" s="21"/>
      <c r="GY49" s="21"/>
      <c r="GZ49" s="21"/>
      <c r="HA49" s="21"/>
      <c r="HB49" s="21"/>
      <c r="HC49" s="21"/>
      <c r="HD49" s="21"/>
      <c r="HE49" s="21"/>
      <c r="HF49" s="21"/>
      <c r="HG49" s="21"/>
      <c r="HH49" s="21"/>
      <c r="HI49" s="21"/>
      <c r="HJ49" s="21"/>
      <c r="HK49" s="21"/>
      <c r="HL49" s="21"/>
      <c r="HM49" s="21"/>
      <c r="HN49" s="21"/>
      <c r="HO49" s="21"/>
      <c r="HP49" s="21"/>
      <c r="HQ49" s="21"/>
      <c r="HR49" s="21"/>
      <c r="HS49" s="21"/>
      <c r="HT49" s="21"/>
      <c r="HU49" s="21"/>
      <c r="HV49" s="21"/>
      <c r="HW49" s="21"/>
      <c r="HX49" s="21"/>
      <c r="HY49" s="21"/>
      <c r="HZ49" s="21"/>
    </row>
    <row r="50" s="22" customFormat="true" ht="18" hidden="false" customHeight="true" outlineLevel="0" collapsed="false">
      <c r="A50" s="18"/>
      <c r="B50" s="17"/>
      <c r="C50" s="17"/>
      <c r="D50" s="18"/>
      <c r="E50" s="18"/>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c r="FA50" s="21"/>
      <c r="FB50" s="21"/>
      <c r="FC50" s="21"/>
      <c r="FD50" s="21"/>
      <c r="FE50" s="21"/>
      <c r="FF50" s="21"/>
      <c r="FG50" s="21"/>
      <c r="FH50" s="21"/>
      <c r="FI50" s="21"/>
      <c r="FJ50" s="21"/>
      <c r="FK50" s="21"/>
      <c r="FL50" s="21"/>
      <c r="FM50" s="21"/>
      <c r="FN50" s="21"/>
      <c r="FO50" s="21"/>
      <c r="FP50" s="21"/>
      <c r="FQ50" s="21"/>
      <c r="FR50" s="21"/>
      <c r="FS50" s="21"/>
      <c r="FT50" s="21"/>
      <c r="FU50" s="21"/>
      <c r="FV50" s="21"/>
      <c r="FW50" s="21"/>
      <c r="FX50" s="21"/>
      <c r="FY50" s="21"/>
      <c r="FZ50" s="21"/>
      <c r="GA50" s="21"/>
      <c r="GB50" s="21"/>
      <c r="GC50" s="21"/>
      <c r="GD50" s="21"/>
      <c r="GE50" s="21"/>
      <c r="GF50" s="21"/>
      <c r="GG50" s="21"/>
      <c r="GH50" s="21"/>
      <c r="GI50" s="21"/>
      <c r="GJ50" s="21"/>
      <c r="GK50" s="21"/>
      <c r="GL50" s="21"/>
      <c r="GM50" s="21"/>
      <c r="GN50" s="21"/>
      <c r="GO50" s="21"/>
      <c r="GP50" s="21"/>
      <c r="GQ50" s="21"/>
      <c r="GR50" s="21"/>
      <c r="GS50" s="21"/>
      <c r="GT50" s="21"/>
      <c r="GU50" s="21"/>
      <c r="GV50" s="21"/>
      <c r="GW50" s="21"/>
      <c r="GX50" s="21"/>
      <c r="GY50" s="21"/>
      <c r="GZ50" s="21"/>
      <c r="HA50" s="21"/>
      <c r="HB50" s="21"/>
      <c r="HC50" s="21"/>
      <c r="HD50" s="21"/>
      <c r="HE50" s="21"/>
      <c r="HF50" s="21"/>
      <c r="HG50" s="21"/>
      <c r="HH50" s="21"/>
      <c r="HI50" s="21"/>
      <c r="HJ50" s="21"/>
      <c r="HK50" s="21"/>
      <c r="HL50" s="21"/>
      <c r="HM50" s="21"/>
      <c r="HN50" s="21"/>
      <c r="HO50" s="21"/>
      <c r="HP50" s="21"/>
      <c r="HQ50" s="21"/>
      <c r="HR50" s="21"/>
      <c r="HS50" s="21"/>
      <c r="HT50" s="21"/>
      <c r="HU50" s="21"/>
      <c r="HV50" s="21"/>
      <c r="HW50" s="21"/>
      <c r="HX50" s="21"/>
      <c r="HY50" s="21"/>
      <c r="HZ50" s="21"/>
    </row>
    <row r="51" s="10" customFormat="true" ht="30" hidden="false" customHeight="true" outlineLevel="0" collapsed="false">
      <c r="A51" s="28" t="s">
        <v>52</v>
      </c>
      <c r="B51" s="24"/>
      <c r="C51" s="23" t="s">
        <v>53</v>
      </c>
      <c r="D51" s="26"/>
      <c r="E51" s="23" t="s">
        <v>54</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row>
    <row r="52" s="15" customFormat="true" ht="18" hidden="false" customHeight="true" outlineLevel="0" collapsed="false">
      <c r="A52" s="16" t="s">
        <v>55</v>
      </c>
      <c r="B52" s="17"/>
      <c r="C52" s="19" t="s">
        <v>56</v>
      </c>
      <c r="D52" s="18"/>
      <c r="E52" s="16" t="s">
        <v>57</v>
      </c>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row>
    <row r="53" s="15" customFormat="true" ht="18" hidden="false" customHeight="true" outlineLevel="0" collapsed="false">
      <c r="A53" s="16" t="s">
        <v>58</v>
      </c>
      <c r="B53" s="17"/>
      <c r="C53" s="19"/>
      <c r="D53" s="18"/>
      <c r="E53" s="16" t="s">
        <v>59</v>
      </c>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row>
    <row r="54" s="15" customFormat="true" ht="18" hidden="false" customHeight="true" outlineLevel="0" collapsed="false">
      <c r="A54" s="16" t="s">
        <v>60</v>
      </c>
      <c r="B54" s="17"/>
      <c r="C54" s="19"/>
      <c r="D54" s="18"/>
      <c r="E54" s="16" t="s">
        <v>61</v>
      </c>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row>
    <row r="55" s="15" customFormat="true" ht="18" hidden="false" customHeight="true" outlineLevel="0" collapsed="false">
      <c r="A55" s="16" t="s">
        <v>62</v>
      </c>
      <c r="B55" s="17"/>
      <c r="C55" s="20"/>
      <c r="D55" s="18"/>
      <c r="E55" s="16" t="s">
        <v>63</v>
      </c>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row>
    <row r="56" s="15" customFormat="true" ht="18" hidden="false" customHeight="true" outlineLevel="0" collapsed="false">
      <c r="A56" s="16" t="s">
        <v>64</v>
      </c>
      <c r="B56" s="17"/>
      <c r="C56" s="20"/>
      <c r="D56" s="18"/>
      <c r="E56" s="19"/>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row>
    <row r="57" s="15" customFormat="true" ht="18" hidden="false" customHeight="true" outlineLevel="0" collapsed="false">
      <c r="A57" s="19"/>
      <c r="B57" s="17"/>
      <c r="C57" s="20"/>
      <c r="D57" s="18"/>
      <c r="E57" s="19"/>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row>
    <row r="58" s="22" customFormat="true" ht="18" hidden="false" customHeight="true" outlineLevel="0" collapsed="false">
      <c r="A58" s="19"/>
      <c r="B58" s="17"/>
      <c r="C58" s="20"/>
      <c r="D58" s="18"/>
      <c r="E58" s="19"/>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21"/>
      <c r="DJ58" s="21"/>
      <c r="DK58" s="21"/>
      <c r="DL58" s="21"/>
      <c r="DM58" s="21"/>
      <c r="DN58" s="21"/>
      <c r="DO58" s="21"/>
      <c r="DP58" s="21"/>
      <c r="DQ58" s="21"/>
      <c r="DR58" s="21"/>
      <c r="DS58" s="21"/>
      <c r="DT58" s="21"/>
      <c r="DU58" s="21"/>
      <c r="DV58" s="21"/>
      <c r="DW58" s="21"/>
      <c r="DX58" s="21"/>
      <c r="DY58" s="21"/>
      <c r="DZ58" s="21"/>
      <c r="EA58" s="21"/>
      <c r="EB58" s="21"/>
      <c r="EC58" s="21"/>
      <c r="ED58" s="21"/>
      <c r="EE58" s="21"/>
      <c r="EF58" s="21"/>
      <c r="EG58" s="21"/>
      <c r="EH58" s="21"/>
      <c r="EI58" s="21"/>
      <c r="EJ58" s="21"/>
      <c r="EK58" s="21"/>
      <c r="EL58" s="21"/>
      <c r="EM58" s="21"/>
      <c r="EN58" s="21"/>
      <c r="EO58" s="21"/>
      <c r="EP58" s="21"/>
      <c r="EQ58" s="21"/>
      <c r="ER58" s="21"/>
      <c r="ES58" s="21"/>
      <c r="ET58" s="21"/>
      <c r="EU58" s="21"/>
      <c r="EV58" s="21"/>
      <c r="EW58" s="21"/>
      <c r="EX58" s="21"/>
      <c r="EY58" s="21"/>
      <c r="EZ58" s="21"/>
      <c r="FA58" s="21"/>
      <c r="FB58" s="21"/>
      <c r="FC58" s="21"/>
      <c r="FD58" s="21"/>
      <c r="FE58" s="21"/>
      <c r="FF58" s="21"/>
      <c r="FG58" s="21"/>
      <c r="FH58" s="21"/>
      <c r="FI58" s="21"/>
      <c r="FJ58" s="21"/>
      <c r="FK58" s="21"/>
      <c r="FL58" s="21"/>
      <c r="FM58" s="21"/>
      <c r="FN58" s="21"/>
      <c r="FO58" s="21"/>
      <c r="FP58" s="21"/>
      <c r="FQ58" s="21"/>
      <c r="FR58" s="21"/>
      <c r="FS58" s="21"/>
      <c r="FT58" s="21"/>
      <c r="FU58" s="21"/>
      <c r="FV58" s="21"/>
      <c r="FW58" s="21"/>
      <c r="FX58" s="21"/>
      <c r="FY58" s="21"/>
      <c r="FZ58" s="21"/>
      <c r="GA58" s="21"/>
      <c r="GB58" s="21"/>
      <c r="GC58" s="21"/>
      <c r="GD58" s="21"/>
      <c r="GE58" s="21"/>
      <c r="GF58" s="21"/>
      <c r="GG58" s="21"/>
      <c r="GH58" s="21"/>
      <c r="GI58" s="21"/>
      <c r="GJ58" s="21"/>
      <c r="GK58" s="21"/>
      <c r="GL58" s="21"/>
      <c r="GM58" s="21"/>
      <c r="GN58" s="21"/>
      <c r="GO58" s="21"/>
      <c r="GP58" s="21"/>
      <c r="GQ58" s="21"/>
      <c r="GR58" s="21"/>
      <c r="GS58" s="21"/>
      <c r="GT58" s="21"/>
      <c r="GU58" s="21"/>
      <c r="GV58" s="21"/>
      <c r="GW58" s="21"/>
      <c r="GX58" s="21"/>
      <c r="GY58" s="21"/>
      <c r="GZ58" s="21"/>
      <c r="HA58" s="21"/>
      <c r="HB58" s="21"/>
      <c r="HC58" s="21"/>
      <c r="HD58" s="21"/>
      <c r="HE58" s="21"/>
      <c r="HF58" s="21"/>
      <c r="HG58" s="21"/>
      <c r="HH58" s="21"/>
      <c r="HI58" s="21"/>
      <c r="HJ58" s="21"/>
      <c r="HK58" s="21"/>
      <c r="HL58" s="21"/>
      <c r="HM58" s="21"/>
      <c r="HN58" s="21"/>
      <c r="HO58" s="21"/>
      <c r="HP58" s="21"/>
      <c r="HQ58" s="21"/>
      <c r="HR58" s="21"/>
      <c r="HS58" s="21"/>
      <c r="HT58" s="21"/>
      <c r="HU58" s="21"/>
      <c r="HV58" s="21"/>
      <c r="HW58" s="21"/>
      <c r="HX58" s="21"/>
      <c r="HY58" s="21"/>
      <c r="HZ58" s="21"/>
    </row>
    <row r="59" s="22" customFormat="true" ht="18" hidden="false" customHeight="true" outlineLevel="0" collapsed="false">
      <c r="A59" s="18"/>
      <c r="B59" s="17"/>
      <c r="C59" s="17"/>
      <c r="D59" s="18"/>
      <c r="E59" s="18"/>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c r="FA59" s="21"/>
      <c r="FB59" s="21"/>
      <c r="FC59" s="21"/>
      <c r="FD59" s="21"/>
      <c r="FE59" s="21"/>
      <c r="FF59" s="21"/>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c r="GE59" s="21"/>
      <c r="GF59" s="21"/>
      <c r="GG59" s="21"/>
      <c r="GH59" s="21"/>
      <c r="GI59" s="21"/>
      <c r="GJ59" s="21"/>
      <c r="GK59" s="21"/>
      <c r="GL59" s="21"/>
      <c r="GM59" s="21"/>
      <c r="GN59" s="21"/>
      <c r="GO59" s="21"/>
      <c r="GP59" s="21"/>
      <c r="GQ59" s="21"/>
      <c r="GR59" s="21"/>
      <c r="GS59" s="21"/>
      <c r="GT59" s="21"/>
      <c r="GU59" s="21"/>
      <c r="GV59" s="21"/>
      <c r="GW59" s="21"/>
      <c r="GX59" s="21"/>
      <c r="GY59" s="21"/>
      <c r="GZ59" s="21"/>
      <c r="HA59" s="21"/>
      <c r="HB59" s="21"/>
      <c r="HC59" s="21"/>
      <c r="HD59" s="21"/>
      <c r="HE59" s="21"/>
      <c r="HF59" s="21"/>
      <c r="HG59" s="21"/>
      <c r="HH59" s="21"/>
      <c r="HI59" s="21"/>
      <c r="HJ59" s="21"/>
      <c r="HK59" s="21"/>
      <c r="HL59" s="21"/>
      <c r="HM59" s="21"/>
      <c r="HN59" s="21"/>
      <c r="HO59" s="21"/>
      <c r="HP59" s="21"/>
      <c r="HQ59" s="21"/>
      <c r="HR59" s="21"/>
      <c r="HS59" s="21"/>
      <c r="HT59" s="21"/>
      <c r="HU59" s="21"/>
      <c r="HV59" s="21"/>
      <c r="HW59" s="21"/>
      <c r="HX59" s="21"/>
      <c r="HY59" s="21"/>
      <c r="HZ59" s="21"/>
    </row>
    <row r="60" s="10" customFormat="true" ht="30" hidden="false" customHeight="true" outlineLevel="0" collapsed="false">
      <c r="A60" s="23" t="s">
        <v>65</v>
      </c>
      <c r="B60" s="24"/>
      <c r="C60" s="23"/>
      <c r="D60" s="26"/>
      <c r="E60" s="23"/>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row>
    <row r="61" s="15" customFormat="true" ht="18" hidden="false" customHeight="true" outlineLevel="0" collapsed="false">
      <c r="A61" s="16" t="s">
        <v>66</v>
      </c>
      <c r="B61" s="17"/>
      <c r="C61" s="19"/>
      <c r="D61" s="18"/>
      <c r="E61" s="19"/>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row>
    <row r="62" s="15" customFormat="true" ht="18" hidden="false" customHeight="true" outlineLevel="0" collapsed="false">
      <c r="A62" s="16" t="s">
        <v>67</v>
      </c>
      <c r="B62" s="17"/>
      <c r="C62" s="19"/>
      <c r="D62" s="18"/>
      <c r="E62" s="19"/>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row>
    <row r="63" s="15" customFormat="true" ht="18" hidden="false" customHeight="true" outlineLevel="0" collapsed="false">
      <c r="A63" s="19"/>
      <c r="B63" s="17"/>
      <c r="C63" s="19"/>
      <c r="D63" s="18"/>
      <c r="E63" s="19"/>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row>
    <row r="64" s="22" customFormat="true" ht="18" hidden="false" customHeight="true" outlineLevel="0" collapsed="false">
      <c r="A64" s="19"/>
      <c r="B64" s="29"/>
      <c r="C64" s="30"/>
      <c r="D64" s="31"/>
      <c r="E64" s="32"/>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1"/>
      <c r="DJ64" s="21"/>
      <c r="DK64" s="21"/>
      <c r="DL64" s="21"/>
      <c r="DM64" s="21"/>
      <c r="DN64" s="21"/>
      <c r="DO64" s="21"/>
      <c r="DP64" s="21"/>
      <c r="DQ64" s="21"/>
      <c r="DR64" s="21"/>
      <c r="DS64" s="21"/>
      <c r="DT64" s="21"/>
      <c r="DU64" s="21"/>
      <c r="DV64" s="21"/>
      <c r="DW64" s="21"/>
      <c r="DX64" s="21"/>
      <c r="DY64" s="21"/>
      <c r="DZ64" s="21"/>
      <c r="EA64" s="21"/>
      <c r="EB64" s="21"/>
      <c r="EC64" s="21"/>
      <c r="ED64" s="21"/>
      <c r="EE64" s="21"/>
      <c r="EF64" s="21"/>
      <c r="EG64" s="21"/>
      <c r="EH64" s="21"/>
      <c r="EI64" s="21"/>
      <c r="EJ64" s="21"/>
      <c r="EK64" s="21"/>
      <c r="EL64" s="21"/>
      <c r="EM64" s="21"/>
      <c r="EN64" s="21"/>
      <c r="EO64" s="21"/>
      <c r="EP64" s="21"/>
      <c r="EQ64" s="21"/>
      <c r="ER64" s="21"/>
      <c r="ES64" s="21"/>
      <c r="ET64" s="21"/>
      <c r="EU64" s="21"/>
      <c r="EV64" s="21"/>
      <c r="EW64" s="21"/>
      <c r="EX64" s="21"/>
      <c r="EY64" s="21"/>
      <c r="EZ64" s="21"/>
      <c r="FA64" s="21"/>
      <c r="FB64" s="21"/>
      <c r="FC64" s="21"/>
      <c r="FD64" s="21"/>
      <c r="FE64" s="21"/>
      <c r="FF64" s="21"/>
      <c r="FG64" s="21"/>
      <c r="FH64" s="21"/>
      <c r="FI64" s="21"/>
      <c r="FJ64" s="21"/>
      <c r="FK64" s="21"/>
      <c r="FL64" s="21"/>
      <c r="FM64" s="21"/>
      <c r="FN64" s="21"/>
      <c r="FO64" s="21"/>
      <c r="FP64" s="21"/>
      <c r="FQ64" s="21"/>
      <c r="FR64" s="21"/>
      <c r="FS64" s="21"/>
      <c r="FT64" s="21"/>
      <c r="FU64" s="21"/>
      <c r="FV64" s="21"/>
      <c r="FW64" s="21"/>
      <c r="FX64" s="21"/>
      <c r="FY64" s="21"/>
      <c r="FZ64" s="21"/>
      <c r="GA64" s="21"/>
      <c r="GB64" s="21"/>
      <c r="GC64" s="21"/>
      <c r="GD64" s="21"/>
      <c r="GE64" s="21"/>
      <c r="GF64" s="21"/>
      <c r="GG64" s="21"/>
      <c r="GH64" s="21"/>
      <c r="GI64" s="21"/>
      <c r="GJ64" s="21"/>
      <c r="GK64" s="21"/>
      <c r="GL64" s="21"/>
      <c r="GM64" s="21"/>
      <c r="GN64" s="21"/>
      <c r="GO64" s="21"/>
      <c r="GP64" s="21"/>
      <c r="GQ64" s="21"/>
      <c r="GR64" s="21"/>
      <c r="GS64" s="21"/>
      <c r="GT64" s="21"/>
      <c r="GU64" s="21"/>
      <c r="GV64" s="21"/>
      <c r="GW64" s="21"/>
      <c r="GX64" s="21"/>
      <c r="GY64" s="21"/>
      <c r="GZ64" s="21"/>
      <c r="HA64" s="21"/>
      <c r="HB64" s="21"/>
      <c r="HC64" s="21"/>
      <c r="HD64" s="21"/>
      <c r="HE64" s="21"/>
      <c r="HF64" s="21"/>
      <c r="HG64" s="21"/>
      <c r="HH64" s="21"/>
      <c r="HI64" s="21"/>
      <c r="HJ64" s="21"/>
      <c r="HK64" s="21"/>
      <c r="HL64" s="21"/>
      <c r="HM64" s="21"/>
      <c r="HN64" s="21"/>
      <c r="HO64" s="21"/>
      <c r="HP64" s="21"/>
      <c r="HQ64" s="21"/>
      <c r="HR64" s="21"/>
      <c r="HS64" s="21"/>
      <c r="HT64" s="21"/>
      <c r="HU64" s="21"/>
      <c r="HV64" s="21"/>
      <c r="HW64" s="21"/>
      <c r="HX64" s="21"/>
      <c r="HY64" s="21"/>
      <c r="HZ64" s="21"/>
    </row>
    <row r="65" s="22" customFormat="true" ht="18" hidden="false" customHeight="true" outlineLevel="0" collapsed="false">
      <c r="A65" s="32"/>
      <c r="B65" s="29"/>
      <c r="C65" s="30"/>
      <c r="D65" s="31"/>
      <c r="E65" s="32"/>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c r="DJ65" s="21"/>
      <c r="DK65" s="21"/>
      <c r="DL65" s="21"/>
      <c r="DM65" s="21"/>
      <c r="DN65" s="21"/>
      <c r="DO65" s="21"/>
      <c r="DP65" s="21"/>
      <c r="DQ65" s="21"/>
      <c r="DR65" s="21"/>
      <c r="DS65" s="21"/>
      <c r="DT65" s="21"/>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21"/>
      <c r="FA65" s="21"/>
      <c r="FB65" s="21"/>
      <c r="FC65" s="21"/>
      <c r="FD65" s="21"/>
      <c r="FE65" s="21"/>
      <c r="FF65" s="21"/>
      <c r="FG65" s="21"/>
      <c r="FH65" s="21"/>
      <c r="FI65" s="21"/>
      <c r="FJ65" s="21"/>
      <c r="FK65" s="21"/>
      <c r="FL65" s="21"/>
      <c r="FM65" s="21"/>
      <c r="FN65" s="21"/>
      <c r="FO65" s="21"/>
      <c r="FP65" s="21"/>
      <c r="FQ65" s="21"/>
      <c r="FR65" s="21"/>
      <c r="FS65" s="21"/>
      <c r="FT65" s="21"/>
      <c r="FU65" s="21"/>
      <c r="FV65" s="21"/>
      <c r="FW65" s="21"/>
      <c r="FX65" s="21"/>
      <c r="FY65" s="21"/>
      <c r="FZ65" s="21"/>
      <c r="GA65" s="21"/>
      <c r="GB65" s="21"/>
      <c r="GC65" s="21"/>
      <c r="GD65" s="21"/>
      <c r="GE65" s="21"/>
      <c r="GF65" s="21"/>
      <c r="GG65" s="21"/>
      <c r="GH65" s="21"/>
      <c r="GI65" s="21"/>
      <c r="GJ65" s="21"/>
      <c r="GK65" s="21"/>
      <c r="GL65" s="21"/>
      <c r="GM65" s="21"/>
      <c r="GN65" s="21"/>
      <c r="GO65" s="21"/>
      <c r="GP65" s="21"/>
      <c r="GQ65" s="21"/>
      <c r="GR65" s="21"/>
      <c r="GS65" s="21"/>
      <c r="GT65" s="21"/>
      <c r="GU65" s="21"/>
      <c r="GV65" s="21"/>
      <c r="GW65" s="21"/>
      <c r="GX65" s="21"/>
      <c r="GY65" s="21"/>
      <c r="GZ65" s="21"/>
      <c r="HA65" s="21"/>
      <c r="HB65" s="21"/>
      <c r="HC65" s="21"/>
      <c r="HD65" s="21"/>
      <c r="HE65" s="21"/>
      <c r="HF65" s="21"/>
      <c r="HG65" s="21"/>
      <c r="HH65" s="21"/>
      <c r="HI65" s="21"/>
      <c r="HJ65" s="21"/>
      <c r="HK65" s="21"/>
      <c r="HL65" s="21"/>
      <c r="HM65" s="21"/>
      <c r="HN65" s="21"/>
      <c r="HO65" s="21"/>
      <c r="HP65" s="21"/>
      <c r="HQ65" s="21"/>
      <c r="HR65" s="21"/>
      <c r="HS65" s="21"/>
      <c r="HT65" s="21"/>
      <c r="HU65" s="21"/>
      <c r="HV65" s="21"/>
      <c r="HW65" s="21"/>
      <c r="HX65" s="21"/>
      <c r="HY65" s="21"/>
      <c r="HZ65" s="21"/>
    </row>
    <row r="66" s="22" customFormat="true" ht="18" hidden="false" customHeight="true" outlineLevel="0" collapsed="false">
      <c r="A66" s="32"/>
      <c r="B66" s="29"/>
      <c r="C66" s="30"/>
      <c r="D66" s="31"/>
      <c r="E66" s="32"/>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1"/>
      <c r="DJ66" s="21"/>
      <c r="DK66" s="21"/>
      <c r="DL66" s="21"/>
      <c r="DM66" s="21"/>
      <c r="DN66" s="21"/>
      <c r="DO66" s="21"/>
      <c r="DP66" s="21"/>
      <c r="DQ66" s="21"/>
      <c r="DR66" s="21"/>
      <c r="DS66" s="21"/>
      <c r="DT66" s="21"/>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21"/>
      <c r="FA66" s="21"/>
      <c r="FB66" s="21"/>
      <c r="FC66" s="21"/>
      <c r="FD66" s="21"/>
      <c r="FE66" s="21"/>
      <c r="FF66" s="21"/>
      <c r="FG66" s="21"/>
      <c r="FH66" s="21"/>
      <c r="FI66" s="21"/>
      <c r="FJ66" s="21"/>
      <c r="FK66" s="21"/>
      <c r="FL66" s="21"/>
      <c r="FM66" s="21"/>
      <c r="FN66" s="21"/>
      <c r="FO66" s="21"/>
      <c r="FP66" s="21"/>
      <c r="FQ66" s="21"/>
      <c r="FR66" s="21"/>
      <c r="FS66" s="21"/>
      <c r="FT66" s="21"/>
      <c r="FU66" s="21"/>
      <c r="FV66" s="21"/>
      <c r="FW66" s="21"/>
      <c r="FX66" s="21"/>
      <c r="FY66" s="21"/>
      <c r="FZ66" s="21"/>
      <c r="GA66" s="21"/>
      <c r="GB66" s="21"/>
      <c r="GC66" s="21"/>
      <c r="GD66" s="21"/>
      <c r="GE66" s="21"/>
      <c r="GF66" s="21"/>
      <c r="GG66" s="21"/>
      <c r="GH66" s="21"/>
      <c r="GI66" s="21"/>
      <c r="GJ66" s="21"/>
      <c r="GK66" s="21"/>
      <c r="GL66" s="21"/>
      <c r="GM66" s="21"/>
      <c r="GN66" s="21"/>
      <c r="GO66" s="21"/>
      <c r="GP66" s="21"/>
      <c r="GQ66" s="21"/>
      <c r="GR66" s="21"/>
      <c r="GS66" s="21"/>
      <c r="GT66" s="21"/>
      <c r="GU66" s="21"/>
      <c r="GV66" s="21"/>
      <c r="GW66" s="21"/>
      <c r="GX66" s="21"/>
      <c r="GY66" s="21"/>
      <c r="GZ66" s="21"/>
      <c r="HA66" s="21"/>
      <c r="HB66" s="21"/>
      <c r="HC66" s="21"/>
      <c r="HD66" s="21"/>
      <c r="HE66" s="21"/>
      <c r="HF66" s="21"/>
      <c r="HG66" s="21"/>
      <c r="HH66" s="21"/>
      <c r="HI66" s="21"/>
      <c r="HJ66" s="21"/>
      <c r="HK66" s="21"/>
      <c r="HL66" s="21"/>
      <c r="HM66" s="21"/>
      <c r="HN66" s="21"/>
      <c r="HO66" s="21"/>
      <c r="HP66" s="21"/>
      <c r="HQ66" s="21"/>
      <c r="HR66" s="21"/>
      <c r="HS66" s="21"/>
      <c r="HT66" s="21"/>
      <c r="HU66" s="21"/>
      <c r="HV66" s="21"/>
      <c r="HW66" s="21"/>
      <c r="HX66" s="21"/>
      <c r="HY66" s="21"/>
      <c r="HZ66" s="21"/>
    </row>
    <row r="67" s="22" customFormat="true" ht="18" hidden="false" customHeight="true" outlineLevel="0" collapsed="false">
      <c r="A67" s="32"/>
      <c r="B67" s="29"/>
      <c r="C67" s="30"/>
      <c r="D67" s="31"/>
      <c r="E67" s="32"/>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c r="HS67" s="21"/>
      <c r="HT67" s="21"/>
      <c r="HU67" s="21"/>
      <c r="HV67" s="21"/>
      <c r="HW67" s="21"/>
      <c r="HX67" s="21"/>
      <c r="HY67" s="21"/>
      <c r="HZ67" s="21"/>
    </row>
  </sheetData>
  <mergeCells count="2">
    <mergeCell ref="A1:E1"/>
    <mergeCell ref="A2:E2"/>
  </mergeCells>
  <hyperlinks>
    <hyperlink ref="A4" location="a" display="Многозарядные кабели"/>
    <hyperlink ref="C4" location="FHseries1" display="Серия FH (док-станция расширения USB-HUB)"/>
    <hyperlink ref="E4" location="СерияBJ" display="Серия BJ (настоящий стандарт)"/>
    <hyperlink ref="A5" location="b" display="Силиконовые кабели (первые в отрасли)"/>
    <hyperlink ref="C5" location="СерияDH" display="Серия DH (док-станция расширения USB-HUB)"/>
    <hyperlink ref="C6" location="СерияBV1" display="Серия BV (аудиоадаптер)"/>
    <hyperlink ref="A7" location="bx系列" display="Серия BX (высокая соотношение цены и качества)"/>
    <hyperlink ref="C7" location="СерияBUS" display="Серия BUS"/>
    <hyperlink ref="A15" location="危包证" display="С сертификатом «Опасный багаж»"/>
    <hyperlink ref="C15" location="eu认证" display="EU штекер (сертификация CE и RoHS)"/>
    <hyperlink ref="E15" location="bq无线充" display="держатель с беспроводной зарядкой (Серия BQ )"/>
    <hyperlink ref="A16" location="非限制性" display="Неопасные товары"/>
    <hyperlink ref="C16" location="EU大系列" display="EU штекер（Частная модельная серия）"/>
    <hyperlink ref="E16" location="bh桌面支架" display="настольная подставка (Серия BH)"/>
    <hyperlink ref="C17" location="EU非认证" display="EU штекер "/>
    <hyperlink ref="E17" location="自拍杆" display="подставка для прямой трансляции (BH/BY series)"/>
    <hyperlink ref="A24" location="bh无线充车载" display="апвтомобильный держатель с беспроводной зарядкой"/>
    <hyperlink ref="C24" location="车载用品fc" display="Автомобильные аксессуары"/>
    <hyperlink ref="E24" location="单耳" display="Серия BC(Гарнитура BT для одного уха)"/>
    <hyperlink ref="A25" location="车载支架bh" display="Автомобильный держатель"/>
    <hyperlink ref="C25" location="车充1" display="Автомобильное зарядное устройство"/>
    <hyperlink ref="E25" location="双耳" display="Серия BE(Спортивная гарнитура BT)"/>
    <hyperlink ref="E26" location="游戏" display="Серия BO(игровые наушники)"/>
    <hyperlink ref="E27" location="头戴耳机1" display="Серия BO（Наушники）"/>
    <hyperlink ref="E28" location="苹果耳机" display="Проводные наушники для iP (для iP интерфейса)"/>
    <hyperlink ref="E29" location="TypeC耳机" display="Проводные наушники для Type-C (интерфейс Type-C)"/>
    <hyperlink ref="E30" location="圆孔耳机1" display="Проводные наушники на 3,5 мм (интерфейс 3,5 мм)"/>
    <hyperlink ref="A34" location="СерияFQ" display="Серия FQ"/>
    <hyperlink ref="C34" location="ДинамикисериBR" display="Cерия BR (Динамики )"/>
    <hyperlink ref="A35" location="СерияBW" display="Серия BW"/>
    <hyperlink ref="E35" location="音频线" display="Серия BL (аудиокабели)"/>
    <hyperlink ref="E36" location="防丢器1" display="Анти-потерянное устройство"/>
    <hyperlink ref="E37" location="接收器" display="Автомобильный BT-ресивер"/>
    <hyperlink ref="A43" location="bg系列" display="Серия BG"/>
    <hyperlink ref="E43" location="苹果17保护膜" display="Закаленное стекло"/>
    <hyperlink ref="A52" location="iP16系列" display="Серия iP 16"/>
    <hyperlink ref="E52" location="大象宝华膜" display="Закаленное стекло-пленка (для iP, Samsung, Huawei и др.)"/>
    <hyperlink ref="A53" location="iP15系列" display="Серия iP 15"/>
    <hyperlink ref="E53" location="bf5保护膜" display="Серия BF5"/>
    <hyperlink ref="A54" location="iP14系列" display="Серия iP 14"/>
    <hyperlink ref="E54" location="bf4保护膜" display="Серия BF4"/>
    <hyperlink ref="A55" location="iP12系列" display="Серия iP 12"/>
    <hyperlink ref="E55" location="bf3保护膜" display="Серия BF3"/>
    <hyperlink ref="A56" location="iPx11系列" display="Серия iP X/11"/>
    <hyperlink ref="A61" location="物料" display="магазина"/>
    <hyperlink ref="A62" location="货架" display="Полки"/>
  </hyperlinks>
  <printOptions headings="false" gridLines="false" gridLinesSet="true" horizontalCentered="false" verticalCentered="false"/>
  <pageMargins left="0.75" right="0.75" top="0.590277777777778" bottom="0.550694444444445" header="0.511811023622047" footer="0.511811023622047"/>
  <pageSetup paperSize="9" scale="68"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203"/>
  <sheetViews>
    <sheetView showFormulas="false" showGridLines="false" showRowColHeaders="true" showZeros="true" rightToLeft="false" tabSelected="tru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33" width="46"/>
    <col collapsed="false" customWidth="true" hidden="false" outlineLevel="0" max="3" min="2" style="34" width="18"/>
    <col collapsed="false" customWidth="true" hidden="false" outlineLevel="0" max="4" min="4" style="35" width="20"/>
    <col collapsed="false" customWidth="true" hidden="false" outlineLevel="0" max="5" min="5" style="35"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9" min="9" style="37" width="6.37"/>
    <col collapsed="false" customWidth="true" hidden="false" outlineLevel="0" max="10" min="10" style="38" width="6.51"/>
    <col collapsed="false" customWidth="true" hidden="false" outlineLevel="0" max="11" min="11" style="37" width="9.7"/>
    <col collapsed="false" customWidth="true" hidden="false" outlineLevel="0" max="12" min="12" style="39" width="9.7"/>
    <col collapsed="false" customWidth="true" hidden="false" outlineLevel="0" max="13" min="13" style="39" width="11.7"/>
    <col collapsed="false" customWidth="true" hidden="false" outlineLevel="0" max="14" min="14" style="39" width="6.63"/>
    <col collapsed="false" customWidth="true" hidden="false" outlineLevel="0" max="15" min="15" style="39" width="11.7"/>
    <col collapsed="false" customWidth="true" hidden="false" outlineLevel="0" max="16" min="16" style="40" width="6.37"/>
    <col collapsed="false" customWidth="true" hidden="false" outlineLevel="0" max="17" min="17" style="39" width="70"/>
    <col collapsed="false" customWidth="true" hidden="false" outlineLevel="0" max="19" min="18" style="41" width="10.37"/>
    <col collapsed="false" customWidth="true" hidden="false" outlineLevel="0" max="20" min="20" style="42" width="7.37"/>
    <col collapsed="false" customWidth="true" hidden="false" outlineLevel="0" max="21" min="21" style="34" width="11.12"/>
    <col collapsed="false" customWidth="true" hidden="false" outlineLevel="0" max="28" min="22" style="34" width="9"/>
    <col collapsed="false" customWidth="false" hidden="false" outlineLevel="0" max="98" min="29"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44"/>
    </row>
    <row r="2" s="4" customFormat="true" ht="30" hidden="false" customHeight="true" outlineLevel="0" collapsed="false">
      <c r="A2" s="45" t="s">
        <v>1</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c r="T3" s="48"/>
    </row>
    <row r="4" s="50" customFormat="true" ht="27" hidden="false" customHeight="true" outlineLevel="1" collapsed="false">
      <c r="A4" s="49" t="s">
        <v>4</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62" customFormat="true" ht="115" hidden="false" customHeight="true" outlineLevel="2" collapsed="false">
      <c r="A5" s="51" t="s">
        <v>87</v>
      </c>
      <c r="B5" s="52"/>
      <c r="C5" s="52"/>
      <c r="D5" s="53" t="s">
        <v>88</v>
      </c>
      <c r="E5" s="53" t="s">
        <v>89</v>
      </c>
      <c r="F5" s="54" t="n">
        <v>97.86</v>
      </c>
      <c r="G5" s="55"/>
      <c r="H5" s="56" t="str">
        <f aca="false">IF(ISBLANK(G5),"",IF(ISNUMBER(F5),ROUND(F5*G5,2),"Укажите цену"))</f>
        <v/>
      </c>
      <c r="I5" s="57" t="n">
        <v>53</v>
      </c>
      <c r="J5" s="57" t="n">
        <v>21.2</v>
      </c>
      <c r="K5" s="57" t="s">
        <v>90</v>
      </c>
      <c r="L5" s="57" t="s">
        <v>91</v>
      </c>
      <c r="M5" s="57" t="s">
        <v>92</v>
      </c>
      <c r="N5" s="57" t="n">
        <v>360</v>
      </c>
      <c r="O5" s="57" t="s">
        <v>93</v>
      </c>
      <c r="P5" s="58" t="n">
        <v>0.133</v>
      </c>
      <c r="Q5" s="59" t="s">
        <v>94</v>
      </c>
      <c r="R5" s="60" t="s">
        <v>95</v>
      </c>
      <c r="S5" s="60" t="s">
        <v>96</v>
      </c>
      <c r="T5" s="61"/>
      <c r="U5" s="61"/>
      <c r="V5" s="61"/>
      <c r="W5" s="61"/>
      <c r="X5" s="61"/>
      <c r="Y5" s="61"/>
      <c r="Z5" s="61"/>
    </row>
    <row r="6" s="62" customFormat="true" ht="60" hidden="false" customHeight="true" outlineLevel="2" collapsed="false">
      <c r="A6" s="63" t="s">
        <v>97</v>
      </c>
      <c r="B6" s="52"/>
      <c r="C6" s="52"/>
      <c r="D6" s="53" t="s">
        <v>98</v>
      </c>
      <c r="E6" s="53" t="s">
        <v>89</v>
      </c>
      <c r="F6" s="54" t="n">
        <v>89.7</v>
      </c>
      <c r="G6" s="55"/>
      <c r="H6" s="56" t="str">
        <f aca="false">IF(ISBLANK(G6),"",IF(ISNUMBER(F6),ROUND(F6*G6,2),"Укажите цену"))</f>
        <v/>
      </c>
      <c r="I6" s="57" t="n">
        <v>62</v>
      </c>
      <c r="J6" s="26" t="n">
        <v>24.6</v>
      </c>
      <c r="K6" s="57" t="s">
        <v>99</v>
      </c>
      <c r="L6" s="57" t="s">
        <v>91</v>
      </c>
      <c r="M6" s="57" t="s">
        <v>92</v>
      </c>
      <c r="N6" s="57" t="n">
        <v>360</v>
      </c>
      <c r="O6" s="57" t="s">
        <v>93</v>
      </c>
      <c r="P6" s="58" t="n">
        <v>0.133</v>
      </c>
      <c r="Q6" s="59" t="s">
        <v>100</v>
      </c>
      <c r="R6" s="60" t="s">
        <v>101</v>
      </c>
      <c r="S6" s="60" t="s">
        <v>96</v>
      </c>
      <c r="T6" s="61"/>
      <c r="U6" s="61"/>
      <c r="V6" s="61"/>
      <c r="W6" s="61"/>
      <c r="X6" s="61"/>
      <c r="Y6" s="61"/>
      <c r="Z6" s="61"/>
    </row>
    <row r="7" s="62" customFormat="true" ht="60" hidden="false" customHeight="true" outlineLevel="2" collapsed="false">
      <c r="A7" s="63"/>
      <c r="B7" s="52"/>
      <c r="C7" s="52"/>
      <c r="D7" s="53" t="s">
        <v>102</v>
      </c>
      <c r="E7" s="53" t="s">
        <v>103</v>
      </c>
      <c r="F7" s="54" t="n">
        <v>89.7</v>
      </c>
      <c r="G7" s="55"/>
      <c r="H7" s="56" t="str">
        <f aca="false">IF(ISBLANK(G7),"",IF(ISNUMBER(F7),ROUND(F7*G7,2),"Укажите цену"))</f>
        <v/>
      </c>
      <c r="I7" s="57"/>
      <c r="J7" s="26"/>
      <c r="K7" s="57"/>
      <c r="L7" s="57"/>
      <c r="M7" s="57"/>
      <c r="N7" s="57"/>
      <c r="O7" s="57"/>
      <c r="P7" s="57"/>
      <c r="Q7" s="59"/>
      <c r="R7" s="60"/>
      <c r="S7" s="60"/>
      <c r="T7" s="61"/>
      <c r="U7" s="61"/>
      <c r="V7" s="61"/>
      <c r="W7" s="61"/>
      <c r="X7" s="61"/>
      <c r="Y7" s="61"/>
      <c r="Z7" s="61"/>
    </row>
    <row r="8" s="50" customFormat="true" ht="6" hidden="false" customHeight="true" outlineLevel="2" collapsed="false">
      <c r="A8" s="64"/>
      <c r="B8" s="64"/>
      <c r="C8" s="64"/>
      <c r="D8" s="64"/>
      <c r="E8" s="64"/>
      <c r="F8" s="64"/>
      <c r="G8" s="64"/>
      <c r="H8" s="64"/>
      <c r="I8" s="64"/>
      <c r="J8" s="64"/>
      <c r="K8" s="64"/>
      <c r="L8" s="64"/>
      <c r="M8" s="64"/>
      <c r="N8" s="64"/>
      <c r="O8" s="64"/>
      <c r="P8" s="64"/>
      <c r="Q8" s="64"/>
      <c r="R8" s="64"/>
      <c r="S8" s="64"/>
      <c r="T8" s="61"/>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c r="DK8" s="65"/>
      <c r="DL8" s="65"/>
      <c r="DM8" s="65"/>
      <c r="DN8" s="65"/>
      <c r="DO8" s="65"/>
      <c r="DP8" s="65"/>
      <c r="DQ8" s="65"/>
      <c r="DR8" s="65"/>
      <c r="DS8" s="65"/>
      <c r="DT8" s="65"/>
      <c r="DU8" s="65"/>
      <c r="DV8" s="65"/>
      <c r="DW8" s="65"/>
      <c r="DX8" s="65"/>
      <c r="DY8" s="65"/>
      <c r="DZ8" s="65"/>
      <c r="EA8" s="65"/>
      <c r="EB8" s="65"/>
      <c r="EC8" s="65"/>
      <c r="ED8" s="65"/>
      <c r="EE8" s="65"/>
      <c r="EF8" s="65"/>
      <c r="EG8" s="65"/>
      <c r="EH8" s="65"/>
      <c r="EI8" s="65"/>
      <c r="EJ8" s="65"/>
      <c r="EK8" s="65"/>
      <c r="EL8" s="65"/>
      <c r="EM8" s="65"/>
      <c r="EN8" s="65"/>
      <c r="EO8" s="65"/>
      <c r="EP8" s="65"/>
      <c r="EQ8" s="65"/>
      <c r="ER8" s="65"/>
      <c r="ES8" s="65"/>
      <c r="ET8" s="65"/>
      <c r="EU8" s="65"/>
      <c r="EV8" s="65"/>
      <c r="EW8" s="65"/>
      <c r="EX8" s="65"/>
      <c r="EY8" s="65"/>
      <c r="EZ8" s="65"/>
      <c r="FA8" s="65"/>
      <c r="FB8" s="65"/>
      <c r="FC8" s="65"/>
      <c r="FD8" s="65"/>
      <c r="FE8" s="65"/>
      <c r="FF8" s="65"/>
      <c r="FG8" s="65"/>
      <c r="FH8" s="65"/>
      <c r="FI8" s="65"/>
      <c r="FJ8" s="65"/>
      <c r="FK8" s="65"/>
      <c r="FL8" s="65"/>
      <c r="FM8" s="65"/>
      <c r="FN8" s="65"/>
      <c r="FO8" s="65"/>
      <c r="FP8" s="65"/>
      <c r="FQ8" s="65"/>
      <c r="FR8" s="65"/>
      <c r="FS8" s="65"/>
      <c r="FT8" s="65"/>
      <c r="FU8" s="65"/>
      <c r="FV8" s="65"/>
      <c r="FW8" s="65"/>
      <c r="FX8" s="65"/>
      <c r="FY8" s="65"/>
      <c r="FZ8" s="65"/>
      <c r="GA8" s="65"/>
      <c r="GB8" s="65"/>
      <c r="GC8" s="65"/>
      <c r="GD8" s="65"/>
      <c r="GE8" s="65"/>
      <c r="GF8" s="65"/>
      <c r="GG8" s="65"/>
      <c r="GH8" s="65"/>
      <c r="GI8" s="65"/>
      <c r="GJ8" s="65"/>
      <c r="GK8" s="65"/>
      <c r="GL8" s="65"/>
      <c r="GM8" s="65"/>
      <c r="GN8" s="65"/>
      <c r="GO8" s="65"/>
      <c r="GP8" s="65"/>
      <c r="GQ8" s="65"/>
      <c r="GR8" s="65"/>
      <c r="GS8" s="65"/>
      <c r="GT8" s="65"/>
      <c r="GU8" s="65"/>
      <c r="GV8" s="65"/>
      <c r="GW8" s="65"/>
      <c r="GX8" s="65"/>
      <c r="GY8" s="65"/>
      <c r="GZ8" s="65"/>
      <c r="HA8" s="65"/>
      <c r="HB8" s="65"/>
      <c r="HC8" s="65"/>
      <c r="HD8" s="65"/>
      <c r="HE8" s="65"/>
      <c r="HF8" s="65"/>
      <c r="HG8" s="65"/>
      <c r="HH8" s="65"/>
      <c r="HI8" s="65"/>
      <c r="HJ8" s="65"/>
      <c r="HK8" s="65"/>
      <c r="HL8" s="65"/>
      <c r="HM8" s="65"/>
      <c r="HN8" s="65"/>
      <c r="HO8" s="65"/>
      <c r="HP8" s="65"/>
      <c r="HQ8" s="65"/>
      <c r="HR8" s="65"/>
      <c r="HS8" s="65"/>
      <c r="HT8" s="65"/>
      <c r="HU8" s="65"/>
      <c r="HV8" s="65"/>
      <c r="HW8" s="65"/>
      <c r="HX8" s="65"/>
      <c r="HY8" s="66"/>
      <c r="HZ8" s="67"/>
      <c r="IA8" s="67"/>
      <c r="IB8" s="67"/>
      <c r="IC8" s="67"/>
      <c r="ID8" s="67"/>
      <c r="IE8" s="67"/>
      <c r="IF8" s="67"/>
      <c r="IG8" s="67"/>
      <c r="IH8" s="67"/>
      <c r="II8" s="67"/>
      <c r="IJ8" s="67"/>
      <c r="IK8" s="67"/>
      <c r="IL8" s="67"/>
      <c r="IM8" s="67"/>
      <c r="IN8" s="67"/>
      <c r="IO8" s="67"/>
      <c r="IP8" s="67"/>
      <c r="IQ8" s="67"/>
      <c r="IR8" s="67"/>
      <c r="IS8" s="67"/>
      <c r="IT8" s="67"/>
      <c r="IU8" s="67"/>
      <c r="IV8" s="67"/>
      <c r="IW8" s="67"/>
    </row>
    <row r="9" s="50" customFormat="true" ht="27" hidden="false" customHeight="true" outlineLevel="1" collapsed="false">
      <c r="A9" s="49" t="s">
        <v>104</v>
      </c>
      <c r="B9" s="49"/>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c r="IV9" s="49"/>
      <c r="IW9" s="49"/>
    </row>
    <row r="10" s="34" customFormat="true" ht="60" hidden="false" customHeight="true" outlineLevel="2" collapsed="false">
      <c r="A10" s="63" t="s">
        <v>105</v>
      </c>
      <c r="B10" s="57"/>
      <c r="C10" s="57"/>
      <c r="D10" s="53" t="s">
        <v>106</v>
      </c>
      <c r="E10" s="53" t="s">
        <v>89</v>
      </c>
      <c r="F10" s="54" t="n">
        <v>91.33</v>
      </c>
      <c r="G10" s="55"/>
      <c r="H10" s="56" t="str">
        <f aca="false">IF(ISBLANK(G10),"",IF(ISNUMBER(F10),ROUND(F10*G10,2),"Укажите цену"))</f>
        <v/>
      </c>
      <c r="I10" s="57" t="n">
        <v>36</v>
      </c>
      <c r="J10" s="57" t="n">
        <v>15.2</v>
      </c>
      <c r="K10" s="57" t="s">
        <v>107</v>
      </c>
      <c r="L10" s="57" t="s">
        <v>91</v>
      </c>
      <c r="M10" s="57" t="s">
        <v>92</v>
      </c>
      <c r="N10" s="57" t="n">
        <v>360</v>
      </c>
      <c r="O10" s="57" t="s">
        <v>93</v>
      </c>
      <c r="P10" s="58" t="n">
        <v>0.133</v>
      </c>
      <c r="Q10" s="68" t="s">
        <v>108</v>
      </c>
      <c r="R10" s="69" t="s">
        <v>109</v>
      </c>
      <c r="S10" s="60" t="s">
        <v>96</v>
      </c>
      <c r="T10" s="61"/>
    </row>
    <row r="11" s="34" customFormat="true" ht="60" hidden="false" customHeight="true" outlineLevel="2" collapsed="false">
      <c r="A11" s="63"/>
      <c r="B11" s="57"/>
      <c r="C11" s="57"/>
      <c r="D11" s="53" t="s">
        <v>110</v>
      </c>
      <c r="E11" s="53" t="s">
        <v>103</v>
      </c>
      <c r="F11" s="54" t="n">
        <v>91.33</v>
      </c>
      <c r="G11" s="55"/>
      <c r="H11" s="56" t="str">
        <f aca="false">IF(ISBLANK(G11),"",IF(ISNUMBER(F11),ROUND(F11*G11,2),"Укажите цену"))</f>
        <v/>
      </c>
      <c r="I11" s="57"/>
      <c r="J11" s="57"/>
      <c r="K11" s="57"/>
      <c r="L11" s="57"/>
      <c r="M11" s="57"/>
      <c r="N11" s="57"/>
      <c r="O11" s="57"/>
      <c r="P11" s="58"/>
      <c r="Q11" s="68"/>
      <c r="R11" s="69"/>
      <c r="S11" s="60"/>
      <c r="T11" s="61"/>
    </row>
    <row r="12" s="34" customFormat="true" ht="60" hidden="false" customHeight="true" outlineLevel="2" collapsed="false">
      <c r="A12" s="63" t="s">
        <v>111</v>
      </c>
      <c r="B12" s="57"/>
      <c r="C12" s="57"/>
      <c r="D12" s="53" t="s">
        <v>112</v>
      </c>
      <c r="E12" s="53" t="s">
        <v>89</v>
      </c>
      <c r="F12" s="54" t="n">
        <v>70.13</v>
      </c>
      <c r="G12" s="55"/>
      <c r="H12" s="56" t="str">
        <f aca="false">IF(ISBLANK(G12),"",IF(ISNUMBER(F12),ROUND(F12*G12,2),"Укажите цену"))</f>
        <v/>
      </c>
      <c r="I12" s="57" t="n">
        <v>36</v>
      </c>
      <c r="J12" s="57" t="n">
        <v>15.3</v>
      </c>
      <c r="K12" s="57" t="s">
        <v>107</v>
      </c>
      <c r="L12" s="57" t="s">
        <v>91</v>
      </c>
      <c r="M12" s="57" t="s">
        <v>92</v>
      </c>
      <c r="N12" s="57" t="n">
        <v>360</v>
      </c>
      <c r="O12" s="57" t="s">
        <v>93</v>
      </c>
      <c r="P12" s="58" t="n">
        <v>0.133</v>
      </c>
      <c r="Q12" s="68" t="s">
        <v>113</v>
      </c>
      <c r="R12" s="69" t="s">
        <v>114</v>
      </c>
      <c r="S12" s="60" t="s">
        <v>96</v>
      </c>
      <c r="T12" s="61"/>
    </row>
    <row r="13" s="34" customFormat="true" ht="60" hidden="false" customHeight="true" outlineLevel="2" collapsed="false">
      <c r="A13" s="63"/>
      <c r="B13" s="57"/>
      <c r="C13" s="57"/>
      <c r="D13" s="53" t="s">
        <v>115</v>
      </c>
      <c r="E13" s="53" t="s">
        <v>103</v>
      </c>
      <c r="F13" s="54" t="n">
        <v>70.13</v>
      </c>
      <c r="G13" s="55"/>
      <c r="H13" s="56" t="str">
        <f aca="false">IF(ISBLANK(G13),"",IF(ISNUMBER(F13),ROUND(F13*G13,2),"Укажите цену"))</f>
        <v/>
      </c>
      <c r="I13" s="57"/>
      <c r="J13" s="57"/>
      <c r="K13" s="57"/>
      <c r="L13" s="57"/>
      <c r="M13" s="57"/>
      <c r="N13" s="57"/>
      <c r="O13" s="57"/>
      <c r="P13" s="58"/>
      <c r="Q13" s="68"/>
      <c r="R13" s="69"/>
      <c r="S13" s="60"/>
      <c r="T13" s="61"/>
    </row>
    <row r="14" s="34" customFormat="true" ht="60" hidden="false" customHeight="true" outlineLevel="2" collapsed="false">
      <c r="A14" s="63" t="s">
        <v>116</v>
      </c>
      <c r="B14" s="57"/>
      <c r="C14" s="57"/>
      <c r="D14" s="53" t="s">
        <v>117</v>
      </c>
      <c r="E14" s="53" t="s">
        <v>89</v>
      </c>
      <c r="F14" s="54" t="n">
        <v>52.19</v>
      </c>
      <c r="G14" s="55"/>
      <c r="H14" s="56" t="str">
        <f aca="false">IF(ISBLANK(G14),"",IF(ISNUMBER(F14),ROUND(F14*G14,2),"Укажите цену"))</f>
        <v/>
      </c>
      <c r="I14" s="57" t="n">
        <v>37</v>
      </c>
      <c r="J14" s="57" t="n">
        <v>15.5</v>
      </c>
      <c r="K14" s="57" t="s">
        <v>107</v>
      </c>
      <c r="L14" s="57" t="s">
        <v>91</v>
      </c>
      <c r="M14" s="57" t="s">
        <v>92</v>
      </c>
      <c r="N14" s="57" t="n">
        <v>360</v>
      </c>
      <c r="O14" s="57" t="s">
        <v>93</v>
      </c>
      <c r="P14" s="58" t="n">
        <v>0.133</v>
      </c>
      <c r="Q14" s="68" t="s">
        <v>118</v>
      </c>
      <c r="R14" s="69" t="s">
        <v>119</v>
      </c>
      <c r="S14" s="60" t="s">
        <v>96</v>
      </c>
      <c r="T14" s="61"/>
    </row>
    <row r="15" s="34" customFormat="true" ht="60" hidden="false" customHeight="true" outlineLevel="2" collapsed="false">
      <c r="A15" s="63"/>
      <c r="B15" s="57"/>
      <c r="C15" s="57"/>
      <c r="D15" s="53" t="s">
        <v>120</v>
      </c>
      <c r="E15" s="53" t="s">
        <v>103</v>
      </c>
      <c r="F15" s="54" t="n">
        <v>52.19</v>
      </c>
      <c r="G15" s="55"/>
      <c r="H15" s="56" t="str">
        <f aca="false">IF(ISBLANK(G15),"",IF(ISNUMBER(F15),ROUND(F15*G15,2),"Укажите цену"))</f>
        <v/>
      </c>
      <c r="I15" s="57"/>
      <c r="J15" s="57"/>
      <c r="K15" s="57"/>
      <c r="L15" s="57"/>
      <c r="M15" s="57"/>
      <c r="N15" s="57"/>
      <c r="O15" s="57"/>
      <c r="P15" s="58"/>
      <c r="Q15" s="68"/>
      <c r="R15" s="69"/>
      <c r="S15" s="60"/>
      <c r="T15" s="61"/>
    </row>
    <row r="16" s="34" customFormat="true" ht="60" hidden="false" customHeight="true" outlineLevel="2" collapsed="false">
      <c r="A16" s="63" t="s">
        <v>121</v>
      </c>
      <c r="B16" s="57"/>
      <c r="C16" s="57"/>
      <c r="D16" s="53" t="s">
        <v>122</v>
      </c>
      <c r="E16" s="53" t="s">
        <v>89</v>
      </c>
      <c r="F16" s="54" t="n">
        <v>48.93</v>
      </c>
      <c r="G16" s="55"/>
      <c r="H16" s="56" t="str">
        <f aca="false">IF(ISBLANK(G16),"",IF(ISNUMBER(F16),ROUND(F16*G16,2),"Укажите цену"))</f>
        <v/>
      </c>
      <c r="I16" s="57" t="n">
        <v>37</v>
      </c>
      <c r="J16" s="57" t="n">
        <v>15.6</v>
      </c>
      <c r="K16" s="57" t="s">
        <v>107</v>
      </c>
      <c r="L16" s="57" t="s">
        <v>91</v>
      </c>
      <c r="M16" s="57" t="s">
        <v>92</v>
      </c>
      <c r="N16" s="57" t="n">
        <v>360</v>
      </c>
      <c r="O16" s="57" t="s">
        <v>93</v>
      </c>
      <c r="P16" s="58" t="n">
        <v>0.133</v>
      </c>
      <c r="Q16" s="68" t="s">
        <v>123</v>
      </c>
      <c r="R16" s="69" t="s">
        <v>124</v>
      </c>
      <c r="S16" s="60" t="s">
        <v>96</v>
      </c>
      <c r="T16" s="61"/>
    </row>
    <row r="17" s="34" customFormat="true" ht="60" hidden="false" customHeight="true" outlineLevel="2" collapsed="false">
      <c r="A17" s="63"/>
      <c r="B17" s="57"/>
      <c r="C17" s="57"/>
      <c r="D17" s="53" t="s">
        <v>125</v>
      </c>
      <c r="E17" s="53" t="s">
        <v>103</v>
      </c>
      <c r="F17" s="54" t="n">
        <v>48.93</v>
      </c>
      <c r="G17" s="55"/>
      <c r="H17" s="56" t="str">
        <f aca="false">IF(ISBLANK(G17),"",IF(ISNUMBER(F17),ROUND(F17*G17,2),"Укажите цену"))</f>
        <v/>
      </c>
      <c r="I17" s="57"/>
      <c r="J17" s="57"/>
      <c r="K17" s="57"/>
      <c r="L17" s="57"/>
      <c r="M17" s="57"/>
      <c r="N17" s="57"/>
      <c r="O17" s="57"/>
      <c r="P17" s="58"/>
      <c r="Q17" s="68"/>
      <c r="R17" s="69"/>
      <c r="S17" s="60"/>
      <c r="T17" s="61"/>
    </row>
    <row r="18" s="70" customFormat="true" ht="115" hidden="false" customHeight="true" outlineLevel="2" collapsed="false">
      <c r="A18" s="51" t="s">
        <v>126</v>
      </c>
      <c r="B18" s="57"/>
      <c r="C18" s="57"/>
      <c r="D18" s="53" t="s">
        <v>127</v>
      </c>
      <c r="E18" s="53" t="s">
        <v>103</v>
      </c>
      <c r="F18" s="54" t="n">
        <v>110.9</v>
      </c>
      <c r="G18" s="55"/>
      <c r="H18" s="56" t="str">
        <f aca="false">IF(ISBLANK(G18),"",IF(ISNUMBER(F18),ROUND(F18*G18,2),"Укажите цену"))</f>
        <v/>
      </c>
      <c r="I18" s="57" t="n">
        <v>42</v>
      </c>
      <c r="J18" s="57" t="n">
        <v>17.3</v>
      </c>
      <c r="K18" s="57" t="s">
        <v>99</v>
      </c>
      <c r="L18" s="57" t="s">
        <v>91</v>
      </c>
      <c r="M18" s="57" t="s">
        <v>92</v>
      </c>
      <c r="N18" s="57" t="n">
        <v>360</v>
      </c>
      <c r="O18" s="57" t="s">
        <v>93</v>
      </c>
      <c r="P18" s="58" t="n">
        <v>0.133</v>
      </c>
      <c r="Q18" s="68" t="s">
        <v>128</v>
      </c>
      <c r="R18" s="69" t="s">
        <v>129</v>
      </c>
      <c r="S18" s="60" t="s">
        <v>96</v>
      </c>
      <c r="T18" s="61"/>
    </row>
    <row r="19" s="70" customFormat="true" ht="115" hidden="false" customHeight="true" outlineLevel="2" collapsed="false">
      <c r="A19" s="51" t="s">
        <v>130</v>
      </c>
      <c r="B19" s="57"/>
      <c r="C19" s="57"/>
      <c r="D19" s="53" t="s">
        <v>131</v>
      </c>
      <c r="E19" s="53" t="s">
        <v>103</v>
      </c>
      <c r="F19" s="54" t="n">
        <v>88.07</v>
      </c>
      <c r="G19" s="55"/>
      <c r="H19" s="56" t="str">
        <f aca="false">IF(ISBLANK(G19),"",IF(ISNUMBER(F19),ROUND(F19*G19,2),"Укажите цену"))</f>
        <v/>
      </c>
      <c r="I19" s="57" t="n">
        <v>42</v>
      </c>
      <c r="J19" s="57" t="n">
        <v>17.4</v>
      </c>
      <c r="K19" s="57" t="s">
        <v>99</v>
      </c>
      <c r="L19" s="57" t="s">
        <v>91</v>
      </c>
      <c r="M19" s="57" t="s">
        <v>92</v>
      </c>
      <c r="N19" s="57" t="n">
        <v>360</v>
      </c>
      <c r="O19" s="57" t="s">
        <v>93</v>
      </c>
      <c r="P19" s="58" t="n">
        <v>0.133</v>
      </c>
      <c r="Q19" s="68" t="s">
        <v>132</v>
      </c>
      <c r="R19" s="69" t="s">
        <v>133</v>
      </c>
      <c r="S19" s="60" t="s">
        <v>96</v>
      </c>
      <c r="T19" s="61"/>
    </row>
    <row r="20" s="70" customFormat="true" ht="115" hidden="false" customHeight="true" outlineLevel="2" collapsed="false">
      <c r="A20" s="51" t="s">
        <v>134</v>
      </c>
      <c r="B20" s="57"/>
      <c r="C20" s="57"/>
      <c r="D20" s="53" t="s">
        <v>135</v>
      </c>
      <c r="E20" s="53" t="s">
        <v>103</v>
      </c>
      <c r="F20" s="54" t="n">
        <v>71.76</v>
      </c>
      <c r="G20" s="55"/>
      <c r="H20" s="56" t="str">
        <f aca="false">IF(ISBLANK(G20),"",IF(ISNUMBER(F20),ROUND(F20*G20,2),"Укажите цену"))</f>
        <v/>
      </c>
      <c r="I20" s="57" t="n">
        <v>42</v>
      </c>
      <c r="J20" s="57" t="n">
        <v>17.5</v>
      </c>
      <c r="K20" s="57" t="s">
        <v>99</v>
      </c>
      <c r="L20" s="57" t="s">
        <v>91</v>
      </c>
      <c r="M20" s="57" t="s">
        <v>92</v>
      </c>
      <c r="N20" s="57" t="n">
        <v>360</v>
      </c>
      <c r="O20" s="57" t="s">
        <v>93</v>
      </c>
      <c r="P20" s="58" t="n">
        <v>0.133</v>
      </c>
      <c r="Q20" s="68" t="s">
        <v>136</v>
      </c>
      <c r="R20" s="69" t="s">
        <v>137</v>
      </c>
      <c r="S20" s="60" t="s">
        <v>96</v>
      </c>
      <c r="T20" s="61"/>
    </row>
    <row r="21" s="70" customFormat="true" ht="115" hidden="false" customHeight="true" outlineLevel="2" collapsed="false">
      <c r="A21" s="51" t="s">
        <v>138</v>
      </c>
      <c r="B21" s="57"/>
      <c r="C21" s="57"/>
      <c r="D21" s="53" t="s">
        <v>139</v>
      </c>
      <c r="E21" s="53" t="s">
        <v>103</v>
      </c>
      <c r="F21" s="54" t="n">
        <v>65.24</v>
      </c>
      <c r="G21" s="55"/>
      <c r="H21" s="56" t="str">
        <f aca="false">IF(ISBLANK(G21),"",IF(ISNUMBER(F21),ROUND(F21*G21,2),"Укажите цену"))</f>
        <v/>
      </c>
      <c r="I21" s="57" t="n">
        <v>42</v>
      </c>
      <c r="J21" s="57" t="n">
        <v>17.3</v>
      </c>
      <c r="K21" s="57" t="s">
        <v>99</v>
      </c>
      <c r="L21" s="57" t="s">
        <v>91</v>
      </c>
      <c r="M21" s="57" t="s">
        <v>92</v>
      </c>
      <c r="N21" s="57" t="n">
        <v>360</v>
      </c>
      <c r="O21" s="57" t="s">
        <v>93</v>
      </c>
      <c r="P21" s="58" t="n">
        <v>0.133</v>
      </c>
      <c r="Q21" s="68" t="s">
        <v>136</v>
      </c>
      <c r="R21" s="69" t="s">
        <v>140</v>
      </c>
      <c r="S21" s="60" t="s">
        <v>96</v>
      </c>
      <c r="T21" s="61"/>
    </row>
    <row r="22" s="70" customFormat="true" ht="115" hidden="false" customHeight="true" outlineLevel="2" collapsed="false">
      <c r="A22" s="51" t="s">
        <v>141</v>
      </c>
      <c r="B22" s="57"/>
      <c r="C22" s="57"/>
      <c r="D22" s="53" t="s">
        <v>142</v>
      </c>
      <c r="E22" s="53" t="s">
        <v>103</v>
      </c>
      <c r="F22" s="54" t="n">
        <v>68.5</v>
      </c>
      <c r="G22" s="55"/>
      <c r="H22" s="56" t="str">
        <f aca="false">IF(ISBLANK(G22),"",IF(ISNUMBER(F22),ROUND(F22*G22,2),"Укажите цену"))</f>
        <v/>
      </c>
      <c r="I22" s="57" t="n">
        <v>43</v>
      </c>
      <c r="J22" s="57" t="n">
        <v>17.4</v>
      </c>
      <c r="K22" s="57" t="s">
        <v>99</v>
      </c>
      <c r="L22" s="57" t="s">
        <v>91</v>
      </c>
      <c r="M22" s="57" t="s">
        <v>92</v>
      </c>
      <c r="N22" s="57" t="n">
        <v>360</v>
      </c>
      <c r="O22" s="57" t="s">
        <v>93</v>
      </c>
      <c r="P22" s="58" t="n">
        <v>0.133</v>
      </c>
      <c r="Q22" s="68" t="s">
        <v>143</v>
      </c>
      <c r="R22" s="69" t="s">
        <v>144</v>
      </c>
      <c r="S22" s="60" t="s">
        <v>96</v>
      </c>
      <c r="T22" s="61"/>
    </row>
    <row r="23" s="70" customFormat="true" ht="60" hidden="false" customHeight="true" outlineLevel="2" collapsed="false">
      <c r="A23" s="63" t="s">
        <v>145</v>
      </c>
      <c r="B23" s="57"/>
      <c r="C23" s="57"/>
      <c r="D23" s="53" t="s">
        <v>146</v>
      </c>
      <c r="E23" s="53" t="s">
        <v>89</v>
      </c>
      <c r="F23" s="54" t="n">
        <v>106.01</v>
      </c>
      <c r="G23" s="55"/>
      <c r="H23" s="56" t="str">
        <f aca="false">IF(ISBLANK(G23),"",IF(ISNUMBER(F23),ROUND(F23*G23,2),"Укажите цену"))</f>
        <v/>
      </c>
      <c r="I23" s="57" t="n">
        <v>37</v>
      </c>
      <c r="J23" s="57" t="n">
        <v>15.3</v>
      </c>
      <c r="K23" s="57" t="s">
        <v>147</v>
      </c>
      <c r="L23" s="57" t="s">
        <v>91</v>
      </c>
      <c r="M23" s="57" t="s">
        <v>92</v>
      </c>
      <c r="N23" s="57" t="n">
        <v>360</v>
      </c>
      <c r="O23" s="57" t="s">
        <v>93</v>
      </c>
      <c r="P23" s="58" t="n">
        <v>0.133</v>
      </c>
      <c r="Q23" s="68" t="s">
        <v>148</v>
      </c>
      <c r="R23" s="69" t="s">
        <v>149</v>
      </c>
      <c r="S23" s="60" t="s">
        <v>96</v>
      </c>
      <c r="T23" s="61"/>
    </row>
    <row r="24" s="70" customFormat="true" ht="60" hidden="false" customHeight="true" outlineLevel="2" collapsed="false">
      <c r="A24" s="63"/>
      <c r="B24" s="57"/>
      <c r="C24" s="57"/>
      <c r="D24" s="53" t="s">
        <v>150</v>
      </c>
      <c r="E24" s="53" t="s">
        <v>103</v>
      </c>
      <c r="F24" s="54" t="n">
        <v>106.01</v>
      </c>
      <c r="G24" s="55"/>
      <c r="H24" s="56" t="str">
        <f aca="false">IF(ISBLANK(G24),"",IF(ISNUMBER(F24),ROUND(F24*G24,2),"Укажите цену"))</f>
        <v/>
      </c>
      <c r="I24" s="57"/>
      <c r="J24" s="57"/>
      <c r="K24" s="57"/>
      <c r="L24" s="57"/>
      <c r="M24" s="57"/>
      <c r="N24" s="57"/>
      <c r="O24" s="57"/>
      <c r="P24" s="58"/>
      <c r="Q24" s="68"/>
      <c r="R24" s="69"/>
      <c r="S24" s="60"/>
      <c r="T24" s="61"/>
    </row>
    <row r="25" s="70" customFormat="true" ht="60" hidden="false" customHeight="true" outlineLevel="2" collapsed="false">
      <c r="A25" s="63" t="s">
        <v>151</v>
      </c>
      <c r="B25" s="57"/>
      <c r="C25" s="57"/>
      <c r="D25" s="53" t="s">
        <v>152</v>
      </c>
      <c r="E25" s="53" t="s">
        <v>89</v>
      </c>
      <c r="F25" s="54" t="n">
        <v>89.7</v>
      </c>
      <c r="G25" s="55"/>
      <c r="H25" s="56" t="str">
        <f aca="false">IF(ISBLANK(G25),"",IF(ISNUMBER(F25),ROUND(F25*G25,2),"Укажите цену"))</f>
        <v/>
      </c>
      <c r="I25" s="57" t="n">
        <v>37</v>
      </c>
      <c r="J25" s="57" t="n">
        <v>15.6</v>
      </c>
      <c r="K25" s="57" t="s">
        <v>147</v>
      </c>
      <c r="L25" s="57" t="s">
        <v>91</v>
      </c>
      <c r="M25" s="57" t="s">
        <v>92</v>
      </c>
      <c r="N25" s="57" t="n">
        <v>360</v>
      </c>
      <c r="O25" s="57" t="s">
        <v>93</v>
      </c>
      <c r="P25" s="58" t="n">
        <v>0.133</v>
      </c>
      <c r="Q25" s="68" t="s">
        <v>153</v>
      </c>
      <c r="R25" s="69" t="s">
        <v>154</v>
      </c>
      <c r="S25" s="60" t="s">
        <v>96</v>
      </c>
      <c r="T25" s="61"/>
    </row>
    <row r="26" s="70" customFormat="true" ht="60" hidden="false" customHeight="true" outlineLevel="2" collapsed="false">
      <c r="A26" s="63"/>
      <c r="B26" s="57"/>
      <c r="C26" s="57"/>
      <c r="D26" s="53" t="s">
        <v>155</v>
      </c>
      <c r="E26" s="53" t="s">
        <v>103</v>
      </c>
      <c r="F26" s="54" t="n">
        <v>89.7</v>
      </c>
      <c r="G26" s="55"/>
      <c r="H26" s="56" t="str">
        <f aca="false">IF(ISBLANK(G26),"",IF(ISNUMBER(F26),ROUND(F26*G26,2),"Укажите цену"))</f>
        <v/>
      </c>
      <c r="I26" s="57"/>
      <c r="J26" s="57"/>
      <c r="K26" s="57"/>
      <c r="L26" s="57"/>
      <c r="M26" s="57"/>
      <c r="N26" s="57"/>
      <c r="O26" s="57"/>
      <c r="P26" s="58"/>
      <c r="Q26" s="68"/>
      <c r="R26" s="69"/>
      <c r="S26" s="60"/>
      <c r="T26" s="61"/>
    </row>
    <row r="27" s="70" customFormat="true" ht="60" hidden="false" customHeight="true" outlineLevel="2" collapsed="false">
      <c r="A27" s="63" t="s">
        <v>156</v>
      </c>
      <c r="B27" s="57"/>
      <c r="C27" s="57"/>
      <c r="D27" s="53" t="s">
        <v>157</v>
      </c>
      <c r="E27" s="53" t="s">
        <v>89</v>
      </c>
      <c r="F27" s="54" t="n">
        <v>73.39</v>
      </c>
      <c r="G27" s="55"/>
      <c r="H27" s="56" t="str">
        <f aca="false">IF(ISBLANK(G27),"",IF(ISNUMBER(F27),ROUND(F27*G27,2),"Укажите цену"))</f>
        <v/>
      </c>
      <c r="I27" s="57" t="n">
        <v>37</v>
      </c>
      <c r="J27" s="57" t="n">
        <v>15.6</v>
      </c>
      <c r="K27" s="57" t="s">
        <v>147</v>
      </c>
      <c r="L27" s="57" t="s">
        <v>91</v>
      </c>
      <c r="M27" s="57" t="s">
        <v>92</v>
      </c>
      <c r="N27" s="57" t="n">
        <v>360</v>
      </c>
      <c r="O27" s="57" t="s">
        <v>93</v>
      </c>
      <c r="P27" s="58" t="n">
        <v>0.133</v>
      </c>
      <c r="Q27" s="68" t="s">
        <v>158</v>
      </c>
      <c r="R27" s="69" t="s">
        <v>159</v>
      </c>
      <c r="S27" s="60" t="s">
        <v>96</v>
      </c>
      <c r="T27" s="61"/>
    </row>
    <row r="28" s="70" customFormat="true" ht="60" hidden="false" customHeight="true" outlineLevel="2" collapsed="false">
      <c r="A28" s="63"/>
      <c r="B28" s="57"/>
      <c r="C28" s="57"/>
      <c r="D28" s="53" t="s">
        <v>160</v>
      </c>
      <c r="E28" s="53" t="s">
        <v>103</v>
      </c>
      <c r="F28" s="54" t="n">
        <v>73.39</v>
      </c>
      <c r="G28" s="55"/>
      <c r="H28" s="56" t="str">
        <f aca="false">IF(ISBLANK(G28),"",IF(ISNUMBER(F28),ROUND(F28*G28,2),"Укажите цену"))</f>
        <v/>
      </c>
      <c r="I28" s="57"/>
      <c r="J28" s="57"/>
      <c r="K28" s="57"/>
      <c r="L28" s="57"/>
      <c r="M28" s="57"/>
      <c r="N28" s="57"/>
      <c r="O28" s="57"/>
      <c r="P28" s="58"/>
      <c r="Q28" s="68"/>
      <c r="R28" s="69"/>
      <c r="S28" s="60"/>
      <c r="T28" s="61"/>
    </row>
    <row r="29" s="70" customFormat="true" ht="60" hidden="false" customHeight="true" outlineLevel="2" collapsed="false">
      <c r="A29" s="63" t="s">
        <v>161</v>
      </c>
      <c r="B29" s="57"/>
      <c r="C29" s="57"/>
      <c r="D29" s="53" t="s">
        <v>162</v>
      </c>
      <c r="E29" s="53" t="s">
        <v>89</v>
      </c>
      <c r="F29" s="54" t="n">
        <v>66.87</v>
      </c>
      <c r="G29" s="55"/>
      <c r="H29" s="56" t="str">
        <f aca="false">IF(ISBLANK(G29),"",IF(ISNUMBER(F29),ROUND(F29*G29,2),"Укажите цену"))</f>
        <v/>
      </c>
      <c r="I29" s="57" t="n">
        <v>37</v>
      </c>
      <c r="J29" s="57" t="n">
        <v>15.6</v>
      </c>
      <c r="K29" s="57" t="s">
        <v>147</v>
      </c>
      <c r="L29" s="57" t="s">
        <v>91</v>
      </c>
      <c r="M29" s="57" t="s">
        <v>92</v>
      </c>
      <c r="N29" s="57" t="n">
        <v>360</v>
      </c>
      <c r="O29" s="57" t="s">
        <v>93</v>
      </c>
      <c r="P29" s="58" t="n">
        <v>0.133</v>
      </c>
      <c r="Q29" s="68" t="s">
        <v>158</v>
      </c>
      <c r="R29" s="69" t="s">
        <v>163</v>
      </c>
      <c r="S29" s="60" t="s">
        <v>96</v>
      </c>
      <c r="T29" s="61"/>
    </row>
    <row r="30" s="70" customFormat="true" ht="60" hidden="false" customHeight="true" outlineLevel="2" collapsed="false">
      <c r="A30" s="63"/>
      <c r="B30" s="57"/>
      <c r="C30" s="57"/>
      <c r="D30" s="53" t="s">
        <v>164</v>
      </c>
      <c r="E30" s="53" t="s">
        <v>103</v>
      </c>
      <c r="F30" s="54" t="n">
        <v>66.87</v>
      </c>
      <c r="G30" s="55"/>
      <c r="H30" s="56" t="str">
        <f aca="false">IF(ISBLANK(G30),"",IF(ISNUMBER(F30),ROUND(F30*G30,2),"Укажите цену"))</f>
        <v/>
      </c>
      <c r="I30" s="57"/>
      <c r="J30" s="57"/>
      <c r="K30" s="57"/>
      <c r="L30" s="57"/>
      <c r="M30" s="57"/>
      <c r="N30" s="57"/>
      <c r="O30" s="57"/>
      <c r="P30" s="58"/>
      <c r="Q30" s="68"/>
      <c r="R30" s="69"/>
      <c r="S30" s="60"/>
      <c r="T30" s="61"/>
    </row>
    <row r="31" s="70" customFormat="true" ht="60" hidden="false" customHeight="true" outlineLevel="2" collapsed="false">
      <c r="A31" s="63" t="s">
        <v>165</v>
      </c>
      <c r="B31" s="57"/>
      <c r="C31" s="57"/>
      <c r="D31" s="53" t="s">
        <v>166</v>
      </c>
      <c r="E31" s="53" t="s">
        <v>89</v>
      </c>
      <c r="F31" s="54" t="n">
        <v>70.13</v>
      </c>
      <c r="G31" s="55"/>
      <c r="H31" s="56" t="str">
        <f aca="false">IF(ISBLANK(G31),"",IF(ISNUMBER(F31),ROUND(F31*G31,2),"Укажите цену"))</f>
        <v/>
      </c>
      <c r="I31" s="57" t="n">
        <v>37</v>
      </c>
      <c r="J31" s="57" t="n">
        <v>15.6</v>
      </c>
      <c r="K31" s="57" t="s">
        <v>147</v>
      </c>
      <c r="L31" s="57" t="s">
        <v>91</v>
      </c>
      <c r="M31" s="57" t="s">
        <v>92</v>
      </c>
      <c r="N31" s="57" t="n">
        <v>360</v>
      </c>
      <c r="O31" s="57" t="s">
        <v>93</v>
      </c>
      <c r="P31" s="58" t="n">
        <v>0.133</v>
      </c>
      <c r="Q31" s="68" t="s">
        <v>167</v>
      </c>
      <c r="R31" s="69" t="s">
        <v>168</v>
      </c>
      <c r="S31" s="60" t="s">
        <v>96</v>
      </c>
      <c r="T31" s="61"/>
    </row>
    <row r="32" s="70" customFormat="true" ht="60" hidden="false" customHeight="true" outlineLevel="2" collapsed="false">
      <c r="A32" s="63"/>
      <c r="B32" s="57"/>
      <c r="C32" s="57"/>
      <c r="D32" s="53" t="s">
        <v>169</v>
      </c>
      <c r="E32" s="53" t="s">
        <v>103</v>
      </c>
      <c r="F32" s="54" t="n">
        <v>70.13</v>
      </c>
      <c r="G32" s="55"/>
      <c r="H32" s="56" t="str">
        <f aca="false">IF(ISBLANK(G32),"",IF(ISNUMBER(F32),ROUND(F32*G32,2),"Укажите цену"))</f>
        <v/>
      </c>
      <c r="I32" s="57"/>
      <c r="J32" s="57"/>
      <c r="K32" s="57"/>
      <c r="L32" s="57"/>
      <c r="M32" s="57"/>
      <c r="N32" s="57"/>
      <c r="O32" s="57"/>
      <c r="P32" s="58"/>
      <c r="Q32" s="68"/>
      <c r="R32" s="69"/>
      <c r="S32" s="60"/>
      <c r="T32" s="61"/>
    </row>
    <row r="33" s="70" customFormat="true" ht="60" hidden="false" customHeight="true" outlineLevel="2" collapsed="false">
      <c r="A33" s="63" t="s">
        <v>170</v>
      </c>
      <c r="B33" s="57"/>
      <c r="C33" s="57"/>
      <c r="D33" s="53" t="s">
        <v>171</v>
      </c>
      <c r="E33" s="53" t="s">
        <v>89</v>
      </c>
      <c r="F33" s="54" t="n">
        <v>91.33</v>
      </c>
      <c r="G33" s="55"/>
      <c r="H33" s="56" t="str">
        <f aca="false">IF(ISBLANK(G33),"",IF(ISNUMBER(F33),ROUND(F33*G33,2),"Укажите цену"))</f>
        <v/>
      </c>
      <c r="I33" s="57" t="n">
        <v>36</v>
      </c>
      <c r="J33" s="57" t="n">
        <v>15.2</v>
      </c>
      <c r="K33" s="57" t="s">
        <v>147</v>
      </c>
      <c r="L33" s="57" t="s">
        <v>91</v>
      </c>
      <c r="M33" s="57" t="s">
        <v>92</v>
      </c>
      <c r="N33" s="57" t="n">
        <v>360</v>
      </c>
      <c r="O33" s="57" t="s">
        <v>93</v>
      </c>
      <c r="P33" s="58" t="n">
        <v>0.133</v>
      </c>
      <c r="Q33" s="68" t="s">
        <v>172</v>
      </c>
      <c r="R33" s="69" t="s">
        <v>173</v>
      </c>
      <c r="S33" s="71" t="s">
        <v>96</v>
      </c>
      <c r="T33" s="61"/>
    </row>
    <row r="34" s="70" customFormat="true" ht="60" hidden="false" customHeight="true" outlineLevel="2" collapsed="false">
      <c r="A34" s="63"/>
      <c r="B34" s="57"/>
      <c r="C34" s="57"/>
      <c r="D34" s="53" t="s">
        <v>174</v>
      </c>
      <c r="E34" s="53" t="s">
        <v>103</v>
      </c>
      <c r="F34" s="54" t="n">
        <v>91.33</v>
      </c>
      <c r="G34" s="55"/>
      <c r="H34" s="56" t="str">
        <f aca="false">IF(ISBLANK(G34),"",IF(ISNUMBER(F34),ROUND(F34*G34,2),"Укажите цену"))</f>
        <v/>
      </c>
      <c r="I34" s="57"/>
      <c r="J34" s="57"/>
      <c r="K34" s="57"/>
      <c r="L34" s="57"/>
      <c r="M34" s="57"/>
      <c r="N34" s="57"/>
      <c r="O34" s="57"/>
      <c r="P34" s="58"/>
      <c r="Q34" s="68"/>
      <c r="R34" s="69"/>
      <c r="S34" s="71"/>
      <c r="T34" s="61"/>
    </row>
    <row r="35" s="70" customFormat="true" ht="115" hidden="false" customHeight="true" outlineLevel="2" collapsed="false">
      <c r="A35" s="51" t="s">
        <v>175</v>
      </c>
      <c r="B35" s="57"/>
      <c r="C35" s="57"/>
      <c r="D35" s="53" t="s">
        <v>176</v>
      </c>
      <c r="E35" s="53" t="s">
        <v>89</v>
      </c>
      <c r="F35" s="54" t="n">
        <v>130.48</v>
      </c>
      <c r="G35" s="55"/>
      <c r="H35" s="56" t="str">
        <f aca="false">IF(ISBLANK(G35),"",IF(ISNUMBER(F35),ROUND(F35*G35,2),"Укажите цену"))</f>
        <v/>
      </c>
      <c r="I35" s="57" t="n">
        <v>58</v>
      </c>
      <c r="J35" s="57" t="n">
        <v>22.9</v>
      </c>
      <c r="K35" s="57" t="s">
        <v>147</v>
      </c>
      <c r="L35" s="57" t="s">
        <v>91</v>
      </c>
      <c r="M35" s="57" t="s">
        <v>92</v>
      </c>
      <c r="N35" s="57" t="n">
        <v>360</v>
      </c>
      <c r="O35" s="57" t="s">
        <v>93</v>
      </c>
      <c r="P35" s="58" t="n">
        <v>0.133</v>
      </c>
      <c r="Q35" s="68" t="s">
        <v>177</v>
      </c>
      <c r="R35" s="69" t="s">
        <v>178</v>
      </c>
      <c r="S35" s="71" t="s">
        <v>96</v>
      </c>
      <c r="T35" s="61"/>
    </row>
    <row r="36" s="70" customFormat="true" ht="115" hidden="false" customHeight="true" outlineLevel="2" collapsed="false">
      <c r="A36" s="51" t="s">
        <v>179</v>
      </c>
      <c r="B36" s="57"/>
      <c r="C36" s="57"/>
      <c r="D36" s="53" t="s">
        <v>180</v>
      </c>
      <c r="E36" s="53" t="s">
        <v>89</v>
      </c>
      <c r="F36" s="54" t="n">
        <v>187.56</v>
      </c>
      <c r="G36" s="55"/>
      <c r="H36" s="56" t="str">
        <f aca="false">IF(ISBLANK(G36),"",IF(ISNUMBER(F36),ROUND(F36*G36,2),"Укажите цену"))</f>
        <v/>
      </c>
      <c r="I36" s="57" t="n">
        <v>81</v>
      </c>
      <c r="J36" s="57" t="n">
        <v>31.6</v>
      </c>
      <c r="K36" s="57" t="s">
        <v>147</v>
      </c>
      <c r="L36" s="57" t="s">
        <v>91</v>
      </c>
      <c r="M36" s="57" t="s">
        <v>92</v>
      </c>
      <c r="N36" s="57" t="n">
        <v>360</v>
      </c>
      <c r="O36" s="57" t="s">
        <v>93</v>
      </c>
      <c r="P36" s="58" t="n">
        <v>0.133</v>
      </c>
      <c r="Q36" s="68" t="s">
        <v>181</v>
      </c>
      <c r="R36" s="69" t="s">
        <v>178</v>
      </c>
      <c r="S36" s="71" t="s">
        <v>96</v>
      </c>
      <c r="T36" s="61"/>
    </row>
    <row r="37" s="70" customFormat="true" ht="60" hidden="false" customHeight="true" outlineLevel="2" collapsed="false">
      <c r="A37" s="63" t="s">
        <v>182</v>
      </c>
      <c r="B37" s="57"/>
      <c r="C37" s="57"/>
      <c r="D37" s="53" t="s">
        <v>183</v>
      </c>
      <c r="E37" s="53" t="s">
        <v>89</v>
      </c>
      <c r="F37" s="54" t="n">
        <v>73.39</v>
      </c>
      <c r="G37" s="55"/>
      <c r="H37" s="56" t="str">
        <f aca="false">IF(ISBLANK(G37),"",IF(ISNUMBER(F37),ROUND(F37*G37,2),"Укажите цену"))</f>
        <v/>
      </c>
      <c r="I37" s="57" t="n">
        <v>36</v>
      </c>
      <c r="J37" s="57" t="n">
        <v>15.2</v>
      </c>
      <c r="K37" s="57" t="s">
        <v>147</v>
      </c>
      <c r="L37" s="57" t="s">
        <v>91</v>
      </c>
      <c r="M37" s="57" t="s">
        <v>92</v>
      </c>
      <c r="N37" s="57" t="n">
        <v>360</v>
      </c>
      <c r="O37" s="57" t="s">
        <v>93</v>
      </c>
      <c r="P37" s="58" t="n">
        <v>0.133</v>
      </c>
      <c r="Q37" s="68" t="s">
        <v>184</v>
      </c>
      <c r="R37" s="69" t="s">
        <v>185</v>
      </c>
      <c r="S37" s="71" t="s">
        <v>96</v>
      </c>
      <c r="T37" s="61"/>
    </row>
    <row r="38" s="70" customFormat="true" ht="60" hidden="false" customHeight="true" outlineLevel="2" collapsed="false">
      <c r="A38" s="63"/>
      <c r="B38" s="57"/>
      <c r="C38" s="57"/>
      <c r="D38" s="53" t="s">
        <v>186</v>
      </c>
      <c r="E38" s="53" t="s">
        <v>103</v>
      </c>
      <c r="F38" s="54" t="n">
        <v>73.39</v>
      </c>
      <c r="G38" s="55"/>
      <c r="H38" s="56" t="str">
        <f aca="false">IF(ISBLANK(G38),"",IF(ISNUMBER(F38),ROUND(F38*G38,2),"Укажите цену"))</f>
        <v/>
      </c>
      <c r="I38" s="57"/>
      <c r="J38" s="57"/>
      <c r="K38" s="57"/>
      <c r="L38" s="57"/>
      <c r="M38" s="57"/>
      <c r="N38" s="57"/>
      <c r="O38" s="57"/>
      <c r="P38" s="58"/>
      <c r="Q38" s="68"/>
      <c r="R38" s="69"/>
      <c r="S38" s="71"/>
      <c r="T38" s="61"/>
    </row>
    <row r="39" s="70" customFormat="true" ht="115" hidden="false" customHeight="true" outlineLevel="2" collapsed="false">
      <c r="A39" s="51" t="s">
        <v>187</v>
      </c>
      <c r="B39" s="57"/>
      <c r="C39" s="57"/>
      <c r="D39" s="53" t="s">
        <v>188</v>
      </c>
      <c r="E39" s="53" t="s">
        <v>89</v>
      </c>
      <c r="F39" s="54" t="n">
        <v>107.64</v>
      </c>
      <c r="G39" s="55"/>
      <c r="H39" s="56" t="str">
        <f aca="false">IF(ISBLANK(G39),"",IF(ISNUMBER(F39),ROUND(F39*G39,2),"Укажите цену"))</f>
        <v/>
      </c>
      <c r="I39" s="57" t="n">
        <v>57</v>
      </c>
      <c r="J39" s="57" t="n">
        <v>22.3</v>
      </c>
      <c r="K39" s="57" t="s">
        <v>147</v>
      </c>
      <c r="L39" s="57" t="s">
        <v>91</v>
      </c>
      <c r="M39" s="57" t="s">
        <v>92</v>
      </c>
      <c r="N39" s="57" t="n">
        <v>360</v>
      </c>
      <c r="O39" s="57" t="s">
        <v>93</v>
      </c>
      <c r="P39" s="58" t="n">
        <v>0.133</v>
      </c>
      <c r="Q39" s="68" t="s">
        <v>189</v>
      </c>
      <c r="R39" s="69" t="s">
        <v>190</v>
      </c>
      <c r="S39" s="71" t="s">
        <v>96</v>
      </c>
      <c r="T39" s="61"/>
    </row>
    <row r="40" s="70" customFormat="true" ht="115" hidden="false" customHeight="true" outlineLevel="2" collapsed="false">
      <c r="A40" s="51" t="s">
        <v>191</v>
      </c>
      <c r="B40" s="57"/>
      <c r="C40" s="57"/>
      <c r="D40" s="53" t="s">
        <v>192</v>
      </c>
      <c r="E40" s="53" t="s">
        <v>89</v>
      </c>
      <c r="F40" s="54" t="n">
        <v>163.09</v>
      </c>
      <c r="G40" s="55"/>
      <c r="H40" s="56" t="str">
        <f aca="false">IF(ISBLANK(G40),"",IF(ISNUMBER(F40),ROUND(F40*G40,2),"Укажите цену"))</f>
        <v/>
      </c>
      <c r="I40" s="57" t="n">
        <v>82</v>
      </c>
      <c r="J40" s="57" t="n">
        <v>37.8</v>
      </c>
      <c r="K40" s="57" t="s">
        <v>147</v>
      </c>
      <c r="L40" s="57" t="s">
        <v>91</v>
      </c>
      <c r="M40" s="57" t="s">
        <v>92</v>
      </c>
      <c r="N40" s="57" t="n">
        <v>360</v>
      </c>
      <c r="O40" s="57" t="s">
        <v>93</v>
      </c>
      <c r="P40" s="58" t="n">
        <v>0.133</v>
      </c>
      <c r="Q40" s="68" t="s">
        <v>193</v>
      </c>
      <c r="R40" s="69" t="s">
        <v>190</v>
      </c>
      <c r="S40" s="71" t="s">
        <v>96</v>
      </c>
      <c r="T40" s="61"/>
    </row>
    <row r="41" s="70" customFormat="true" ht="60" hidden="false" customHeight="true" outlineLevel="2" collapsed="false">
      <c r="A41" s="63" t="s">
        <v>194</v>
      </c>
      <c r="B41" s="57"/>
      <c r="C41" s="57"/>
      <c r="D41" s="53" t="s">
        <v>195</v>
      </c>
      <c r="E41" s="53" t="s">
        <v>89</v>
      </c>
      <c r="F41" s="54" t="n">
        <v>55.45</v>
      </c>
      <c r="G41" s="55"/>
      <c r="H41" s="56" t="str">
        <f aca="false">IF(ISBLANK(G41),"",IF(ISNUMBER(F41),ROUND(F41*G41,2),"Укажите цену"))</f>
        <v/>
      </c>
      <c r="I41" s="57" t="n">
        <v>37</v>
      </c>
      <c r="J41" s="57" t="n">
        <v>15.3</v>
      </c>
      <c r="K41" s="57" t="s">
        <v>147</v>
      </c>
      <c r="L41" s="57" t="s">
        <v>91</v>
      </c>
      <c r="M41" s="57" t="s">
        <v>92</v>
      </c>
      <c r="N41" s="57" t="n">
        <v>360</v>
      </c>
      <c r="O41" s="57" t="s">
        <v>93</v>
      </c>
      <c r="P41" s="58" t="n">
        <v>0.133</v>
      </c>
      <c r="Q41" s="68" t="s">
        <v>196</v>
      </c>
      <c r="R41" s="69" t="s">
        <v>197</v>
      </c>
      <c r="S41" s="71" t="s">
        <v>96</v>
      </c>
      <c r="T41" s="61"/>
    </row>
    <row r="42" s="70" customFormat="true" ht="60" hidden="false" customHeight="true" outlineLevel="2" collapsed="false">
      <c r="A42" s="63"/>
      <c r="B42" s="57"/>
      <c r="C42" s="57"/>
      <c r="D42" s="53" t="s">
        <v>198</v>
      </c>
      <c r="E42" s="53" t="s">
        <v>103</v>
      </c>
      <c r="F42" s="54" t="n">
        <v>55.45</v>
      </c>
      <c r="G42" s="55"/>
      <c r="H42" s="56" t="str">
        <f aca="false">IF(ISBLANK(G42),"",IF(ISNUMBER(F42),ROUND(F42*G42,2),"Укажите цену"))</f>
        <v/>
      </c>
      <c r="I42" s="57"/>
      <c r="J42" s="57"/>
      <c r="K42" s="57"/>
      <c r="L42" s="57"/>
      <c r="M42" s="57"/>
      <c r="N42" s="57"/>
      <c r="O42" s="57"/>
      <c r="P42" s="58"/>
      <c r="Q42" s="68"/>
      <c r="R42" s="69"/>
      <c r="S42" s="71"/>
      <c r="T42" s="61"/>
    </row>
    <row r="43" s="70" customFormat="true" ht="115" hidden="false" customHeight="true" outlineLevel="2" collapsed="false">
      <c r="A43" s="51" t="s">
        <v>199</v>
      </c>
      <c r="B43" s="57"/>
      <c r="C43" s="57"/>
      <c r="D43" s="53" t="s">
        <v>200</v>
      </c>
      <c r="E43" s="53" t="s">
        <v>89</v>
      </c>
      <c r="F43" s="54" t="n">
        <v>91.33</v>
      </c>
      <c r="G43" s="55"/>
      <c r="H43" s="56" t="str">
        <f aca="false">IF(ISBLANK(G43),"",IF(ISNUMBER(F43),ROUND(F43*G43,2),"Укажите цену"))</f>
        <v/>
      </c>
      <c r="I43" s="57" t="n">
        <v>58</v>
      </c>
      <c r="J43" s="57" t="n">
        <v>22.9</v>
      </c>
      <c r="K43" s="57" t="s">
        <v>147</v>
      </c>
      <c r="L43" s="57" t="s">
        <v>91</v>
      </c>
      <c r="M43" s="57" t="s">
        <v>92</v>
      </c>
      <c r="N43" s="57" t="n">
        <v>360</v>
      </c>
      <c r="O43" s="57" t="s">
        <v>93</v>
      </c>
      <c r="P43" s="58" t="n">
        <v>0.133</v>
      </c>
      <c r="Q43" s="68" t="s">
        <v>201</v>
      </c>
      <c r="R43" s="69" t="s">
        <v>202</v>
      </c>
      <c r="S43" s="71" t="s">
        <v>96</v>
      </c>
      <c r="T43" s="61"/>
    </row>
    <row r="44" s="70" customFormat="true" ht="115" hidden="false" customHeight="true" outlineLevel="2" collapsed="false">
      <c r="A44" s="51" t="s">
        <v>203</v>
      </c>
      <c r="B44" s="57"/>
      <c r="C44" s="57"/>
      <c r="D44" s="53" t="s">
        <v>204</v>
      </c>
      <c r="E44" s="53" t="s">
        <v>89</v>
      </c>
      <c r="F44" s="54" t="n">
        <v>145.15</v>
      </c>
      <c r="G44" s="55"/>
      <c r="H44" s="56" t="str">
        <f aca="false">IF(ISBLANK(G44),"",IF(ISNUMBER(F44),ROUND(F44*G44,2),"Укажите цену"))</f>
        <v/>
      </c>
      <c r="I44" s="57" t="n">
        <v>82</v>
      </c>
      <c r="J44" s="57" t="n">
        <v>31.7</v>
      </c>
      <c r="K44" s="57" t="s">
        <v>147</v>
      </c>
      <c r="L44" s="57" t="s">
        <v>91</v>
      </c>
      <c r="M44" s="57" t="s">
        <v>92</v>
      </c>
      <c r="N44" s="57" t="n">
        <v>360</v>
      </c>
      <c r="O44" s="57" t="s">
        <v>93</v>
      </c>
      <c r="P44" s="58" t="n">
        <v>0.133</v>
      </c>
      <c r="Q44" s="68" t="s">
        <v>205</v>
      </c>
      <c r="R44" s="69" t="s">
        <v>202</v>
      </c>
      <c r="S44" s="71" t="s">
        <v>96</v>
      </c>
      <c r="T44" s="61"/>
    </row>
    <row r="45" s="70" customFormat="true" ht="60" hidden="false" customHeight="true" outlineLevel="2" collapsed="false">
      <c r="A45" s="63" t="s">
        <v>206</v>
      </c>
      <c r="B45" s="57"/>
      <c r="C45" s="57"/>
      <c r="D45" s="53" t="s">
        <v>207</v>
      </c>
      <c r="E45" s="53" t="s">
        <v>89</v>
      </c>
      <c r="F45" s="54" t="n">
        <v>48.93</v>
      </c>
      <c r="G45" s="55"/>
      <c r="H45" s="56" t="str">
        <f aca="false">IF(ISBLANK(G45),"",IF(ISNUMBER(F45),ROUND(F45*G45,2),"Укажите цену"))</f>
        <v/>
      </c>
      <c r="I45" s="57" t="n">
        <v>37</v>
      </c>
      <c r="J45" s="57" t="n">
        <v>15.4</v>
      </c>
      <c r="K45" s="57" t="s">
        <v>147</v>
      </c>
      <c r="L45" s="57" t="s">
        <v>91</v>
      </c>
      <c r="M45" s="57" t="s">
        <v>92</v>
      </c>
      <c r="N45" s="57" t="n">
        <v>360</v>
      </c>
      <c r="O45" s="57" t="s">
        <v>93</v>
      </c>
      <c r="P45" s="58" t="n">
        <v>0.133</v>
      </c>
      <c r="Q45" s="68" t="s">
        <v>196</v>
      </c>
      <c r="R45" s="69" t="s">
        <v>208</v>
      </c>
      <c r="S45" s="71" t="s">
        <v>96</v>
      </c>
      <c r="T45" s="61"/>
    </row>
    <row r="46" s="70" customFormat="true" ht="60" hidden="false" customHeight="true" outlineLevel="2" collapsed="false">
      <c r="A46" s="63"/>
      <c r="B46" s="57"/>
      <c r="C46" s="57"/>
      <c r="D46" s="53" t="s">
        <v>209</v>
      </c>
      <c r="E46" s="53" t="s">
        <v>103</v>
      </c>
      <c r="F46" s="54" t="n">
        <v>48.93</v>
      </c>
      <c r="G46" s="55"/>
      <c r="H46" s="56" t="str">
        <f aca="false">IF(ISBLANK(G46),"",IF(ISNUMBER(F46),ROUND(F46*G46,2),"Укажите цену"))</f>
        <v/>
      </c>
      <c r="I46" s="57"/>
      <c r="J46" s="57"/>
      <c r="K46" s="57"/>
      <c r="L46" s="57"/>
      <c r="M46" s="57"/>
      <c r="N46" s="57"/>
      <c r="O46" s="57"/>
      <c r="P46" s="58"/>
      <c r="Q46" s="68"/>
      <c r="R46" s="69"/>
      <c r="S46" s="71"/>
      <c r="T46" s="61"/>
    </row>
    <row r="47" s="70" customFormat="true" ht="115" hidden="false" customHeight="true" outlineLevel="2" collapsed="false">
      <c r="A47" s="51" t="s">
        <v>210</v>
      </c>
      <c r="B47" s="57"/>
      <c r="C47" s="57"/>
      <c r="D47" s="53" t="s">
        <v>211</v>
      </c>
      <c r="E47" s="53" t="s">
        <v>89</v>
      </c>
      <c r="F47" s="54" t="n">
        <v>86.44</v>
      </c>
      <c r="G47" s="55"/>
      <c r="H47" s="56" t="str">
        <f aca="false">IF(ISBLANK(G47),"",IF(ISNUMBER(F47),ROUND(F47*G47,2),"Укажите цену"))</f>
        <v/>
      </c>
      <c r="I47" s="57" t="n">
        <v>58</v>
      </c>
      <c r="J47" s="57" t="n">
        <v>23</v>
      </c>
      <c r="K47" s="57" t="s">
        <v>147</v>
      </c>
      <c r="L47" s="57" t="s">
        <v>91</v>
      </c>
      <c r="M47" s="57" t="s">
        <v>92</v>
      </c>
      <c r="N47" s="57" t="n">
        <v>360</v>
      </c>
      <c r="O47" s="57" t="s">
        <v>93</v>
      </c>
      <c r="P47" s="58" t="n">
        <v>0.133</v>
      </c>
      <c r="Q47" s="68" t="s">
        <v>201</v>
      </c>
      <c r="R47" s="69" t="s">
        <v>212</v>
      </c>
      <c r="S47" s="71" t="s">
        <v>96</v>
      </c>
      <c r="T47" s="61"/>
    </row>
    <row r="48" s="70" customFormat="true" ht="115" hidden="false" customHeight="true" outlineLevel="2" collapsed="false">
      <c r="A48" s="51" t="s">
        <v>213</v>
      </c>
      <c r="B48" s="57"/>
      <c r="C48" s="57"/>
      <c r="D48" s="53" t="s">
        <v>214</v>
      </c>
      <c r="E48" s="53" t="s">
        <v>89</v>
      </c>
      <c r="F48" s="54" t="n">
        <v>138.63</v>
      </c>
      <c r="G48" s="55"/>
      <c r="H48" s="56" t="str">
        <f aca="false">IF(ISBLANK(G48),"",IF(ISNUMBER(F48),ROUND(F48*G48,2),"Укажите цену"))</f>
        <v/>
      </c>
      <c r="I48" s="57" t="n">
        <v>82</v>
      </c>
      <c r="J48" s="57" t="n">
        <v>31.7</v>
      </c>
      <c r="K48" s="57" t="s">
        <v>147</v>
      </c>
      <c r="L48" s="57" t="s">
        <v>91</v>
      </c>
      <c r="M48" s="57" t="s">
        <v>92</v>
      </c>
      <c r="N48" s="57" t="n">
        <v>360</v>
      </c>
      <c r="O48" s="57" t="s">
        <v>93</v>
      </c>
      <c r="P48" s="58" t="n">
        <v>0.133</v>
      </c>
      <c r="Q48" s="68" t="s">
        <v>205</v>
      </c>
      <c r="R48" s="69" t="s">
        <v>212</v>
      </c>
      <c r="S48" s="71" t="s">
        <v>96</v>
      </c>
      <c r="T48" s="61"/>
    </row>
    <row r="49" s="70" customFormat="true" ht="60" hidden="false" customHeight="true" outlineLevel="2" collapsed="false">
      <c r="A49" s="63" t="s">
        <v>215</v>
      </c>
      <c r="B49" s="57"/>
      <c r="C49" s="57"/>
      <c r="D49" s="53" t="s">
        <v>216</v>
      </c>
      <c r="E49" s="53" t="s">
        <v>217</v>
      </c>
      <c r="F49" s="54" t="n">
        <v>52.19</v>
      </c>
      <c r="G49" s="55"/>
      <c r="H49" s="56" t="str">
        <f aca="false">IF(ISBLANK(G49),"",IF(ISNUMBER(F49),ROUND(F49*G49,2),"Укажите цену"))</f>
        <v/>
      </c>
      <c r="I49" s="57" t="n">
        <v>37</v>
      </c>
      <c r="J49" s="57" t="n">
        <v>15.4</v>
      </c>
      <c r="K49" s="57" t="s">
        <v>147</v>
      </c>
      <c r="L49" s="57" t="s">
        <v>91</v>
      </c>
      <c r="M49" s="57" t="s">
        <v>92</v>
      </c>
      <c r="N49" s="57" t="n">
        <v>360</v>
      </c>
      <c r="O49" s="57" t="s">
        <v>93</v>
      </c>
      <c r="P49" s="58" t="n">
        <v>0.133</v>
      </c>
      <c r="Q49" s="68" t="s">
        <v>218</v>
      </c>
      <c r="R49" s="69" t="s">
        <v>219</v>
      </c>
      <c r="S49" s="71" t="s">
        <v>96</v>
      </c>
      <c r="T49" s="61"/>
    </row>
    <row r="50" s="70" customFormat="true" ht="60" hidden="false" customHeight="true" outlineLevel="2" collapsed="false">
      <c r="A50" s="63"/>
      <c r="B50" s="57"/>
      <c r="C50" s="57"/>
      <c r="D50" s="53" t="s">
        <v>220</v>
      </c>
      <c r="E50" s="53" t="s">
        <v>221</v>
      </c>
      <c r="F50" s="54" t="n">
        <v>52.19</v>
      </c>
      <c r="G50" s="55"/>
      <c r="H50" s="56" t="str">
        <f aca="false">IF(ISBLANK(G50),"",IF(ISNUMBER(F50),ROUND(F50*G50,2),"Укажите цену"))</f>
        <v/>
      </c>
      <c r="I50" s="57"/>
      <c r="J50" s="57"/>
      <c r="K50" s="57"/>
      <c r="L50" s="57"/>
      <c r="M50" s="57"/>
      <c r="N50" s="57"/>
      <c r="O50" s="57"/>
      <c r="P50" s="58"/>
      <c r="Q50" s="68"/>
      <c r="R50" s="69"/>
      <c r="S50" s="71"/>
      <c r="T50" s="61"/>
    </row>
    <row r="51" s="70" customFormat="true" ht="115" hidden="false" customHeight="true" outlineLevel="2" collapsed="false">
      <c r="A51" s="51" t="s">
        <v>222</v>
      </c>
      <c r="B51" s="57"/>
      <c r="C51" s="57"/>
      <c r="D51" s="53" t="s">
        <v>223</v>
      </c>
      <c r="E51" s="53" t="s">
        <v>217</v>
      </c>
      <c r="F51" s="54" t="n">
        <v>89.7</v>
      </c>
      <c r="G51" s="55"/>
      <c r="H51" s="56" t="str">
        <f aca="false">IF(ISBLANK(G51),"",IF(ISNUMBER(F51),ROUND(F51*G51,2),"Укажите цену"))</f>
        <v/>
      </c>
      <c r="I51" s="57" t="n">
        <v>58</v>
      </c>
      <c r="J51" s="57" t="n">
        <v>23</v>
      </c>
      <c r="K51" s="57" t="s">
        <v>147</v>
      </c>
      <c r="L51" s="57" t="s">
        <v>91</v>
      </c>
      <c r="M51" s="57" t="s">
        <v>92</v>
      </c>
      <c r="N51" s="57" t="n">
        <v>360</v>
      </c>
      <c r="O51" s="57" t="s">
        <v>93</v>
      </c>
      <c r="P51" s="58" t="n">
        <v>0.133</v>
      </c>
      <c r="Q51" s="68" t="s">
        <v>224</v>
      </c>
      <c r="R51" s="69" t="s">
        <v>225</v>
      </c>
      <c r="S51" s="71" t="s">
        <v>96</v>
      </c>
      <c r="T51" s="61"/>
    </row>
    <row r="52" s="70" customFormat="true" ht="115" hidden="false" customHeight="true" outlineLevel="2" collapsed="false">
      <c r="A52" s="51" t="s">
        <v>226</v>
      </c>
      <c r="B52" s="57"/>
      <c r="C52" s="57"/>
      <c r="D52" s="53" t="s">
        <v>227</v>
      </c>
      <c r="E52" s="53" t="s">
        <v>217</v>
      </c>
      <c r="F52" s="54" t="n">
        <v>140.26</v>
      </c>
      <c r="G52" s="55"/>
      <c r="H52" s="56" t="str">
        <f aca="false">IF(ISBLANK(G52),"",IF(ISNUMBER(F52),ROUND(F52*G52,2),"Укажите цену"))</f>
        <v/>
      </c>
      <c r="I52" s="57" t="n">
        <v>83</v>
      </c>
      <c r="J52" s="57" t="n">
        <v>31.4</v>
      </c>
      <c r="K52" s="57" t="s">
        <v>147</v>
      </c>
      <c r="L52" s="57" t="s">
        <v>91</v>
      </c>
      <c r="M52" s="57" t="s">
        <v>92</v>
      </c>
      <c r="N52" s="57" t="n">
        <v>360</v>
      </c>
      <c r="O52" s="57" t="s">
        <v>93</v>
      </c>
      <c r="P52" s="58" t="n">
        <v>0.133</v>
      </c>
      <c r="Q52" s="68" t="s">
        <v>228</v>
      </c>
      <c r="R52" s="69" t="s">
        <v>225</v>
      </c>
      <c r="S52" s="71" t="s">
        <v>96</v>
      </c>
      <c r="T52" s="61"/>
    </row>
    <row r="53" s="62" customFormat="true" ht="115" hidden="false" customHeight="true" outlineLevel="2" collapsed="false">
      <c r="A53" s="51" t="s">
        <v>229</v>
      </c>
      <c r="B53" s="57"/>
      <c r="C53" s="57"/>
      <c r="D53" s="53" t="s">
        <v>230</v>
      </c>
      <c r="E53" s="53" t="s">
        <v>103</v>
      </c>
      <c r="F53" s="54" t="n">
        <v>83.99</v>
      </c>
      <c r="G53" s="55"/>
      <c r="H53" s="56" t="str">
        <f aca="false">IF(ISBLANK(G53),"",IF(ISNUMBER(F53),ROUND(F53*G53,2),"Укажите цену"))</f>
        <v/>
      </c>
      <c r="I53" s="57" t="n">
        <v>37</v>
      </c>
      <c r="J53" s="57" t="n">
        <v>15.2</v>
      </c>
      <c r="K53" s="57" t="s">
        <v>231</v>
      </c>
      <c r="L53" s="57" t="s">
        <v>91</v>
      </c>
      <c r="M53" s="57" t="s">
        <v>92</v>
      </c>
      <c r="N53" s="57" t="n">
        <v>360</v>
      </c>
      <c r="O53" s="57" t="s">
        <v>93</v>
      </c>
      <c r="P53" s="58" t="n">
        <v>0.133</v>
      </c>
      <c r="Q53" s="59" t="s">
        <v>232</v>
      </c>
      <c r="R53" s="72" t="s">
        <v>233</v>
      </c>
      <c r="S53" s="73" t="s">
        <v>96</v>
      </c>
      <c r="T53" s="61"/>
      <c r="U53" s="61"/>
      <c r="V53" s="61"/>
      <c r="W53" s="61"/>
      <c r="X53" s="61"/>
      <c r="Y53" s="61"/>
      <c r="Z53" s="61"/>
    </row>
    <row r="54" s="62" customFormat="true" ht="115" hidden="false" customHeight="true" outlineLevel="2" collapsed="false">
      <c r="A54" s="51" t="s">
        <v>234</v>
      </c>
      <c r="B54" s="57"/>
      <c r="C54" s="57"/>
      <c r="D54" s="53" t="s">
        <v>235</v>
      </c>
      <c r="E54" s="53" t="s">
        <v>89</v>
      </c>
      <c r="F54" s="54" t="n">
        <v>70.95</v>
      </c>
      <c r="G54" s="55"/>
      <c r="H54" s="56" t="str">
        <f aca="false">IF(ISBLANK(G54),"",IF(ISNUMBER(F54),ROUND(F54*G54,2),"Укажите цену"))</f>
        <v/>
      </c>
      <c r="I54" s="57" t="n">
        <v>36</v>
      </c>
      <c r="J54" s="57" t="n">
        <v>15.1</v>
      </c>
      <c r="K54" s="57" t="s">
        <v>231</v>
      </c>
      <c r="L54" s="57" t="s">
        <v>91</v>
      </c>
      <c r="M54" s="57" t="s">
        <v>92</v>
      </c>
      <c r="N54" s="57" t="n">
        <v>360</v>
      </c>
      <c r="O54" s="57" t="s">
        <v>93</v>
      </c>
      <c r="P54" s="58" t="n">
        <v>0.133</v>
      </c>
      <c r="Q54" s="59" t="s">
        <v>232</v>
      </c>
      <c r="R54" s="72" t="s">
        <v>236</v>
      </c>
      <c r="S54" s="73" t="s">
        <v>96</v>
      </c>
      <c r="T54" s="61"/>
      <c r="U54" s="61"/>
      <c r="V54" s="61"/>
      <c r="W54" s="61"/>
      <c r="X54" s="61"/>
      <c r="Y54" s="61"/>
      <c r="Z54" s="61"/>
    </row>
    <row r="55" s="62" customFormat="true" ht="115" hidden="false" customHeight="true" outlineLevel="2" collapsed="false">
      <c r="A55" s="51" t="s">
        <v>237</v>
      </c>
      <c r="B55" s="57"/>
      <c r="C55" s="57"/>
      <c r="D55" s="53" t="s">
        <v>238</v>
      </c>
      <c r="E55" s="53" t="s">
        <v>103</v>
      </c>
      <c r="F55" s="54" t="n">
        <v>80.73</v>
      </c>
      <c r="G55" s="55"/>
      <c r="H55" s="56" t="str">
        <f aca="false">IF(ISBLANK(G55),"",IF(ISNUMBER(F55),ROUND(F55*G55,2),"Укажите цену"))</f>
        <v/>
      </c>
      <c r="I55" s="57" t="n">
        <v>37</v>
      </c>
      <c r="J55" s="57" t="n">
        <v>15.3</v>
      </c>
      <c r="K55" s="57" t="s">
        <v>231</v>
      </c>
      <c r="L55" s="57" t="s">
        <v>91</v>
      </c>
      <c r="M55" s="57" t="s">
        <v>92</v>
      </c>
      <c r="N55" s="57" t="n">
        <v>360</v>
      </c>
      <c r="O55" s="57" t="s">
        <v>93</v>
      </c>
      <c r="P55" s="58" t="n">
        <v>0.133</v>
      </c>
      <c r="Q55" s="59" t="s">
        <v>239</v>
      </c>
      <c r="R55" s="72" t="s">
        <v>240</v>
      </c>
      <c r="S55" s="73" t="s">
        <v>96</v>
      </c>
      <c r="T55" s="61"/>
      <c r="U55" s="61"/>
      <c r="V55" s="61"/>
      <c r="W55" s="61"/>
      <c r="X55" s="61"/>
      <c r="Y55" s="61"/>
      <c r="Z55" s="61"/>
    </row>
    <row r="56" s="62" customFormat="true" ht="115" hidden="false" customHeight="true" outlineLevel="2" collapsed="false">
      <c r="A56" s="51" t="s">
        <v>241</v>
      </c>
      <c r="B56" s="52"/>
      <c r="C56" s="57"/>
      <c r="D56" s="53" t="s">
        <v>242</v>
      </c>
      <c r="E56" s="53" t="s">
        <v>89</v>
      </c>
      <c r="F56" s="54" t="n">
        <v>154.94</v>
      </c>
      <c r="G56" s="55"/>
      <c r="H56" s="56" t="str">
        <f aca="false">IF(ISBLANK(G56),"",IF(ISNUMBER(F56),ROUND(F56*G56,2),"Укажите цену"))</f>
        <v/>
      </c>
      <c r="I56" s="57" t="n">
        <v>40</v>
      </c>
      <c r="J56" s="26" t="n">
        <v>16.25</v>
      </c>
      <c r="K56" s="57" t="s">
        <v>99</v>
      </c>
      <c r="L56" s="57" t="s">
        <v>91</v>
      </c>
      <c r="M56" s="57" t="s">
        <v>92</v>
      </c>
      <c r="N56" s="57" t="n">
        <v>360</v>
      </c>
      <c r="O56" s="57" t="s">
        <v>93</v>
      </c>
      <c r="P56" s="58" t="n">
        <v>0.133</v>
      </c>
      <c r="Q56" s="59" t="s">
        <v>243</v>
      </c>
      <c r="R56" s="60" t="s">
        <v>244</v>
      </c>
      <c r="S56" s="72" t="s">
        <v>245</v>
      </c>
      <c r="T56" s="61"/>
      <c r="U56" s="61"/>
      <c r="V56" s="61"/>
      <c r="W56" s="61"/>
      <c r="X56" s="61"/>
      <c r="Y56" s="61"/>
      <c r="Z56" s="61"/>
    </row>
    <row r="57" s="62" customFormat="true" ht="60" hidden="false" customHeight="true" outlineLevel="2" collapsed="false">
      <c r="A57" s="63" t="s">
        <v>246</v>
      </c>
      <c r="B57" s="52"/>
      <c r="C57" s="57"/>
      <c r="D57" s="53" t="s">
        <v>247</v>
      </c>
      <c r="E57" s="53" t="s">
        <v>89</v>
      </c>
      <c r="F57" s="54" t="n">
        <v>110.9</v>
      </c>
      <c r="G57" s="55"/>
      <c r="H57" s="56" t="str">
        <f aca="false">IF(ISBLANK(G57),"",IF(ISNUMBER(F57),ROUND(F57*G57,2),"Укажите цену"))</f>
        <v/>
      </c>
      <c r="I57" s="57" t="n">
        <v>38</v>
      </c>
      <c r="J57" s="26" t="n">
        <v>15.6</v>
      </c>
      <c r="K57" s="57" t="s">
        <v>99</v>
      </c>
      <c r="L57" s="57" t="s">
        <v>91</v>
      </c>
      <c r="M57" s="57" t="s">
        <v>92</v>
      </c>
      <c r="N57" s="57" t="n">
        <v>360</v>
      </c>
      <c r="O57" s="57" t="s">
        <v>93</v>
      </c>
      <c r="P57" s="58" t="n">
        <v>0.133</v>
      </c>
      <c r="Q57" s="59" t="s">
        <v>248</v>
      </c>
      <c r="R57" s="60" t="s">
        <v>249</v>
      </c>
      <c r="S57" s="72" t="s">
        <v>245</v>
      </c>
      <c r="T57" s="61"/>
      <c r="U57" s="61"/>
      <c r="V57" s="61"/>
      <c r="W57" s="61"/>
      <c r="X57" s="61"/>
      <c r="Y57" s="61"/>
      <c r="Z57" s="61"/>
    </row>
    <row r="58" s="62" customFormat="true" ht="60" hidden="false" customHeight="true" outlineLevel="2" collapsed="false">
      <c r="A58" s="63"/>
      <c r="B58" s="52"/>
      <c r="C58" s="57"/>
      <c r="D58" s="53" t="s">
        <v>250</v>
      </c>
      <c r="E58" s="53" t="s">
        <v>103</v>
      </c>
      <c r="F58" s="54" t="n">
        <v>110.9</v>
      </c>
      <c r="G58" s="55"/>
      <c r="H58" s="56" t="str">
        <f aca="false">IF(ISBLANK(G58),"",IF(ISNUMBER(F58),ROUND(F58*G58,2),"Укажите цену"))</f>
        <v/>
      </c>
      <c r="I58" s="57"/>
      <c r="J58" s="26"/>
      <c r="K58" s="57"/>
      <c r="L58" s="57"/>
      <c r="M58" s="57"/>
      <c r="N58" s="57"/>
      <c r="O58" s="57"/>
      <c r="P58" s="57"/>
      <c r="Q58" s="59"/>
      <c r="R58" s="60"/>
      <c r="S58" s="72"/>
      <c r="T58" s="61"/>
      <c r="U58" s="61"/>
      <c r="V58" s="61"/>
      <c r="W58" s="61"/>
      <c r="X58" s="61"/>
      <c r="Y58" s="61"/>
      <c r="Z58" s="61"/>
    </row>
    <row r="59" s="62" customFormat="true" ht="60" hidden="false" customHeight="true" outlineLevel="2" collapsed="false">
      <c r="A59" s="63" t="s">
        <v>251</v>
      </c>
      <c r="B59" s="52"/>
      <c r="C59" s="57"/>
      <c r="D59" s="53" t="s">
        <v>252</v>
      </c>
      <c r="E59" s="53" t="s">
        <v>89</v>
      </c>
      <c r="F59" s="54" t="n">
        <v>106.01</v>
      </c>
      <c r="G59" s="55"/>
      <c r="H59" s="56" t="str">
        <f aca="false">IF(ISBLANK(G59),"",IF(ISNUMBER(F59),ROUND(F59*G59,2),"Укажите цену"))</f>
        <v/>
      </c>
      <c r="I59" s="57" t="n">
        <v>37</v>
      </c>
      <c r="J59" s="26" t="n">
        <v>15.65</v>
      </c>
      <c r="K59" s="57" t="s">
        <v>99</v>
      </c>
      <c r="L59" s="57" t="s">
        <v>91</v>
      </c>
      <c r="M59" s="57" t="s">
        <v>92</v>
      </c>
      <c r="N59" s="57" t="n">
        <v>360</v>
      </c>
      <c r="O59" s="57" t="s">
        <v>93</v>
      </c>
      <c r="P59" s="58" t="n">
        <v>0.133</v>
      </c>
      <c r="Q59" s="59" t="s">
        <v>253</v>
      </c>
      <c r="R59" s="60" t="s">
        <v>254</v>
      </c>
      <c r="S59" s="72" t="s">
        <v>245</v>
      </c>
      <c r="T59" s="61"/>
      <c r="U59" s="61"/>
      <c r="V59" s="61"/>
      <c r="W59" s="61"/>
      <c r="X59" s="61"/>
      <c r="Y59" s="61"/>
      <c r="Z59" s="61"/>
    </row>
    <row r="60" s="62" customFormat="true" ht="60" hidden="false" customHeight="true" outlineLevel="2" collapsed="false">
      <c r="A60" s="63"/>
      <c r="B60" s="52"/>
      <c r="C60" s="57"/>
      <c r="D60" s="53" t="s">
        <v>255</v>
      </c>
      <c r="E60" s="53" t="s">
        <v>103</v>
      </c>
      <c r="F60" s="54" t="n">
        <v>106.01</v>
      </c>
      <c r="G60" s="55"/>
      <c r="H60" s="56" t="str">
        <f aca="false">IF(ISBLANK(G60),"",IF(ISNUMBER(F60),ROUND(F60*G60,2),"Укажите цену"))</f>
        <v/>
      </c>
      <c r="I60" s="57"/>
      <c r="J60" s="26"/>
      <c r="K60" s="57"/>
      <c r="L60" s="57"/>
      <c r="M60" s="57"/>
      <c r="N60" s="57"/>
      <c r="O60" s="57"/>
      <c r="P60" s="57"/>
      <c r="Q60" s="59"/>
      <c r="R60" s="60"/>
      <c r="S60" s="72"/>
      <c r="T60" s="61"/>
      <c r="U60" s="61"/>
      <c r="V60" s="61"/>
      <c r="W60" s="61"/>
      <c r="X60" s="61"/>
      <c r="Y60" s="61"/>
      <c r="Z60" s="61"/>
    </row>
    <row r="61" s="62" customFormat="true" ht="60" hidden="false" customHeight="true" outlineLevel="2" collapsed="false">
      <c r="A61" s="63" t="s">
        <v>256</v>
      </c>
      <c r="B61" s="52"/>
      <c r="C61" s="52"/>
      <c r="D61" s="53" t="s">
        <v>257</v>
      </c>
      <c r="E61" s="53" t="s">
        <v>89</v>
      </c>
      <c r="F61" s="54" t="n">
        <v>163.09</v>
      </c>
      <c r="G61" s="55"/>
      <c r="H61" s="56" t="str">
        <f aca="false">IF(ISBLANK(G61),"",IF(ISNUMBER(F61),ROUND(F61*G61,2),"Укажите цену"))</f>
        <v/>
      </c>
      <c r="I61" s="57" t="n">
        <v>39</v>
      </c>
      <c r="J61" s="26" t="n">
        <v>15.95</v>
      </c>
      <c r="K61" s="57" t="s">
        <v>99</v>
      </c>
      <c r="L61" s="57" t="s">
        <v>91</v>
      </c>
      <c r="M61" s="57" t="s">
        <v>92</v>
      </c>
      <c r="N61" s="57" t="n">
        <v>360</v>
      </c>
      <c r="O61" s="57" t="s">
        <v>93</v>
      </c>
      <c r="P61" s="58" t="n">
        <v>0.133</v>
      </c>
      <c r="Q61" s="59" t="s">
        <v>258</v>
      </c>
      <c r="R61" s="74" t="s">
        <v>259</v>
      </c>
      <c r="S61" s="72" t="s">
        <v>260</v>
      </c>
      <c r="T61" s="61"/>
      <c r="U61" s="61"/>
      <c r="V61" s="61"/>
      <c r="W61" s="61"/>
      <c r="X61" s="61"/>
      <c r="Y61" s="61"/>
      <c r="Z61" s="61"/>
    </row>
    <row r="62" s="62" customFormat="true" ht="60" hidden="false" customHeight="true" outlineLevel="2" collapsed="false">
      <c r="A62" s="63"/>
      <c r="B62" s="52"/>
      <c r="C62" s="52"/>
      <c r="D62" s="53" t="s">
        <v>261</v>
      </c>
      <c r="E62" s="53" t="s">
        <v>103</v>
      </c>
      <c r="F62" s="54" t="n">
        <v>163.09</v>
      </c>
      <c r="G62" s="55"/>
      <c r="H62" s="56" t="str">
        <f aca="false">IF(ISBLANK(G62),"",IF(ISNUMBER(F62),ROUND(F62*G62,2),"Укажите цену"))</f>
        <v/>
      </c>
      <c r="I62" s="57"/>
      <c r="J62" s="26"/>
      <c r="K62" s="57"/>
      <c r="L62" s="57"/>
      <c r="M62" s="57"/>
      <c r="N62" s="57"/>
      <c r="O62" s="57"/>
      <c r="P62" s="57"/>
      <c r="Q62" s="59"/>
      <c r="R62" s="74"/>
      <c r="S62" s="72"/>
      <c r="T62" s="61"/>
      <c r="U62" s="61"/>
      <c r="V62" s="61"/>
      <c r="W62" s="61"/>
      <c r="X62" s="61"/>
      <c r="Y62" s="61"/>
      <c r="Z62" s="61"/>
    </row>
    <row r="63" s="62" customFormat="true" ht="60" hidden="false" customHeight="true" outlineLevel="2" collapsed="false">
      <c r="A63" s="63" t="s">
        <v>262</v>
      </c>
      <c r="B63" s="52"/>
      <c r="C63" s="52"/>
      <c r="D63" s="53" t="s">
        <v>263</v>
      </c>
      <c r="E63" s="53" t="s">
        <v>89</v>
      </c>
      <c r="F63" s="54" t="n">
        <v>128.44</v>
      </c>
      <c r="G63" s="55"/>
      <c r="H63" s="56" t="str">
        <f aca="false">IF(ISBLANK(G63),"",IF(ISNUMBER(F63),ROUND(F63*G63,2),"Укажите цену"))</f>
        <v/>
      </c>
      <c r="I63" s="57" t="n">
        <v>39</v>
      </c>
      <c r="J63" s="26" t="n">
        <v>15.95</v>
      </c>
      <c r="K63" s="57" t="s">
        <v>99</v>
      </c>
      <c r="L63" s="57" t="s">
        <v>91</v>
      </c>
      <c r="M63" s="57" t="s">
        <v>92</v>
      </c>
      <c r="N63" s="57" t="n">
        <v>360</v>
      </c>
      <c r="O63" s="57" t="s">
        <v>93</v>
      </c>
      <c r="P63" s="58" t="n">
        <v>0.133</v>
      </c>
      <c r="Q63" s="59" t="s">
        <v>264</v>
      </c>
      <c r="R63" s="74" t="s">
        <v>265</v>
      </c>
      <c r="S63" s="72" t="s">
        <v>260</v>
      </c>
      <c r="T63" s="61"/>
      <c r="U63" s="61"/>
      <c r="V63" s="61"/>
      <c r="W63" s="61"/>
      <c r="X63" s="61"/>
      <c r="Y63" s="61"/>
      <c r="Z63" s="61"/>
    </row>
    <row r="64" s="62" customFormat="true" ht="60" hidden="false" customHeight="true" outlineLevel="2" collapsed="false">
      <c r="A64" s="63"/>
      <c r="B64" s="52"/>
      <c r="C64" s="52"/>
      <c r="D64" s="53" t="s">
        <v>266</v>
      </c>
      <c r="E64" s="53" t="s">
        <v>103</v>
      </c>
      <c r="F64" s="54" t="n">
        <v>128.44</v>
      </c>
      <c r="G64" s="55"/>
      <c r="H64" s="56" t="str">
        <f aca="false">IF(ISBLANK(G64),"",IF(ISNUMBER(F64),ROUND(F64*G64,2),"Укажите цену"))</f>
        <v/>
      </c>
      <c r="I64" s="57"/>
      <c r="J64" s="26"/>
      <c r="K64" s="57"/>
      <c r="L64" s="57"/>
      <c r="M64" s="57"/>
      <c r="N64" s="57"/>
      <c r="O64" s="57"/>
      <c r="P64" s="57"/>
      <c r="Q64" s="59"/>
      <c r="R64" s="74"/>
      <c r="S64" s="72"/>
      <c r="T64" s="61"/>
      <c r="U64" s="61"/>
      <c r="V64" s="61"/>
      <c r="W64" s="61"/>
      <c r="X64" s="61"/>
      <c r="Y64" s="61"/>
      <c r="Z64" s="61"/>
    </row>
    <row r="65" s="62" customFormat="true" ht="60" hidden="false" customHeight="true" outlineLevel="2" collapsed="false">
      <c r="A65" s="63" t="s">
        <v>267</v>
      </c>
      <c r="B65" s="52"/>
      <c r="C65" s="52"/>
      <c r="D65" s="53" t="s">
        <v>268</v>
      </c>
      <c r="E65" s="53" t="s">
        <v>89</v>
      </c>
      <c r="F65" s="54" t="n">
        <v>87.66</v>
      </c>
      <c r="G65" s="55"/>
      <c r="H65" s="56" t="str">
        <f aca="false">IF(ISBLANK(G65),"",IF(ISNUMBER(F65),ROUND(F65*G65,2),"Укажите цену"))</f>
        <v/>
      </c>
      <c r="I65" s="57" t="n">
        <v>37</v>
      </c>
      <c r="J65" s="26" t="n">
        <v>15.35</v>
      </c>
      <c r="K65" s="57" t="s">
        <v>99</v>
      </c>
      <c r="L65" s="57" t="s">
        <v>91</v>
      </c>
      <c r="M65" s="57" t="s">
        <v>92</v>
      </c>
      <c r="N65" s="57" t="n">
        <v>360</v>
      </c>
      <c r="O65" s="57" t="s">
        <v>93</v>
      </c>
      <c r="P65" s="58" t="n">
        <v>0.133</v>
      </c>
      <c r="Q65" s="59" t="s">
        <v>269</v>
      </c>
      <c r="R65" s="74" t="s">
        <v>270</v>
      </c>
      <c r="S65" s="72" t="s">
        <v>260</v>
      </c>
      <c r="T65" s="61"/>
      <c r="U65" s="61"/>
      <c r="V65" s="61"/>
      <c r="W65" s="61"/>
      <c r="X65" s="61"/>
      <c r="Y65" s="61"/>
      <c r="Z65" s="61"/>
    </row>
    <row r="66" s="62" customFormat="true" ht="60" hidden="false" customHeight="true" outlineLevel="2" collapsed="false">
      <c r="A66" s="63"/>
      <c r="B66" s="52"/>
      <c r="C66" s="52"/>
      <c r="D66" s="53" t="s">
        <v>271</v>
      </c>
      <c r="E66" s="53" t="s">
        <v>103</v>
      </c>
      <c r="F66" s="54" t="n">
        <v>87.66</v>
      </c>
      <c r="G66" s="55"/>
      <c r="H66" s="56" t="str">
        <f aca="false">IF(ISBLANK(G66),"",IF(ISNUMBER(F66),ROUND(F66*G66,2),"Укажите цену"))</f>
        <v/>
      </c>
      <c r="I66" s="57"/>
      <c r="J66" s="26"/>
      <c r="K66" s="57"/>
      <c r="L66" s="57"/>
      <c r="M66" s="57"/>
      <c r="N66" s="57"/>
      <c r="O66" s="57"/>
      <c r="P66" s="57"/>
      <c r="Q66" s="59"/>
      <c r="R66" s="74"/>
      <c r="S66" s="72"/>
      <c r="T66" s="61"/>
      <c r="U66" s="61"/>
      <c r="V66" s="61"/>
      <c r="W66" s="61"/>
      <c r="X66" s="61"/>
      <c r="Y66" s="61"/>
      <c r="Z66" s="61"/>
    </row>
    <row r="67" s="62" customFormat="true" ht="60" hidden="false" customHeight="true" outlineLevel="2" collapsed="false">
      <c r="A67" s="63" t="s">
        <v>272</v>
      </c>
      <c r="B67" s="52"/>
      <c r="C67" s="52"/>
      <c r="D67" s="53" t="s">
        <v>273</v>
      </c>
      <c r="E67" s="53" t="s">
        <v>89</v>
      </c>
      <c r="F67" s="54" t="n">
        <v>73.39</v>
      </c>
      <c r="G67" s="55"/>
      <c r="H67" s="56" t="str">
        <f aca="false">IF(ISBLANK(G67),"",IF(ISNUMBER(F67),ROUND(F67*G67,2),"Укажите цену"))</f>
        <v/>
      </c>
      <c r="I67" s="57" t="n">
        <v>37</v>
      </c>
      <c r="J67" s="26" t="n">
        <v>15.3</v>
      </c>
      <c r="K67" s="57" t="s">
        <v>99</v>
      </c>
      <c r="L67" s="57" t="s">
        <v>91</v>
      </c>
      <c r="M67" s="57" t="s">
        <v>92</v>
      </c>
      <c r="N67" s="57" t="n">
        <v>360</v>
      </c>
      <c r="O67" s="57" t="s">
        <v>93</v>
      </c>
      <c r="P67" s="58" t="n">
        <v>0.133</v>
      </c>
      <c r="Q67" s="59" t="s">
        <v>269</v>
      </c>
      <c r="R67" s="74" t="s">
        <v>274</v>
      </c>
      <c r="S67" s="72" t="s">
        <v>260</v>
      </c>
      <c r="T67" s="61"/>
      <c r="U67" s="61"/>
      <c r="V67" s="61"/>
      <c r="W67" s="61"/>
      <c r="X67" s="61"/>
      <c r="Y67" s="61"/>
      <c r="Z67" s="61"/>
    </row>
    <row r="68" s="62" customFormat="true" ht="60" hidden="false" customHeight="true" outlineLevel="2" collapsed="false">
      <c r="A68" s="63"/>
      <c r="B68" s="52"/>
      <c r="C68" s="52"/>
      <c r="D68" s="53" t="s">
        <v>275</v>
      </c>
      <c r="E68" s="53" t="s">
        <v>103</v>
      </c>
      <c r="F68" s="54" t="n">
        <v>73.39</v>
      </c>
      <c r="G68" s="55"/>
      <c r="H68" s="56" t="str">
        <f aca="false">IF(ISBLANK(G68),"",IF(ISNUMBER(F68),ROUND(F68*G68,2),"Укажите цену"))</f>
        <v/>
      </c>
      <c r="I68" s="57"/>
      <c r="J68" s="26"/>
      <c r="K68" s="57"/>
      <c r="L68" s="57"/>
      <c r="M68" s="57"/>
      <c r="N68" s="57"/>
      <c r="O68" s="57"/>
      <c r="P68" s="57"/>
      <c r="Q68" s="59"/>
      <c r="R68" s="74"/>
      <c r="S68" s="72"/>
      <c r="T68" s="61"/>
      <c r="U68" s="61"/>
      <c r="V68" s="61"/>
      <c r="W68" s="61"/>
      <c r="X68" s="61"/>
      <c r="Y68" s="61"/>
      <c r="Z68" s="61"/>
    </row>
    <row r="69" s="62" customFormat="true" ht="60" hidden="false" customHeight="true" outlineLevel="2" collapsed="false">
      <c r="A69" s="63" t="s">
        <v>276</v>
      </c>
      <c r="B69" s="52"/>
      <c r="C69" s="52"/>
      <c r="D69" s="53" t="s">
        <v>277</v>
      </c>
      <c r="E69" s="53" t="s">
        <v>89</v>
      </c>
      <c r="F69" s="54" t="n">
        <v>83.59</v>
      </c>
      <c r="G69" s="55"/>
      <c r="H69" s="56" t="str">
        <f aca="false">IF(ISBLANK(G69),"",IF(ISNUMBER(F69),ROUND(F69*G69,2),"Укажите цену"))</f>
        <v/>
      </c>
      <c r="I69" s="57" t="n">
        <v>37</v>
      </c>
      <c r="J69" s="26" t="n">
        <v>15.4</v>
      </c>
      <c r="K69" s="57" t="s">
        <v>99</v>
      </c>
      <c r="L69" s="57" t="s">
        <v>91</v>
      </c>
      <c r="M69" s="57" t="s">
        <v>92</v>
      </c>
      <c r="N69" s="57" t="n">
        <v>360</v>
      </c>
      <c r="O69" s="57" t="s">
        <v>93</v>
      </c>
      <c r="P69" s="58" t="n">
        <v>0.133</v>
      </c>
      <c r="Q69" s="59" t="s">
        <v>278</v>
      </c>
      <c r="R69" s="60" t="s">
        <v>279</v>
      </c>
      <c r="S69" s="72" t="s">
        <v>260</v>
      </c>
      <c r="T69" s="61"/>
      <c r="U69" s="61"/>
      <c r="V69" s="61"/>
      <c r="W69" s="61"/>
      <c r="X69" s="61"/>
      <c r="Y69" s="61"/>
      <c r="Z69" s="61"/>
    </row>
    <row r="70" s="62" customFormat="true" ht="60" hidden="false" customHeight="true" outlineLevel="2" collapsed="false">
      <c r="A70" s="63"/>
      <c r="B70" s="52"/>
      <c r="C70" s="52"/>
      <c r="D70" s="53" t="s">
        <v>280</v>
      </c>
      <c r="E70" s="53" t="s">
        <v>103</v>
      </c>
      <c r="F70" s="54" t="n">
        <v>83.59</v>
      </c>
      <c r="G70" s="55"/>
      <c r="H70" s="56" t="str">
        <f aca="false">IF(ISBLANK(G70),"",IF(ISNUMBER(F70),ROUND(F70*G70,2),"Укажите цену"))</f>
        <v/>
      </c>
      <c r="I70" s="57"/>
      <c r="J70" s="26"/>
      <c r="K70" s="57"/>
      <c r="L70" s="57"/>
      <c r="M70" s="57"/>
      <c r="N70" s="57"/>
      <c r="O70" s="57"/>
      <c r="P70" s="57"/>
      <c r="Q70" s="59"/>
      <c r="R70" s="60"/>
      <c r="S70" s="72"/>
      <c r="T70" s="61"/>
      <c r="U70" s="61"/>
      <c r="V70" s="61"/>
      <c r="W70" s="61"/>
      <c r="X70" s="61"/>
      <c r="Y70" s="61"/>
      <c r="Z70" s="61"/>
    </row>
    <row r="71" s="39" customFormat="true" ht="55" hidden="false" customHeight="true" outlineLevel="2" collapsed="false">
      <c r="A71" s="63" t="s">
        <v>281</v>
      </c>
      <c r="B71" s="75"/>
      <c r="C71" s="57"/>
      <c r="D71" s="53" t="s">
        <v>282</v>
      </c>
      <c r="E71" s="53" t="s">
        <v>89</v>
      </c>
      <c r="F71" s="54" t="n">
        <v>146.78</v>
      </c>
      <c r="G71" s="55"/>
      <c r="H71" s="56" t="str">
        <f aca="false">IF(ISBLANK(G71),"",IF(ISNUMBER(F71),ROUND(F71*G71,2),"Укажите цену"))</f>
        <v/>
      </c>
      <c r="I71" s="57" t="n">
        <v>54</v>
      </c>
      <c r="J71" s="76" t="n">
        <v>9.7</v>
      </c>
      <c r="K71" s="57" t="s">
        <v>283</v>
      </c>
      <c r="L71" s="57" t="n">
        <v>36</v>
      </c>
      <c r="M71" s="57" t="s">
        <v>284</v>
      </c>
      <c r="N71" s="57" t="n">
        <v>144</v>
      </c>
      <c r="O71" s="57" t="s">
        <v>285</v>
      </c>
      <c r="P71" s="58" t="n">
        <v>0.095</v>
      </c>
      <c r="Q71" s="59" t="s">
        <v>286</v>
      </c>
      <c r="R71" s="60" t="s">
        <v>287</v>
      </c>
      <c r="S71" s="77" t="s">
        <v>288</v>
      </c>
      <c r="T71" s="61"/>
      <c r="U71" s="34"/>
      <c r="V71" s="34"/>
      <c r="W71" s="34"/>
      <c r="X71" s="34"/>
      <c r="Y71" s="34"/>
      <c r="Z71" s="34"/>
      <c r="AA71" s="34"/>
      <c r="AB71" s="34"/>
    </row>
    <row r="72" s="39" customFormat="true" ht="55" hidden="false" customHeight="true" outlineLevel="2" collapsed="false">
      <c r="A72" s="63"/>
      <c r="B72" s="75"/>
      <c r="C72" s="57"/>
      <c r="D72" s="53" t="s">
        <v>289</v>
      </c>
      <c r="E72" s="53" t="s">
        <v>103</v>
      </c>
      <c r="F72" s="54" t="n">
        <v>146.78</v>
      </c>
      <c r="G72" s="55"/>
      <c r="H72" s="56" t="str">
        <f aca="false">IF(ISBLANK(G72),"",IF(ISNUMBER(F72),ROUND(F72*G72,2),"Укажите цену"))</f>
        <v/>
      </c>
      <c r="I72" s="57"/>
      <c r="J72" s="76"/>
      <c r="K72" s="57"/>
      <c r="L72" s="57"/>
      <c r="M72" s="57"/>
      <c r="N72" s="57"/>
      <c r="O72" s="57"/>
      <c r="P72" s="57"/>
      <c r="Q72" s="59"/>
      <c r="R72" s="60"/>
      <c r="S72" s="77"/>
      <c r="T72" s="61"/>
      <c r="U72" s="34"/>
      <c r="V72" s="34"/>
      <c r="W72" s="34"/>
      <c r="X72" s="34"/>
      <c r="Y72" s="34"/>
      <c r="Z72" s="34"/>
      <c r="AA72" s="34"/>
      <c r="AB72" s="34"/>
    </row>
    <row r="73" s="39" customFormat="true" ht="115" hidden="false" customHeight="true" outlineLevel="2" collapsed="false">
      <c r="A73" s="51" t="s">
        <v>290</v>
      </c>
      <c r="B73" s="75"/>
      <c r="C73" s="57"/>
      <c r="D73" s="53" t="s">
        <v>291</v>
      </c>
      <c r="E73" s="53" t="s">
        <v>103</v>
      </c>
      <c r="F73" s="54" t="n">
        <v>138.63</v>
      </c>
      <c r="G73" s="55"/>
      <c r="H73" s="56" t="str">
        <f aca="false">IF(ISBLANK(G73),"",IF(ISNUMBER(F73),ROUND(F73*G73,2),"Укажите цену"))</f>
        <v/>
      </c>
      <c r="I73" s="57" t="n">
        <v>54</v>
      </c>
      <c r="J73" s="76" t="n">
        <v>9.7</v>
      </c>
      <c r="K73" s="57" t="s">
        <v>283</v>
      </c>
      <c r="L73" s="57" t="n">
        <v>36</v>
      </c>
      <c r="M73" s="57" t="s">
        <v>284</v>
      </c>
      <c r="N73" s="57" t="n">
        <v>144</v>
      </c>
      <c r="O73" s="57" t="s">
        <v>285</v>
      </c>
      <c r="P73" s="58" t="n">
        <v>0.095</v>
      </c>
      <c r="Q73" s="59" t="s">
        <v>286</v>
      </c>
      <c r="R73" s="60" t="s">
        <v>292</v>
      </c>
      <c r="S73" s="77" t="s">
        <v>288</v>
      </c>
      <c r="T73" s="61"/>
      <c r="U73" s="34"/>
      <c r="V73" s="34"/>
      <c r="W73" s="34"/>
      <c r="X73" s="34"/>
      <c r="Y73" s="34"/>
      <c r="Z73" s="34"/>
      <c r="AA73" s="34"/>
      <c r="AB73" s="34"/>
    </row>
    <row r="74" s="39" customFormat="true" ht="55" hidden="false" customHeight="true" outlineLevel="2" collapsed="false">
      <c r="A74" s="63" t="s">
        <v>293</v>
      </c>
      <c r="B74" s="75"/>
      <c r="C74" s="57"/>
      <c r="D74" s="53" t="s">
        <v>294</v>
      </c>
      <c r="E74" s="53" t="s">
        <v>89</v>
      </c>
      <c r="F74" s="54" t="n">
        <v>146.78</v>
      </c>
      <c r="G74" s="55"/>
      <c r="H74" s="56" t="str">
        <f aca="false">IF(ISBLANK(G74),"",IF(ISNUMBER(F74),ROUND(F74*G74,2),"Укажите цену"))</f>
        <v/>
      </c>
      <c r="I74" s="57" t="n">
        <v>54</v>
      </c>
      <c r="J74" s="76" t="n">
        <v>9.7</v>
      </c>
      <c r="K74" s="57" t="s">
        <v>283</v>
      </c>
      <c r="L74" s="57" t="n">
        <v>36</v>
      </c>
      <c r="M74" s="57" t="s">
        <v>284</v>
      </c>
      <c r="N74" s="57" t="n">
        <v>144</v>
      </c>
      <c r="O74" s="57" t="s">
        <v>285</v>
      </c>
      <c r="P74" s="58" t="n">
        <v>0.095</v>
      </c>
      <c r="Q74" s="59" t="s">
        <v>295</v>
      </c>
      <c r="R74" s="60" t="s">
        <v>296</v>
      </c>
      <c r="S74" s="77" t="s">
        <v>288</v>
      </c>
      <c r="T74" s="61"/>
      <c r="U74" s="34"/>
      <c r="V74" s="34"/>
      <c r="W74" s="34"/>
      <c r="X74" s="34"/>
      <c r="Y74" s="34"/>
      <c r="Z74" s="34"/>
      <c r="AA74" s="34"/>
      <c r="AB74" s="34"/>
    </row>
    <row r="75" s="39" customFormat="true" ht="55" hidden="false" customHeight="true" outlineLevel="2" collapsed="false">
      <c r="A75" s="63"/>
      <c r="B75" s="75"/>
      <c r="C75" s="57"/>
      <c r="D75" s="53" t="s">
        <v>297</v>
      </c>
      <c r="E75" s="53" t="s">
        <v>103</v>
      </c>
      <c r="F75" s="54" t="n">
        <v>146.78</v>
      </c>
      <c r="G75" s="55"/>
      <c r="H75" s="56" t="str">
        <f aca="false">IF(ISBLANK(G75),"",IF(ISNUMBER(F75),ROUND(F75*G75,2),"Укажите цену"))</f>
        <v/>
      </c>
      <c r="I75" s="57"/>
      <c r="J75" s="76"/>
      <c r="K75" s="57"/>
      <c r="L75" s="57"/>
      <c r="M75" s="57"/>
      <c r="N75" s="57"/>
      <c r="O75" s="57"/>
      <c r="P75" s="57"/>
      <c r="Q75" s="59"/>
      <c r="R75" s="60"/>
      <c r="S75" s="77"/>
      <c r="T75" s="61"/>
      <c r="U75" s="34"/>
      <c r="V75" s="34"/>
      <c r="W75" s="34"/>
      <c r="X75" s="34"/>
      <c r="Y75" s="34"/>
      <c r="Z75" s="34"/>
      <c r="AA75" s="34"/>
      <c r="AB75" s="34"/>
    </row>
    <row r="76" s="42" customFormat="true" ht="5.25" hidden="false" customHeight="true" outlineLevel="2" collapsed="false">
      <c r="A76" s="78"/>
      <c r="B76" s="78"/>
      <c r="C76" s="78"/>
      <c r="D76" s="78"/>
      <c r="E76" s="78"/>
      <c r="F76" s="78"/>
      <c r="G76" s="78"/>
      <c r="H76" s="78"/>
      <c r="I76" s="78"/>
      <c r="J76" s="78"/>
      <c r="K76" s="78"/>
      <c r="L76" s="78"/>
      <c r="M76" s="78"/>
      <c r="N76" s="78"/>
      <c r="O76" s="78"/>
      <c r="P76" s="78"/>
      <c r="Q76" s="78"/>
      <c r="R76" s="78"/>
      <c r="S76" s="26"/>
      <c r="T76" s="61"/>
    </row>
    <row r="77" s="79" customFormat="true" ht="27" hidden="false" customHeight="true" outlineLevel="1" collapsed="false">
      <c r="A77" s="49" t="s">
        <v>298</v>
      </c>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c r="DA77" s="49"/>
      <c r="DB77" s="49"/>
      <c r="DC77" s="49"/>
      <c r="DD77" s="49"/>
      <c r="DE77" s="49"/>
      <c r="DF77" s="49"/>
      <c r="DG77" s="49"/>
      <c r="DH77" s="49"/>
      <c r="DI77" s="49"/>
      <c r="DJ77" s="49"/>
      <c r="DK77" s="49"/>
      <c r="DL77" s="49"/>
      <c r="DM77" s="49"/>
      <c r="DN77" s="49"/>
      <c r="DO77" s="49"/>
      <c r="DP77" s="49"/>
      <c r="DQ77" s="49"/>
      <c r="DR77" s="49"/>
      <c r="DS77" s="49"/>
      <c r="DT77" s="49"/>
      <c r="DU77" s="49"/>
      <c r="DV77" s="49"/>
      <c r="DW77" s="49"/>
      <c r="DX77" s="49"/>
      <c r="DY77" s="49"/>
      <c r="DZ77" s="49"/>
      <c r="EA77" s="49"/>
      <c r="EB77" s="49"/>
      <c r="EC77" s="49"/>
      <c r="ED77" s="49"/>
      <c r="EE77" s="49"/>
      <c r="EF77" s="49"/>
      <c r="EG77" s="49"/>
      <c r="EH77" s="49"/>
      <c r="EI77" s="49"/>
      <c r="EJ77" s="49"/>
      <c r="EK77" s="49"/>
      <c r="EL77" s="49"/>
      <c r="EM77" s="49"/>
      <c r="EN77" s="49"/>
      <c r="EO77" s="49"/>
      <c r="EP77" s="49"/>
      <c r="EQ77" s="49"/>
      <c r="ER77" s="49"/>
      <c r="ES77" s="49"/>
      <c r="ET77" s="49"/>
      <c r="EU77" s="49"/>
      <c r="EV77" s="49"/>
      <c r="EW77" s="49"/>
      <c r="EX77" s="49"/>
      <c r="EY77" s="49"/>
      <c r="EZ77" s="49"/>
      <c r="FA77" s="49"/>
      <c r="FB77" s="49"/>
      <c r="FC77" s="49"/>
      <c r="FD77" s="49"/>
      <c r="FE77" s="49"/>
      <c r="FF77" s="49"/>
      <c r="FG77" s="49"/>
      <c r="FH77" s="49"/>
      <c r="FI77" s="49"/>
      <c r="FJ77" s="49"/>
      <c r="FK77" s="49"/>
      <c r="FL77" s="49"/>
      <c r="FM77" s="49"/>
      <c r="FN77" s="49"/>
      <c r="FO77" s="49"/>
      <c r="FP77" s="49"/>
      <c r="FQ77" s="49"/>
      <c r="FR77" s="49"/>
      <c r="FS77" s="49"/>
      <c r="FT77" s="49"/>
      <c r="FU77" s="49"/>
      <c r="FV77" s="49"/>
      <c r="FW77" s="49"/>
      <c r="FX77" s="49"/>
      <c r="FY77" s="49"/>
      <c r="FZ77" s="49"/>
      <c r="GA77" s="49"/>
      <c r="GB77" s="49"/>
      <c r="GC77" s="49"/>
      <c r="GD77" s="49"/>
      <c r="GE77" s="49"/>
      <c r="GF77" s="49"/>
      <c r="GG77" s="49"/>
      <c r="GH77" s="49"/>
      <c r="GI77" s="49"/>
      <c r="GJ77" s="49"/>
      <c r="GK77" s="49"/>
      <c r="GL77" s="49"/>
      <c r="GM77" s="49"/>
      <c r="GN77" s="49"/>
      <c r="GO77" s="49"/>
      <c r="GP77" s="49"/>
      <c r="GQ77" s="49"/>
      <c r="GR77" s="49"/>
      <c r="GS77" s="49"/>
      <c r="GT77" s="49"/>
      <c r="GU77" s="49"/>
      <c r="GV77" s="49"/>
      <c r="GW77" s="49"/>
      <c r="GX77" s="49"/>
      <c r="GY77" s="49"/>
      <c r="GZ77" s="49"/>
      <c r="HA77" s="49"/>
      <c r="HB77" s="49"/>
      <c r="HC77" s="49"/>
      <c r="HD77" s="49"/>
      <c r="HE77" s="49"/>
      <c r="HF77" s="49"/>
      <c r="HG77" s="49"/>
      <c r="HH77" s="49"/>
      <c r="HI77" s="49"/>
      <c r="HJ77" s="49"/>
      <c r="HK77" s="49"/>
      <c r="HL77" s="49"/>
      <c r="HM77" s="49"/>
      <c r="HN77" s="49"/>
      <c r="HO77" s="49"/>
      <c r="HP77" s="49"/>
      <c r="HQ77" s="49"/>
      <c r="HR77" s="49"/>
      <c r="HS77" s="49"/>
      <c r="HT77" s="49"/>
      <c r="HU77" s="49"/>
      <c r="HV77" s="49"/>
      <c r="HW77" s="49"/>
      <c r="HX77" s="49"/>
      <c r="HY77" s="49"/>
    </row>
    <row r="78" s="62" customFormat="true" ht="115" hidden="false" customHeight="true" outlineLevel="2" collapsed="false">
      <c r="A78" s="51" t="s">
        <v>299</v>
      </c>
      <c r="B78" s="80"/>
      <c r="C78" s="81"/>
      <c r="D78" s="53" t="s">
        <v>300</v>
      </c>
      <c r="E78" s="53" t="s">
        <v>103</v>
      </c>
      <c r="F78" s="54" t="n">
        <v>43.22</v>
      </c>
      <c r="G78" s="55"/>
      <c r="H78" s="56" t="str">
        <f aca="false">IF(ISBLANK(G78),"",IF(ISNUMBER(F78),ROUND(F78*G78,2),"Укажите цену"))</f>
        <v/>
      </c>
      <c r="I78" s="81" t="n">
        <v>524</v>
      </c>
      <c r="J78" s="82" t="n">
        <v>13.74</v>
      </c>
      <c r="K78" s="81" t="s">
        <v>301</v>
      </c>
      <c r="L78" s="81" t="s">
        <v>91</v>
      </c>
      <c r="M78" s="81" t="s">
        <v>92</v>
      </c>
      <c r="N78" s="81" t="n">
        <v>24</v>
      </c>
      <c r="O78" s="81" t="s">
        <v>302</v>
      </c>
      <c r="P78" s="83" t="n">
        <v>0.046</v>
      </c>
      <c r="Q78" s="84" t="s">
        <v>303</v>
      </c>
      <c r="R78" s="85" t="s">
        <v>304</v>
      </c>
      <c r="S78" s="86" t="s">
        <v>96</v>
      </c>
      <c r="T78" s="87"/>
      <c r="U78" s="87"/>
      <c r="V78" s="61"/>
      <c r="W78" s="61"/>
      <c r="X78" s="61"/>
      <c r="Y78" s="61"/>
      <c r="Z78" s="61"/>
    </row>
    <row r="79" s="62" customFormat="true" ht="115" hidden="false" customHeight="true" outlineLevel="2" collapsed="false">
      <c r="A79" s="51" t="s">
        <v>305</v>
      </c>
      <c r="B79" s="80"/>
      <c r="C79" s="81"/>
      <c r="D79" s="53" t="s">
        <v>306</v>
      </c>
      <c r="E79" s="53" t="s">
        <v>103</v>
      </c>
      <c r="F79" s="54" t="n">
        <v>31.4</v>
      </c>
      <c r="G79" s="55"/>
      <c r="H79" s="56" t="str">
        <f aca="false">IF(ISBLANK(G79),"",IF(ISNUMBER(F79),ROUND(F79*G79,2),"Укажите цену"))</f>
        <v/>
      </c>
      <c r="I79" s="81" t="n">
        <v>528</v>
      </c>
      <c r="J79" s="82" t="n">
        <v>13.66</v>
      </c>
      <c r="K79" s="81" t="s">
        <v>301</v>
      </c>
      <c r="L79" s="81" t="s">
        <v>91</v>
      </c>
      <c r="M79" s="81" t="s">
        <v>92</v>
      </c>
      <c r="N79" s="81" t="n">
        <v>24</v>
      </c>
      <c r="O79" s="81" t="s">
        <v>302</v>
      </c>
      <c r="P79" s="83" t="n">
        <v>0.046</v>
      </c>
      <c r="Q79" s="84" t="s">
        <v>307</v>
      </c>
      <c r="R79" s="88" t="s">
        <v>308</v>
      </c>
      <c r="S79" s="86" t="s">
        <v>96</v>
      </c>
      <c r="T79" s="89"/>
      <c r="U79" s="87"/>
      <c r="V79" s="61"/>
      <c r="W79" s="61"/>
      <c r="X79" s="61"/>
      <c r="Y79" s="61"/>
      <c r="Z79" s="61"/>
    </row>
    <row r="80" s="62" customFormat="true" ht="115" hidden="false" customHeight="true" outlineLevel="2" collapsed="false">
      <c r="A80" s="51" t="s">
        <v>309</v>
      </c>
      <c r="B80" s="80"/>
      <c r="C80" s="81"/>
      <c r="D80" s="53" t="s">
        <v>310</v>
      </c>
      <c r="E80" s="53" t="s">
        <v>103</v>
      </c>
      <c r="F80" s="54" t="n">
        <v>31.4</v>
      </c>
      <c r="G80" s="55"/>
      <c r="H80" s="56" t="str">
        <f aca="false">IF(ISBLANK(G80),"",IF(ISNUMBER(F80),ROUND(F80*G80,2),"Укажите цену"))</f>
        <v/>
      </c>
      <c r="I80" s="81" t="n">
        <v>540</v>
      </c>
      <c r="J80" s="82" t="n">
        <v>14.02</v>
      </c>
      <c r="K80" s="81" t="s">
        <v>301</v>
      </c>
      <c r="L80" s="81" t="s">
        <v>91</v>
      </c>
      <c r="M80" s="81" t="s">
        <v>92</v>
      </c>
      <c r="N80" s="81" t="n">
        <v>24</v>
      </c>
      <c r="O80" s="81" t="s">
        <v>302</v>
      </c>
      <c r="P80" s="83" t="n">
        <v>0.046</v>
      </c>
      <c r="Q80" s="84" t="s">
        <v>311</v>
      </c>
      <c r="R80" s="88" t="s">
        <v>312</v>
      </c>
      <c r="S80" s="86" t="s">
        <v>96</v>
      </c>
      <c r="T80" s="87"/>
      <c r="U80" s="87"/>
      <c r="V80" s="61"/>
      <c r="W80" s="61"/>
      <c r="X80" s="61"/>
      <c r="Y80" s="61"/>
      <c r="Z80" s="61"/>
    </row>
    <row r="81" s="62" customFormat="true" ht="115" hidden="false" customHeight="true" outlineLevel="2" collapsed="false">
      <c r="A81" s="51" t="s">
        <v>313</v>
      </c>
      <c r="B81" s="80"/>
      <c r="C81" s="81"/>
      <c r="D81" s="53" t="s">
        <v>314</v>
      </c>
      <c r="E81" s="53" t="s">
        <v>103</v>
      </c>
      <c r="F81" s="54" t="n">
        <v>22.02</v>
      </c>
      <c r="G81" s="55"/>
      <c r="H81" s="56" t="str">
        <f aca="false">IF(ISBLANK(G81),"",IF(ISNUMBER(F81),ROUND(F81*G81,2),"Укажите цену"))</f>
        <v/>
      </c>
      <c r="I81" s="81" t="n">
        <v>547</v>
      </c>
      <c r="J81" s="82" t="n">
        <v>14.28</v>
      </c>
      <c r="K81" s="81" t="s">
        <v>301</v>
      </c>
      <c r="L81" s="81" t="s">
        <v>91</v>
      </c>
      <c r="M81" s="81" t="s">
        <v>92</v>
      </c>
      <c r="N81" s="81" t="n">
        <v>24</v>
      </c>
      <c r="O81" s="81" t="s">
        <v>302</v>
      </c>
      <c r="P81" s="83" t="n">
        <v>0.046</v>
      </c>
      <c r="Q81" s="84" t="s">
        <v>315</v>
      </c>
      <c r="R81" s="88" t="s">
        <v>316</v>
      </c>
      <c r="S81" s="86" t="s">
        <v>96</v>
      </c>
      <c r="T81" s="87"/>
      <c r="U81" s="87"/>
      <c r="V81" s="61"/>
      <c r="W81" s="61"/>
      <c r="X81" s="61"/>
      <c r="Y81" s="61"/>
      <c r="Z81" s="61"/>
    </row>
    <row r="82" s="62" customFormat="true" ht="115" hidden="false" customHeight="true" outlineLevel="2" collapsed="false">
      <c r="A82" s="51" t="s">
        <v>317</v>
      </c>
      <c r="B82" s="80"/>
      <c r="C82" s="81"/>
      <c r="D82" s="53" t="s">
        <v>318</v>
      </c>
      <c r="E82" s="53" t="s">
        <v>103</v>
      </c>
      <c r="F82" s="54" t="n">
        <v>25.28</v>
      </c>
      <c r="G82" s="55"/>
      <c r="H82" s="56" t="str">
        <f aca="false">IF(ISBLANK(G82),"",IF(ISNUMBER(F82),ROUND(F82*G82,2),"Укажите цену"))</f>
        <v/>
      </c>
      <c r="I82" s="81" t="n">
        <v>549</v>
      </c>
      <c r="J82" s="82" t="n">
        <v>14.31</v>
      </c>
      <c r="K82" s="81" t="s">
        <v>301</v>
      </c>
      <c r="L82" s="81" t="s">
        <v>91</v>
      </c>
      <c r="M82" s="81" t="s">
        <v>92</v>
      </c>
      <c r="N82" s="81" t="n">
        <v>24</v>
      </c>
      <c r="O82" s="81" t="s">
        <v>302</v>
      </c>
      <c r="P82" s="83" t="n">
        <v>0.046</v>
      </c>
      <c r="Q82" s="84" t="s">
        <v>319</v>
      </c>
      <c r="R82" s="88" t="s">
        <v>320</v>
      </c>
      <c r="S82" s="86" t="s">
        <v>96</v>
      </c>
      <c r="T82" s="87"/>
      <c r="U82" s="87"/>
      <c r="V82" s="61"/>
      <c r="W82" s="61"/>
      <c r="X82" s="61"/>
      <c r="Y82" s="61"/>
      <c r="Z82" s="61"/>
    </row>
    <row r="83" s="62" customFormat="true" ht="115" hidden="false" customHeight="true" outlineLevel="2" collapsed="false">
      <c r="A83" s="51" t="s">
        <v>321</v>
      </c>
      <c r="B83" s="52"/>
      <c r="C83" s="57"/>
      <c r="D83" s="53" t="s">
        <v>322</v>
      </c>
      <c r="E83" s="53" t="s">
        <v>89</v>
      </c>
      <c r="F83" s="54" t="n">
        <v>122.32</v>
      </c>
      <c r="G83" s="55"/>
      <c r="H83" s="56" t="str">
        <f aca="false">IF(ISBLANK(G83),"",IF(ISNUMBER(F83),ROUND(F83*G83,2),"Укажите цену"))</f>
        <v/>
      </c>
      <c r="I83" s="57" t="n">
        <v>42</v>
      </c>
      <c r="J83" s="26" t="n">
        <v>17.56</v>
      </c>
      <c r="K83" s="57" t="s">
        <v>90</v>
      </c>
      <c r="L83" s="57" t="s">
        <v>91</v>
      </c>
      <c r="M83" s="57" t="s">
        <v>92</v>
      </c>
      <c r="N83" s="57" t="n">
        <v>360</v>
      </c>
      <c r="O83" s="57" t="s">
        <v>93</v>
      </c>
      <c r="P83" s="58" t="n">
        <v>0.133</v>
      </c>
      <c r="Q83" s="90" t="s">
        <v>323</v>
      </c>
      <c r="R83" s="91" t="s">
        <v>324</v>
      </c>
      <c r="S83" s="60" t="s">
        <v>96</v>
      </c>
      <c r="T83" s="87"/>
      <c r="U83" s="61"/>
      <c r="V83" s="61"/>
      <c r="W83" s="61"/>
      <c r="X83" s="61"/>
      <c r="Y83" s="61"/>
      <c r="Z83" s="61"/>
    </row>
    <row r="84" s="62" customFormat="true" ht="115" hidden="false" customHeight="true" outlineLevel="2" collapsed="false">
      <c r="A84" s="51" t="s">
        <v>325</v>
      </c>
      <c r="B84" s="52"/>
      <c r="C84" s="57"/>
      <c r="D84" s="53" t="s">
        <v>326</v>
      </c>
      <c r="E84" s="53" t="s">
        <v>89</v>
      </c>
      <c r="F84" s="54" t="n">
        <v>110.9</v>
      </c>
      <c r="G84" s="55"/>
      <c r="H84" s="56" t="str">
        <f aca="false">IF(ISBLANK(G84),"",IF(ISNUMBER(F84),ROUND(F84*G84,2),"Укажите цену"))</f>
        <v/>
      </c>
      <c r="I84" s="57" t="n">
        <v>43</v>
      </c>
      <c r="J84" s="26" t="n">
        <v>17.57</v>
      </c>
      <c r="K84" s="57" t="s">
        <v>90</v>
      </c>
      <c r="L84" s="57" t="s">
        <v>91</v>
      </c>
      <c r="M84" s="57" t="s">
        <v>92</v>
      </c>
      <c r="N84" s="57" t="n">
        <v>360</v>
      </c>
      <c r="O84" s="57" t="s">
        <v>93</v>
      </c>
      <c r="P84" s="58" t="n">
        <v>0.133</v>
      </c>
      <c r="Q84" s="90" t="s">
        <v>327</v>
      </c>
      <c r="R84" s="91" t="s">
        <v>328</v>
      </c>
      <c r="S84" s="60" t="s">
        <v>96</v>
      </c>
      <c r="T84" s="87"/>
      <c r="U84" s="61"/>
      <c r="V84" s="61"/>
      <c r="W84" s="61"/>
      <c r="X84" s="61"/>
      <c r="Y84" s="61"/>
      <c r="Z84" s="61"/>
    </row>
    <row r="85" s="62" customFormat="true" ht="115" hidden="false" customHeight="true" outlineLevel="2" collapsed="false">
      <c r="A85" s="51" t="s">
        <v>329</v>
      </c>
      <c r="B85" s="52"/>
      <c r="C85" s="57"/>
      <c r="D85" s="53" t="s">
        <v>330</v>
      </c>
      <c r="E85" s="53" t="s">
        <v>89</v>
      </c>
      <c r="F85" s="54" t="n">
        <v>163.09</v>
      </c>
      <c r="G85" s="55"/>
      <c r="H85" s="56" t="str">
        <f aca="false">IF(ISBLANK(G85),"",IF(ISNUMBER(F85),ROUND(F85*G85,2),"Укажите цену"))</f>
        <v/>
      </c>
      <c r="I85" s="57" t="n">
        <v>46</v>
      </c>
      <c r="J85" s="26" t="n">
        <v>19</v>
      </c>
      <c r="K85" s="57" t="s">
        <v>99</v>
      </c>
      <c r="L85" s="57" t="s">
        <v>91</v>
      </c>
      <c r="M85" s="57" t="s">
        <v>92</v>
      </c>
      <c r="N85" s="57" t="n">
        <v>360</v>
      </c>
      <c r="O85" s="57" t="s">
        <v>93</v>
      </c>
      <c r="P85" s="58" t="n">
        <v>0.133</v>
      </c>
      <c r="Q85" s="68" t="s">
        <v>331</v>
      </c>
      <c r="R85" s="69" t="s">
        <v>332</v>
      </c>
      <c r="S85" s="60" t="s">
        <v>96</v>
      </c>
      <c r="T85" s="87"/>
      <c r="U85" s="61"/>
      <c r="V85" s="61"/>
      <c r="W85" s="61"/>
      <c r="X85" s="61"/>
      <c r="Y85" s="61"/>
      <c r="Z85" s="61"/>
    </row>
    <row r="86" s="62" customFormat="true" ht="115" hidden="false" customHeight="true" outlineLevel="2" collapsed="false">
      <c r="A86" s="51" t="s">
        <v>333</v>
      </c>
      <c r="B86" s="52"/>
      <c r="C86" s="57"/>
      <c r="D86" s="53" t="s">
        <v>334</v>
      </c>
      <c r="E86" s="53" t="s">
        <v>89</v>
      </c>
      <c r="F86" s="54" t="n">
        <v>154.94</v>
      </c>
      <c r="G86" s="55"/>
      <c r="H86" s="56" t="str">
        <f aca="false">IF(ISBLANK(G86),"",IF(ISNUMBER(F86),ROUND(F86*G86,2),"Укажите цену"))</f>
        <v/>
      </c>
      <c r="I86" s="57" t="n">
        <v>46</v>
      </c>
      <c r="J86" s="26" t="n">
        <v>18.91</v>
      </c>
      <c r="K86" s="57" t="s">
        <v>99</v>
      </c>
      <c r="L86" s="57" t="s">
        <v>91</v>
      </c>
      <c r="M86" s="57" t="s">
        <v>92</v>
      </c>
      <c r="N86" s="57" t="n">
        <v>360</v>
      </c>
      <c r="O86" s="57" t="s">
        <v>93</v>
      </c>
      <c r="P86" s="58" t="n">
        <v>0.133</v>
      </c>
      <c r="Q86" s="68" t="s">
        <v>335</v>
      </c>
      <c r="R86" s="69" t="s">
        <v>336</v>
      </c>
      <c r="S86" s="60" t="s">
        <v>96</v>
      </c>
      <c r="T86" s="87"/>
      <c r="U86" s="61"/>
      <c r="V86" s="61"/>
      <c r="W86" s="61"/>
      <c r="X86" s="61"/>
      <c r="Y86" s="61"/>
      <c r="Z86" s="61"/>
    </row>
    <row r="87" s="34" customFormat="true" ht="115" hidden="false" customHeight="true" outlineLevel="2" collapsed="false">
      <c r="A87" s="51" t="s">
        <v>337</v>
      </c>
      <c r="B87" s="57"/>
      <c r="C87" s="57"/>
      <c r="D87" s="53" t="s">
        <v>338</v>
      </c>
      <c r="E87" s="53" t="s">
        <v>89</v>
      </c>
      <c r="F87" s="54" t="n">
        <v>97.86</v>
      </c>
      <c r="G87" s="55"/>
      <c r="H87" s="56" t="str">
        <f aca="false">IF(ISBLANK(G87),"",IF(ISNUMBER(F87),ROUND(F87*G87,2),"Укажите цену"))</f>
        <v/>
      </c>
      <c r="I87" s="57" t="n">
        <v>40</v>
      </c>
      <c r="J87" s="57" t="n">
        <v>16.6</v>
      </c>
      <c r="K87" s="57" t="s">
        <v>339</v>
      </c>
      <c r="L87" s="57" t="s">
        <v>91</v>
      </c>
      <c r="M87" s="57" t="s">
        <v>92</v>
      </c>
      <c r="N87" s="57" t="n">
        <v>360</v>
      </c>
      <c r="O87" s="57" t="s">
        <v>93</v>
      </c>
      <c r="P87" s="58" t="n">
        <v>0.133</v>
      </c>
      <c r="Q87" s="92" t="s">
        <v>340</v>
      </c>
      <c r="R87" s="93" t="s">
        <v>341</v>
      </c>
      <c r="S87" s="60" t="s">
        <v>96</v>
      </c>
      <c r="T87" s="61"/>
    </row>
    <row r="88" s="34" customFormat="true" ht="115" hidden="false" customHeight="true" outlineLevel="2" collapsed="false">
      <c r="A88" s="51" t="s">
        <v>342</v>
      </c>
      <c r="B88" s="57"/>
      <c r="C88" s="57"/>
      <c r="D88" s="53" t="s">
        <v>343</v>
      </c>
      <c r="E88" s="53" t="s">
        <v>89</v>
      </c>
      <c r="F88" s="54" t="n">
        <v>78.29</v>
      </c>
      <c r="G88" s="55"/>
      <c r="H88" s="56" t="str">
        <f aca="false">IF(ISBLANK(G88),"",IF(ISNUMBER(F88),ROUND(F88*G88,2),"Укажите цену"))</f>
        <v/>
      </c>
      <c r="I88" s="57" t="n">
        <v>40</v>
      </c>
      <c r="J88" s="57" t="n">
        <v>16.5</v>
      </c>
      <c r="K88" s="57" t="s">
        <v>339</v>
      </c>
      <c r="L88" s="57" t="s">
        <v>91</v>
      </c>
      <c r="M88" s="57" t="s">
        <v>92</v>
      </c>
      <c r="N88" s="57" t="n">
        <v>360</v>
      </c>
      <c r="O88" s="57" t="s">
        <v>93</v>
      </c>
      <c r="P88" s="58" t="n">
        <v>0.133</v>
      </c>
      <c r="Q88" s="92" t="s">
        <v>344</v>
      </c>
      <c r="R88" s="93" t="s">
        <v>345</v>
      </c>
      <c r="S88" s="60" t="s">
        <v>96</v>
      </c>
      <c r="T88" s="61"/>
    </row>
    <row r="89" s="34" customFormat="true" ht="60" hidden="false" customHeight="true" outlineLevel="2" collapsed="false">
      <c r="A89" s="63" t="s">
        <v>346</v>
      </c>
      <c r="B89" s="57"/>
      <c r="C89" s="57"/>
      <c r="D89" s="53" t="s">
        <v>347</v>
      </c>
      <c r="E89" s="53" t="s">
        <v>89</v>
      </c>
      <c r="F89" s="54" t="n">
        <v>52.19</v>
      </c>
      <c r="G89" s="55"/>
      <c r="H89" s="56" t="str">
        <f aca="false">IF(ISBLANK(G89),"",IF(ISNUMBER(F89),ROUND(F89*G89,2),"Укажите цену"))</f>
        <v/>
      </c>
      <c r="I89" s="94" t="s">
        <v>348</v>
      </c>
      <c r="J89" s="57" t="n">
        <v>22</v>
      </c>
      <c r="K89" s="94" t="s">
        <v>348</v>
      </c>
      <c r="L89" s="57" t="s">
        <v>91</v>
      </c>
      <c r="M89" s="57" t="s">
        <v>92</v>
      </c>
      <c r="N89" s="57" t="n">
        <v>1000</v>
      </c>
      <c r="O89" s="57" t="s">
        <v>349</v>
      </c>
      <c r="P89" s="58" t="n">
        <v>0.038</v>
      </c>
      <c r="Q89" s="95" t="s">
        <v>350</v>
      </c>
      <c r="R89" s="69" t="s">
        <v>351</v>
      </c>
      <c r="S89" s="60" t="s">
        <v>96</v>
      </c>
      <c r="T89" s="61"/>
    </row>
    <row r="90" s="34" customFormat="true" ht="60" hidden="false" customHeight="true" outlineLevel="2" collapsed="false">
      <c r="A90" s="63"/>
      <c r="B90" s="57"/>
      <c r="C90" s="57"/>
      <c r="D90" s="53" t="s">
        <v>352</v>
      </c>
      <c r="E90" s="53" t="s">
        <v>103</v>
      </c>
      <c r="F90" s="54" t="n">
        <v>52.19</v>
      </c>
      <c r="G90" s="55"/>
      <c r="H90" s="56" t="str">
        <f aca="false">IF(ISBLANK(G90),"",IF(ISNUMBER(F90),ROUND(F90*G90,2),"Укажите цену"))</f>
        <v/>
      </c>
      <c r="I90" s="94"/>
      <c r="J90" s="94"/>
      <c r="K90" s="94"/>
      <c r="L90" s="94"/>
      <c r="M90" s="94"/>
      <c r="N90" s="94"/>
      <c r="O90" s="94"/>
      <c r="P90" s="58"/>
      <c r="Q90" s="95"/>
      <c r="R90" s="69"/>
      <c r="S90" s="60"/>
      <c r="T90" s="61"/>
    </row>
    <row r="91" s="34" customFormat="true" ht="60" hidden="false" customHeight="true" outlineLevel="2" collapsed="false">
      <c r="A91" s="63" t="s">
        <v>353</v>
      </c>
      <c r="B91" s="57"/>
      <c r="C91" s="57"/>
      <c r="D91" s="53" t="s">
        <v>354</v>
      </c>
      <c r="E91" s="53" t="s">
        <v>89</v>
      </c>
      <c r="F91" s="54" t="n">
        <v>35.88</v>
      </c>
      <c r="G91" s="55"/>
      <c r="H91" s="56" t="str">
        <f aca="false">IF(ISBLANK(G91),"",IF(ISNUMBER(F91),ROUND(F91*G91,2),"Укажите цену"))</f>
        <v/>
      </c>
      <c r="I91" s="94" t="s">
        <v>348</v>
      </c>
      <c r="J91" s="57" t="n">
        <v>22</v>
      </c>
      <c r="K91" s="94" t="s">
        <v>348</v>
      </c>
      <c r="L91" s="57" t="s">
        <v>91</v>
      </c>
      <c r="M91" s="57" t="s">
        <v>92</v>
      </c>
      <c r="N91" s="57" t="n">
        <v>1000</v>
      </c>
      <c r="O91" s="57" t="s">
        <v>349</v>
      </c>
      <c r="P91" s="58" t="n">
        <v>0.038</v>
      </c>
      <c r="Q91" s="95" t="s">
        <v>355</v>
      </c>
      <c r="R91" s="69" t="s">
        <v>356</v>
      </c>
      <c r="S91" s="60" t="s">
        <v>96</v>
      </c>
      <c r="T91" s="61"/>
    </row>
    <row r="92" s="34" customFormat="true" ht="60" hidden="false" customHeight="true" outlineLevel="2" collapsed="false">
      <c r="A92" s="63"/>
      <c r="B92" s="57"/>
      <c r="C92" s="57"/>
      <c r="D92" s="53" t="s">
        <v>357</v>
      </c>
      <c r="E92" s="53" t="s">
        <v>103</v>
      </c>
      <c r="F92" s="54" t="n">
        <v>35.88</v>
      </c>
      <c r="G92" s="55"/>
      <c r="H92" s="56" t="str">
        <f aca="false">IF(ISBLANK(G92),"",IF(ISNUMBER(F92),ROUND(F92*G92,2),"Укажите цену"))</f>
        <v/>
      </c>
      <c r="I92" s="94"/>
      <c r="J92" s="94"/>
      <c r="K92" s="94"/>
      <c r="L92" s="94"/>
      <c r="M92" s="94"/>
      <c r="N92" s="94"/>
      <c r="O92" s="94"/>
      <c r="P92" s="58"/>
      <c r="Q92" s="95"/>
      <c r="R92" s="69"/>
      <c r="S92" s="60"/>
      <c r="T92" s="61"/>
    </row>
    <row r="93" s="34" customFormat="true" ht="60" hidden="false" customHeight="true" outlineLevel="2" collapsed="false">
      <c r="A93" s="63" t="s">
        <v>358</v>
      </c>
      <c r="B93" s="57"/>
      <c r="C93" s="57"/>
      <c r="D93" s="53" t="s">
        <v>359</v>
      </c>
      <c r="E93" s="53" t="s">
        <v>89</v>
      </c>
      <c r="F93" s="54" t="n">
        <v>30.99</v>
      </c>
      <c r="G93" s="55"/>
      <c r="H93" s="56" t="str">
        <f aca="false">IF(ISBLANK(G93),"",IF(ISNUMBER(F93),ROUND(F93*G93,2),"Укажите цену"))</f>
        <v/>
      </c>
      <c r="I93" s="94" t="s">
        <v>348</v>
      </c>
      <c r="J93" s="57" t="n">
        <v>20.8</v>
      </c>
      <c r="K93" s="94" t="s">
        <v>348</v>
      </c>
      <c r="L93" s="57" t="s">
        <v>91</v>
      </c>
      <c r="M93" s="57" t="s">
        <v>92</v>
      </c>
      <c r="N93" s="57" t="n">
        <v>1000</v>
      </c>
      <c r="O93" s="57" t="s">
        <v>349</v>
      </c>
      <c r="P93" s="58" t="n">
        <v>0.038</v>
      </c>
      <c r="Q93" s="95" t="s">
        <v>360</v>
      </c>
      <c r="R93" s="69" t="s">
        <v>361</v>
      </c>
      <c r="S93" s="60" t="s">
        <v>96</v>
      </c>
      <c r="T93" s="61"/>
    </row>
    <row r="94" s="34" customFormat="true" ht="60" hidden="false" customHeight="true" outlineLevel="2" collapsed="false">
      <c r="A94" s="63"/>
      <c r="B94" s="57"/>
      <c r="C94" s="57"/>
      <c r="D94" s="53" t="s">
        <v>362</v>
      </c>
      <c r="E94" s="53" t="s">
        <v>103</v>
      </c>
      <c r="F94" s="54" t="n">
        <v>30.99</v>
      </c>
      <c r="G94" s="55"/>
      <c r="H94" s="56" t="str">
        <f aca="false">IF(ISBLANK(G94),"",IF(ISNUMBER(F94),ROUND(F94*G94,2),"Укажите цену"))</f>
        <v/>
      </c>
      <c r="I94" s="94"/>
      <c r="J94" s="94"/>
      <c r="K94" s="94"/>
      <c r="L94" s="94"/>
      <c r="M94" s="94"/>
      <c r="N94" s="94"/>
      <c r="O94" s="94"/>
      <c r="P94" s="58"/>
      <c r="Q94" s="95"/>
      <c r="R94" s="69"/>
      <c r="S94" s="60"/>
      <c r="T94" s="61"/>
    </row>
    <row r="95" s="34" customFormat="true" ht="60" hidden="false" customHeight="true" outlineLevel="2" collapsed="false">
      <c r="A95" s="63" t="s">
        <v>363</v>
      </c>
      <c r="B95" s="57"/>
      <c r="C95" s="57"/>
      <c r="D95" s="53" t="s">
        <v>364</v>
      </c>
      <c r="E95" s="53" t="s">
        <v>89</v>
      </c>
      <c r="F95" s="54" t="n">
        <v>22.83</v>
      </c>
      <c r="G95" s="55"/>
      <c r="H95" s="56" t="str">
        <f aca="false">IF(ISBLANK(G95),"",IF(ISNUMBER(F95),ROUND(F95*G95,2),"Укажите цену"))</f>
        <v/>
      </c>
      <c r="I95" s="94" t="s">
        <v>348</v>
      </c>
      <c r="J95" s="57" t="n">
        <v>19</v>
      </c>
      <c r="K95" s="94" t="s">
        <v>348</v>
      </c>
      <c r="L95" s="57" t="s">
        <v>91</v>
      </c>
      <c r="M95" s="57" t="s">
        <v>92</v>
      </c>
      <c r="N95" s="57" t="n">
        <v>1000</v>
      </c>
      <c r="O95" s="57" t="s">
        <v>349</v>
      </c>
      <c r="P95" s="58" t="n">
        <v>0.038</v>
      </c>
      <c r="Q95" s="95" t="s">
        <v>360</v>
      </c>
      <c r="R95" s="69" t="s">
        <v>365</v>
      </c>
      <c r="S95" s="60" t="s">
        <v>96</v>
      </c>
      <c r="T95" s="61"/>
    </row>
    <row r="96" s="34" customFormat="true" ht="60" hidden="false" customHeight="true" outlineLevel="2" collapsed="false">
      <c r="A96" s="63"/>
      <c r="B96" s="57"/>
      <c r="C96" s="57"/>
      <c r="D96" s="53" t="s">
        <v>366</v>
      </c>
      <c r="E96" s="53" t="s">
        <v>103</v>
      </c>
      <c r="F96" s="54" t="n">
        <v>22.83</v>
      </c>
      <c r="G96" s="55"/>
      <c r="H96" s="56" t="str">
        <f aca="false">IF(ISBLANK(G96),"",IF(ISNUMBER(F96),ROUND(F96*G96,2),"Укажите цену"))</f>
        <v/>
      </c>
      <c r="I96" s="94"/>
      <c r="J96" s="94"/>
      <c r="K96" s="94"/>
      <c r="L96" s="94"/>
      <c r="M96" s="94"/>
      <c r="N96" s="94"/>
      <c r="O96" s="94"/>
      <c r="P96" s="58"/>
      <c r="Q96" s="95"/>
      <c r="R96" s="69"/>
      <c r="S96" s="60"/>
      <c r="T96" s="61"/>
    </row>
    <row r="97" s="34" customFormat="true" ht="60" hidden="false" customHeight="true" outlineLevel="2" collapsed="false">
      <c r="A97" s="63" t="s">
        <v>367</v>
      </c>
      <c r="B97" s="57"/>
      <c r="C97" s="57"/>
      <c r="D97" s="53" t="s">
        <v>368</v>
      </c>
      <c r="E97" s="53" t="s">
        <v>89</v>
      </c>
      <c r="F97" s="54" t="n">
        <v>28.54</v>
      </c>
      <c r="G97" s="55"/>
      <c r="H97" s="56" t="str">
        <f aca="false">IF(ISBLANK(G97),"",IF(ISNUMBER(F97),ROUND(F97*G97,2),"Укажите цену"))</f>
        <v/>
      </c>
      <c r="I97" s="94" t="s">
        <v>348</v>
      </c>
      <c r="J97" s="57" t="n">
        <v>21.9</v>
      </c>
      <c r="K97" s="94" t="s">
        <v>348</v>
      </c>
      <c r="L97" s="57" t="s">
        <v>91</v>
      </c>
      <c r="M97" s="57" t="s">
        <v>92</v>
      </c>
      <c r="N97" s="57" t="n">
        <v>1000</v>
      </c>
      <c r="O97" s="57" t="s">
        <v>349</v>
      </c>
      <c r="P97" s="58" t="n">
        <v>0.038</v>
      </c>
      <c r="Q97" s="95" t="s">
        <v>369</v>
      </c>
      <c r="R97" s="69" t="s">
        <v>370</v>
      </c>
      <c r="S97" s="60" t="s">
        <v>96</v>
      </c>
      <c r="T97" s="61"/>
    </row>
    <row r="98" s="34" customFormat="true" ht="60" hidden="false" customHeight="true" outlineLevel="2" collapsed="false">
      <c r="A98" s="63"/>
      <c r="B98" s="57"/>
      <c r="C98" s="57"/>
      <c r="D98" s="53" t="s">
        <v>371</v>
      </c>
      <c r="E98" s="53" t="s">
        <v>103</v>
      </c>
      <c r="F98" s="54" t="n">
        <v>28.54</v>
      </c>
      <c r="G98" s="55"/>
      <c r="H98" s="56" t="str">
        <f aca="false">IF(ISBLANK(G98),"",IF(ISNUMBER(F98),ROUND(F98*G98,2),"Укажите цену"))</f>
        <v/>
      </c>
      <c r="I98" s="94"/>
      <c r="J98" s="94"/>
      <c r="K98" s="94"/>
      <c r="L98" s="94"/>
      <c r="M98" s="94"/>
      <c r="N98" s="94"/>
      <c r="O98" s="94"/>
      <c r="P98" s="58"/>
      <c r="Q98" s="95"/>
      <c r="R98" s="69"/>
      <c r="S98" s="60"/>
      <c r="T98" s="61"/>
    </row>
    <row r="99" s="34" customFormat="true" ht="60" hidden="false" customHeight="true" outlineLevel="2" collapsed="false">
      <c r="A99" s="63" t="s">
        <v>372</v>
      </c>
      <c r="B99" s="57"/>
      <c r="C99" s="57"/>
      <c r="D99" s="53" t="s">
        <v>347</v>
      </c>
      <c r="E99" s="53" t="s">
        <v>89</v>
      </c>
      <c r="F99" s="54" t="n">
        <v>56.27</v>
      </c>
      <c r="G99" s="55"/>
      <c r="H99" s="56" t="str">
        <f aca="false">IF(ISBLANK(G99),"",IF(ISNUMBER(F99),ROUND(F99*G99,2),"Укажите цену"))</f>
        <v/>
      </c>
      <c r="I99" s="57" t="n">
        <v>35</v>
      </c>
      <c r="J99" s="57" t="n">
        <v>14.92</v>
      </c>
      <c r="K99" s="57" t="s">
        <v>99</v>
      </c>
      <c r="L99" s="57" t="s">
        <v>91</v>
      </c>
      <c r="M99" s="57" t="s">
        <v>92</v>
      </c>
      <c r="N99" s="57" t="n">
        <v>360</v>
      </c>
      <c r="O99" s="57" t="s">
        <v>93</v>
      </c>
      <c r="P99" s="58" t="n">
        <v>0.133</v>
      </c>
      <c r="Q99" s="95" t="s">
        <v>373</v>
      </c>
      <c r="R99" s="69" t="s">
        <v>351</v>
      </c>
      <c r="S99" s="60" t="s">
        <v>96</v>
      </c>
      <c r="T99" s="61"/>
    </row>
    <row r="100" s="34" customFormat="true" ht="60" hidden="false" customHeight="true" outlineLevel="2" collapsed="false">
      <c r="A100" s="63"/>
      <c r="B100" s="57"/>
      <c r="C100" s="57"/>
      <c r="D100" s="53" t="s">
        <v>352</v>
      </c>
      <c r="E100" s="53" t="s">
        <v>103</v>
      </c>
      <c r="F100" s="54" t="n">
        <v>56.27</v>
      </c>
      <c r="G100" s="55"/>
      <c r="H100" s="56" t="str">
        <f aca="false">IF(ISBLANK(G100),"",IF(ISNUMBER(F100),ROUND(F100*G100,2),"Укажите цену"))</f>
        <v/>
      </c>
      <c r="I100" s="57"/>
      <c r="J100" s="57"/>
      <c r="K100" s="57"/>
      <c r="L100" s="57"/>
      <c r="M100" s="57"/>
      <c r="N100" s="57"/>
      <c r="O100" s="57"/>
      <c r="P100" s="58"/>
      <c r="Q100" s="95"/>
      <c r="R100" s="69"/>
      <c r="S100" s="60"/>
      <c r="T100" s="61"/>
    </row>
    <row r="101" s="34" customFormat="true" ht="60" hidden="false" customHeight="true" outlineLevel="2" collapsed="false">
      <c r="A101" s="63" t="s">
        <v>374</v>
      </c>
      <c r="B101" s="57"/>
      <c r="C101" s="57"/>
      <c r="D101" s="53" t="s">
        <v>354</v>
      </c>
      <c r="E101" s="53" t="s">
        <v>89</v>
      </c>
      <c r="F101" s="54" t="n">
        <v>39.96</v>
      </c>
      <c r="G101" s="55"/>
      <c r="H101" s="56" t="str">
        <f aca="false">IF(ISBLANK(G101),"",IF(ISNUMBER(F101),ROUND(F101*G101,2),"Укажите цену"))</f>
        <v/>
      </c>
      <c r="I101" s="57" t="n">
        <v>35</v>
      </c>
      <c r="J101" s="57" t="n">
        <v>15</v>
      </c>
      <c r="K101" s="57" t="s">
        <v>99</v>
      </c>
      <c r="L101" s="57" t="s">
        <v>91</v>
      </c>
      <c r="M101" s="57" t="s">
        <v>92</v>
      </c>
      <c r="N101" s="57" t="n">
        <v>360</v>
      </c>
      <c r="O101" s="57" t="s">
        <v>93</v>
      </c>
      <c r="P101" s="58" t="n">
        <v>0.133</v>
      </c>
      <c r="Q101" s="95" t="s">
        <v>375</v>
      </c>
      <c r="R101" s="69" t="s">
        <v>356</v>
      </c>
      <c r="S101" s="60" t="s">
        <v>96</v>
      </c>
      <c r="T101" s="61"/>
    </row>
    <row r="102" s="34" customFormat="true" ht="60" hidden="false" customHeight="true" outlineLevel="2" collapsed="false">
      <c r="A102" s="63"/>
      <c r="B102" s="57"/>
      <c r="C102" s="57"/>
      <c r="D102" s="53" t="s">
        <v>357</v>
      </c>
      <c r="E102" s="53" t="s">
        <v>103</v>
      </c>
      <c r="F102" s="54" t="n">
        <v>39.96</v>
      </c>
      <c r="G102" s="55"/>
      <c r="H102" s="56" t="str">
        <f aca="false">IF(ISBLANK(G102),"",IF(ISNUMBER(F102),ROUND(F102*G102,2),"Укажите цену"))</f>
        <v/>
      </c>
      <c r="I102" s="57"/>
      <c r="J102" s="57"/>
      <c r="K102" s="57"/>
      <c r="L102" s="57"/>
      <c r="M102" s="57"/>
      <c r="N102" s="57"/>
      <c r="O102" s="57"/>
      <c r="P102" s="58"/>
      <c r="Q102" s="95"/>
      <c r="R102" s="69"/>
      <c r="S102" s="60"/>
      <c r="T102" s="61"/>
    </row>
    <row r="103" s="34" customFormat="true" ht="60" hidden="false" customHeight="true" outlineLevel="2" collapsed="false">
      <c r="A103" s="63" t="s">
        <v>376</v>
      </c>
      <c r="B103" s="57"/>
      <c r="C103" s="57"/>
      <c r="D103" s="53" t="s">
        <v>359</v>
      </c>
      <c r="E103" s="53" t="s">
        <v>89</v>
      </c>
      <c r="F103" s="54" t="n">
        <v>35.07</v>
      </c>
      <c r="G103" s="55"/>
      <c r="H103" s="56" t="str">
        <f aca="false">IF(ISBLANK(G103),"",IF(ISNUMBER(F103),ROUND(F103*G103,2),"Укажите цену"))</f>
        <v/>
      </c>
      <c r="I103" s="57" t="n">
        <v>34</v>
      </c>
      <c r="J103" s="57" t="n">
        <v>14.69</v>
      </c>
      <c r="K103" s="57" t="s">
        <v>99</v>
      </c>
      <c r="L103" s="57" t="s">
        <v>91</v>
      </c>
      <c r="M103" s="57" t="s">
        <v>92</v>
      </c>
      <c r="N103" s="57" t="n">
        <v>360</v>
      </c>
      <c r="O103" s="57" t="s">
        <v>93</v>
      </c>
      <c r="P103" s="58" t="n">
        <v>0.133</v>
      </c>
      <c r="Q103" s="95" t="s">
        <v>377</v>
      </c>
      <c r="R103" s="69" t="s">
        <v>361</v>
      </c>
      <c r="S103" s="60" t="s">
        <v>96</v>
      </c>
      <c r="T103" s="61"/>
    </row>
    <row r="104" s="34" customFormat="true" ht="60" hidden="false" customHeight="true" outlineLevel="2" collapsed="false">
      <c r="A104" s="63"/>
      <c r="B104" s="57"/>
      <c r="C104" s="57"/>
      <c r="D104" s="53" t="s">
        <v>362</v>
      </c>
      <c r="E104" s="53" t="s">
        <v>103</v>
      </c>
      <c r="F104" s="54" t="n">
        <v>35.07</v>
      </c>
      <c r="G104" s="55"/>
      <c r="H104" s="56" t="str">
        <f aca="false">IF(ISBLANK(G104),"",IF(ISNUMBER(F104),ROUND(F104*G104,2),"Укажите цену"))</f>
        <v/>
      </c>
      <c r="I104" s="57"/>
      <c r="J104" s="57"/>
      <c r="K104" s="57"/>
      <c r="L104" s="57"/>
      <c r="M104" s="57"/>
      <c r="N104" s="57"/>
      <c r="O104" s="57"/>
      <c r="P104" s="58"/>
      <c r="Q104" s="95"/>
      <c r="R104" s="69"/>
      <c r="S104" s="60"/>
      <c r="T104" s="61"/>
    </row>
    <row r="105" s="34" customFormat="true" ht="60" hidden="false" customHeight="true" outlineLevel="2" collapsed="false">
      <c r="A105" s="63" t="s">
        <v>378</v>
      </c>
      <c r="B105" s="57"/>
      <c r="C105" s="57"/>
      <c r="D105" s="53" t="s">
        <v>364</v>
      </c>
      <c r="E105" s="53" t="s">
        <v>89</v>
      </c>
      <c r="F105" s="54" t="n">
        <v>26.91</v>
      </c>
      <c r="G105" s="55"/>
      <c r="H105" s="56" t="str">
        <f aca="false">IF(ISBLANK(G105),"",IF(ISNUMBER(F105),ROUND(F105*G105,2),"Укажите цену"))</f>
        <v/>
      </c>
      <c r="I105" s="57" t="n">
        <v>32</v>
      </c>
      <c r="J105" s="57" t="n">
        <v>13.84</v>
      </c>
      <c r="K105" s="57" t="s">
        <v>99</v>
      </c>
      <c r="L105" s="57" t="s">
        <v>91</v>
      </c>
      <c r="M105" s="57" t="s">
        <v>92</v>
      </c>
      <c r="N105" s="57" t="n">
        <v>360</v>
      </c>
      <c r="O105" s="57" t="s">
        <v>93</v>
      </c>
      <c r="P105" s="58" t="n">
        <v>0.133</v>
      </c>
      <c r="Q105" s="96" t="s">
        <v>379</v>
      </c>
      <c r="R105" s="69" t="s">
        <v>365</v>
      </c>
      <c r="S105" s="60" t="s">
        <v>96</v>
      </c>
      <c r="T105" s="61"/>
    </row>
    <row r="106" s="34" customFormat="true" ht="60" hidden="false" customHeight="true" outlineLevel="2" collapsed="false">
      <c r="A106" s="63"/>
      <c r="B106" s="57"/>
      <c r="C106" s="57"/>
      <c r="D106" s="53" t="s">
        <v>366</v>
      </c>
      <c r="E106" s="53" t="s">
        <v>103</v>
      </c>
      <c r="F106" s="54" t="n">
        <v>26.91</v>
      </c>
      <c r="G106" s="55"/>
      <c r="H106" s="56" t="str">
        <f aca="false">IF(ISBLANK(G106),"",IF(ISNUMBER(F106),ROUND(F106*G106,2),"Укажите цену"))</f>
        <v/>
      </c>
      <c r="I106" s="57"/>
      <c r="J106" s="57"/>
      <c r="K106" s="57"/>
      <c r="L106" s="57"/>
      <c r="M106" s="57"/>
      <c r="N106" s="57"/>
      <c r="O106" s="57"/>
      <c r="P106" s="58"/>
      <c r="Q106" s="96"/>
      <c r="R106" s="69"/>
      <c r="S106" s="60"/>
      <c r="T106" s="61"/>
    </row>
    <row r="107" s="34" customFormat="true" ht="60" hidden="false" customHeight="true" outlineLevel="2" collapsed="false">
      <c r="A107" s="63" t="s">
        <v>380</v>
      </c>
      <c r="B107" s="57"/>
      <c r="C107" s="57"/>
      <c r="D107" s="53" t="s">
        <v>368</v>
      </c>
      <c r="E107" s="53" t="s">
        <v>89</v>
      </c>
      <c r="F107" s="54" t="n">
        <v>32.62</v>
      </c>
      <c r="G107" s="55"/>
      <c r="H107" s="56" t="str">
        <f aca="false">IF(ISBLANK(G107),"",IF(ISNUMBER(F107),ROUND(F107*G107,2),"Укажите цену"))</f>
        <v/>
      </c>
      <c r="I107" s="57" t="n">
        <v>34</v>
      </c>
      <c r="J107" s="57" t="n">
        <v>14.5</v>
      </c>
      <c r="K107" s="57" t="s">
        <v>99</v>
      </c>
      <c r="L107" s="57" t="s">
        <v>91</v>
      </c>
      <c r="M107" s="57" t="s">
        <v>92</v>
      </c>
      <c r="N107" s="57" t="n">
        <v>360</v>
      </c>
      <c r="O107" s="57" t="s">
        <v>93</v>
      </c>
      <c r="P107" s="58" t="n">
        <v>0.133</v>
      </c>
      <c r="Q107" s="95" t="s">
        <v>381</v>
      </c>
      <c r="R107" s="69" t="s">
        <v>370</v>
      </c>
      <c r="S107" s="60" t="s">
        <v>96</v>
      </c>
      <c r="T107" s="61"/>
    </row>
    <row r="108" s="34" customFormat="true" ht="60" hidden="false" customHeight="true" outlineLevel="2" collapsed="false">
      <c r="A108" s="63"/>
      <c r="B108" s="57"/>
      <c r="C108" s="57"/>
      <c r="D108" s="53" t="s">
        <v>371</v>
      </c>
      <c r="E108" s="53" t="s">
        <v>103</v>
      </c>
      <c r="F108" s="54" t="n">
        <v>32.62</v>
      </c>
      <c r="G108" s="55"/>
      <c r="H108" s="56" t="str">
        <f aca="false">IF(ISBLANK(G108),"",IF(ISNUMBER(F108),ROUND(F108*G108,2),"Укажите цену"))</f>
        <v/>
      </c>
      <c r="I108" s="57"/>
      <c r="J108" s="57"/>
      <c r="K108" s="57"/>
      <c r="L108" s="57"/>
      <c r="M108" s="57"/>
      <c r="N108" s="57"/>
      <c r="O108" s="57"/>
      <c r="P108" s="58"/>
      <c r="Q108" s="95"/>
      <c r="R108" s="69"/>
      <c r="S108" s="60"/>
      <c r="T108" s="61"/>
    </row>
    <row r="109" s="34" customFormat="true" ht="115" hidden="false" customHeight="true" outlineLevel="2" collapsed="false">
      <c r="A109" s="51" t="s">
        <v>382</v>
      </c>
      <c r="B109" s="57"/>
      <c r="C109" s="57"/>
      <c r="D109" s="53" t="s">
        <v>383</v>
      </c>
      <c r="E109" s="53" t="s">
        <v>89</v>
      </c>
      <c r="F109" s="54" t="n">
        <v>68.5</v>
      </c>
      <c r="G109" s="55"/>
      <c r="H109" s="56" t="str">
        <f aca="false">IF(ISBLANK(G109),"",IF(ISNUMBER(F109),ROUND(F109*G109,2),"Укажите цену"))</f>
        <v/>
      </c>
      <c r="I109" s="94" t="s">
        <v>348</v>
      </c>
      <c r="J109" s="57" t="n">
        <v>19</v>
      </c>
      <c r="K109" s="94" t="s">
        <v>348</v>
      </c>
      <c r="L109" s="57" t="s">
        <v>91</v>
      </c>
      <c r="M109" s="57" t="s">
        <v>92</v>
      </c>
      <c r="N109" s="57" t="n">
        <v>1000</v>
      </c>
      <c r="O109" s="57" t="s">
        <v>349</v>
      </c>
      <c r="P109" s="58" t="n">
        <v>0.038</v>
      </c>
      <c r="Q109" s="95" t="s">
        <v>384</v>
      </c>
      <c r="R109" s="69" t="s">
        <v>385</v>
      </c>
      <c r="S109" s="60" t="s">
        <v>96</v>
      </c>
      <c r="T109" s="61"/>
    </row>
    <row r="110" s="34" customFormat="true" ht="115" hidden="false" customHeight="true" outlineLevel="2" collapsed="false">
      <c r="A110" s="51" t="s">
        <v>386</v>
      </c>
      <c r="B110" s="57"/>
      <c r="C110" s="57"/>
      <c r="D110" s="53" t="s">
        <v>387</v>
      </c>
      <c r="E110" s="53" t="s">
        <v>89</v>
      </c>
      <c r="F110" s="54" t="n">
        <v>50.56</v>
      </c>
      <c r="G110" s="55"/>
      <c r="H110" s="56" t="str">
        <f aca="false">IF(ISBLANK(G110),"",IF(ISNUMBER(F110),ROUND(F110*G110,2),"Укажите цену"))</f>
        <v/>
      </c>
      <c r="I110" s="94" t="s">
        <v>348</v>
      </c>
      <c r="J110" s="57" t="n">
        <v>19</v>
      </c>
      <c r="K110" s="94" t="s">
        <v>348</v>
      </c>
      <c r="L110" s="57" t="s">
        <v>91</v>
      </c>
      <c r="M110" s="57" t="s">
        <v>92</v>
      </c>
      <c r="N110" s="57" t="n">
        <v>1000</v>
      </c>
      <c r="O110" s="57" t="s">
        <v>349</v>
      </c>
      <c r="P110" s="58" t="n">
        <v>0.038</v>
      </c>
      <c r="Q110" s="95" t="s">
        <v>388</v>
      </c>
      <c r="R110" s="69" t="s">
        <v>389</v>
      </c>
      <c r="S110" s="60" t="s">
        <v>96</v>
      </c>
      <c r="T110" s="61"/>
    </row>
    <row r="111" s="34" customFormat="true" ht="115" hidden="false" customHeight="true" outlineLevel="2" collapsed="false">
      <c r="A111" s="51" t="s">
        <v>390</v>
      </c>
      <c r="B111" s="57"/>
      <c r="C111" s="57"/>
      <c r="D111" s="53" t="s">
        <v>391</v>
      </c>
      <c r="E111" s="53" t="s">
        <v>89</v>
      </c>
      <c r="F111" s="54" t="n">
        <v>44.04</v>
      </c>
      <c r="G111" s="55"/>
      <c r="H111" s="56" t="str">
        <f aca="false">IF(ISBLANK(G111),"",IF(ISNUMBER(F111),ROUND(F111*G111,2),"Укажите цену"))</f>
        <v/>
      </c>
      <c r="I111" s="94" t="s">
        <v>348</v>
      </c>
      <c r="J111" s="57" t="n">
        <v>20</v>
      </c>
      <c r="K111" s="94" t="s">
        <v>348</v>
      </c>
      <c r="L111" s="57" t="s">
        <v>91</v>
      </c>
      <c r="M111" s="57" t="s">
        <v>92</v>
      </c>
      <c r="N111" s="57" t="n">
        <v>1000</v>
      </c>
      <c r="O111" s="57" t="s">
        <v>349</v>
      </c>
      <c r="P111" s="58" t="n">
        <v>0.038</v>
      </c>
      <c r="Q111" s="95" t="s">
        <v>392</v>
      </c>
      <c r="R111" s="69" t="s">
        <v>393</v>
      </c>
      <c r="S111" s="60" t="s">
        <v>96</v>
      </c>
      <c r="T111" s="61"/>
    </row>
    <row r="112" s="34" customFormat="true" ht="115" hidden="false" customHeight="true" outlineLevel="2" collapsed="false">
      <c r="A112" s="51" t="s">
        <v>394</v>
      </c>
      <c r="B112" s="57"/>
      <c r="C112" s="57"/>
      <c r="D112" s="53" t="s">
        <v>395</v>
      </c>
      <c r="E112" s="53" t="s">
        <v>89</v>
      </c>
      <c r="F112" s="54" t="n">
        <v>33.43</v>
      </c>
      <c r="G112" s="55"/>
      <c r="H112" s="56" t="str">
        <f aca="false">IF(ISBLANK(G112),"",IF(ISNUMBER(F112),ROUND(F112*G112,2),"Укажите цену"))</f>
        <v/>
      </c>
      <c r="I112" s="94" t="s">
        <v>348</v>
      </c>
      <c r="J112" s="57" t="n">
        <v>19.7</v>
      </c>
      <c r="K112" s="94" t="s">
        <v>348</v>
      </c>
      <c r="L112" s="57" t="s">
        <v>91</v>
      </c>
      <c r="M112" s="57" t="s">
        <v>92</v>
      </c>
      <c r="N112" s="57" t="n">
        <v>1000</v>
      </c>
      <c r="O112" s="57" t="s">
        <v>349</v>
      </c>
      <c r="P112" s="58" t="n">
        <v>0.038</v>
      </c>
      <c r="Q112" s="95" t="s">
        <v>392</v>
      </c>
      <c r="R112" s="69" t="s">
        <v>396</v>
      </c>
      <c r="S112" s="60" t="s">
        <v>96</v>
      </c>
      <c r="T112" s="61"/>
    </row>
    <row r="113" s="34" customFormat="true" ht="115" hidden="false" customHeight="true" outlineLevel="2" collapsed="false">
      <c r="A113" s="51" t="s">
        <v>397</v>
      </c>
      <c r="B113" s="57"/>
      <c r="C113" s="57"/>
      <c r="D113" s="53" t="s">
        <v>398</v>
      </c>
      <c r="E113" s="53" t="s">
        <v>89</v>
      </c>
      <c r="F113" s="54" t="n">
        <v>37.51</v>
      </c>
      <c r="G113" s="55"/>
      <c r="H113" s="56" t="str">
        <f aca="false">IF(ISBLANK(G113),"",IF(ISNUMBER(F113),ROUND(F113*G113,2),"Укажите цену"))</f>
        <v/>
      </c>
      <c r="I113" s="94" t="s">
        <v>348</v>
      </c>
      <c r="J113" s="57" t="n">
        <v>20</v>
      </c>
      <c r="K113" s="94" t="s">
        <v>348</v>
      </c>
      <c r="L113" s="57" t="s">
        <v>91</v>
      </c>
      <c r="M113" s="57" t="s">
        <v>92</v>
      </c>
      <c r="N113" s="57" t="n">
        <v>1000</v>
      </c>
      <c r="O113" s="57" t="s">
        <v>349</v>
      </c>
      <c r="P113" s="58" t="n">
        <v>0.038</v>
      </c>
      <c r="Q113" s="95" t="s">
        <v>399</v>
      </c>
      <c r="R113" s="69" t="s">
        <v>400</v>
      </c>
      <c r="S113" s="60" t="s">
        <v>96</v>
      </c>
      <c r="T113" s="61"/>
    </row>
    <row r="114" s="34" customFormat="true" ht="115" hidden="false" customHeight="true" outlineLevel="2" collapsed="false">
      <c r="A114" s="51" t="s">
        <v>401</v>
      </c>
      <c r="B114" s="57"/>
      <c r="C114" s="57"/>
      <c r="D114" s="53" t="s">
        <v>383</v>
      </c>
      <c r="E114" s="53" t="s">
        <v>89</v>
      </c>
      <c r="F114" s="54" t="n">
        <v>73.39</v>
      </c>
      <c r="G114" s="55"/>
      <c r="H114" s="56" t="str">
        <f aca="false">IF(ISBLANK(G114),"",IF(ISNUMBER(F114),ROUND(F114*G114,2),"Укажите цену"))</f>
        <v/>
      </c>
      <c r="I114" s="57" t="n">
        <v>32</v>
      </c>
      <c r="J114" s="57" t="n">
        <v>13.5</v>
      </c>
      <c r="K114" s="57" t="s">
        <v>402</v>
      </c>
      <c r="L114" s="57" t="s">
        <v>91</v>
      </c>
      <c r="M114" s="57" t="s">
        <v>92</v>
      </c>
      <c r="N114" s="57" t="n">
        <v>360</v>
      </c>
      <c r="O114" s="57" t="s">
        <v>93</v>
      </c>
      <c r="P114" s="58" t="n">
        <v>0.133</v>
      </c>
      <c r="Q114" s="95" t="s">
        <v>403</v>
      </c>
      <c r="R114" s="69" t="s">
        <v>385</v>
      </c>
      <c r="S114" s="60" t="s">
        <v>96</v>
      </c>
      <c r="T114" s="61"/>
    </row>
    <row r="115" s="34" customFormat="true" ht="115" hidden="false" customHeight="true" outlineLevel="2" collapsed="false">
      <c r="A115" s="51" t="s">
        <v>404</v>
      </c>
      <c r="B115" s="57"/>
      <c r="C115" s="57"/>
      <c r="D115" s="53" t="s">
        <v>387</v>
      </c>
      <c r="E115" s="53" t="s">
        <v>89</v>
      </c>
      <c r="F115" s="54" t="n">
        <v>55.45</v>
      </c>
      <c r="G115" s="55"/>
      <c r="H115" s="56" t="str">
        <f aca="false">IF(ISBLANK(G115),"",IF(ISNUMBER(F115),ROUND(F115*G115,2),"Укажите цену"))</f>
        <v/>
      </c>
      <c r="I115" s="57" t="n">
        <v>32</v>
      </c>
      <c r="J115" s="57" t="n">
        <v>13.55</v>
      </c>
      <c r="K115" s="57" t="s">
        <v>402</v>
      </c>
      <c r="L115" s="57" t="s">
        <v>91</v>
      </c>
      <c r="M115" s="57" t="s">
        <v>92</v>
      </c>
      <c r="N115" s="57" t="n">
        <v>360</v>
      </c>
      <c r="O115" s="57" t="s">
        <v>93</v>
      </c>
      <c r="P115" s="58" t="n">
        <v>0.133</v>
      </c>
      <c r="Q115" s="95" t="s">
        <v>405</v>
      </c>
      <c r="R115" s="69" t="s">
        <v>389</v>
      </c>
      <c r="S115" s="60" t="s">
        <v>96</v>
      </c>
      <c r="T115" s="61"/>
    </row>
    <row r="116" s="34" customFormat="true" ht="115" hidden="false" customHeight="true" outlineLevel="2" collapsed="false">
      <c r="A116" s="51" t="s">
        <v>406</v>
      </c>
      <c r="B116" s="57"/>
      <c r="C116" s="57"/>
      <c r="D116" s="53" t="s">
        <v>391</v>
      </c>
      <c r="E116" s="53" t="s">
        <v>89</v>
      </c>
      <c r="F116" s="54" t="n">
        <v>48.93</v>
      </c>
      <c r="G116" s="55"/>
      <c r="H116" s="56" t="str">
        <f aca="false">IF(ISBLANK(G116),"",IF(ISNUMBER(F116),ROUND(F116*G116,2),"Укажите цену"))</f>
        <v/>
      </c>
      <c r="I116" s="57" t="n">
        <v>33</v>
      </c>
      <c r="J116" s="57" t="n">
        <v>13.95</v>
      </c>
      <c r="K116" s="57" t="s">
        <v>402</v>
      </c>
      <c r="L116" s="57" t="s">
        <v>91</v>
      </c>
      <c r="M116" s="57" t="s">
        <v>92</v>
      </c>
      <c r="N116" s="57" t="n">
        <v>360</v>
      </c>
      <c r="O116" s="57" t="s">
        <v>93</v>
      </c>
      <c r="P116" s="58" t="n">
        <v>0.133</v>
      </c>
      <c r="Q116" s="95" t="s">
        <v>407</v>
      </c>
      <c r="R116" s="69" t="s">
        <v>393</v>
      </c>
      <c r="S116" s="60" t="s">
        <v>96</v>
      </c>
      <c r="T116" s="61"/>
    </row>
    <row r="117" s="34" customFormat="true" ht="115" hidden="false" customHeight="true" outlineLevel="2" collapsed="false">
      <c r="A117" s="51" t="s">
        <v>408</v>
      </c>
      <c r="B117" s="57"/>
      <c r="C117" s="57"/>
      <c r="D117" s="53" t="s">
        <v>395</v>
      </c>
      <c r="E117" s="53" t="s">
        <v>89</v>
      </c>
      <c r="F117" s="54" t="n">
        <v>38.33</v>
      </c>
      <c r="G117" s="55"/>
      <c r="H117" s="56" t="str">
        <f aca="false">IF(ISBLANK(G117),"",IF(ISNUMBER(F117),ROUND(F117*G117,2),"Укажите цену"))</f>
        <v/>
      </c>
      <c r="I117" s="57" t="n">
        <v>33</v>
      </c>
      <c r="J117" s="57" t="n">
        <v>13.95</v>
      </c>
      <c r="K117" s="57" t="s">
        <v>402</v>
      </c>
      <c r="L117" s="57" t="s">
        <v>91</v>
      </c>
      <c r="M117" s="57" t="s">
        <v>92</v>
      </c>
      <c r="N117" s="57" t="n">
        <v>360</v>
      </c>
      <c r="O117" s="57" t="s">
        <v>93</v>
      </c>
      <c r="P117" s="58" t="n">
        <v>0.133</v>
      </c>
      <c r="Q117" s="95" t="s">
        <v>407</v>
      </c>
      <c r="R117" s="69" t="s">
        <v>396</v>
      </c>
      <c r="S117" s="60" t="s">
        <v>96</v>
      </c>
      <c r="T117" s="61"/>
    </row>
    <row r="118" s="34" customFormat="true" ht="115" hidden="false" customHeight="true" outlineLevel="2" collapsed="false">
      <c r="A118" s="51" t="s">
        <v>409</v>
      </c>
      <c r="B118" s="57"/>
      <c r="C118" s="57"/>
      <c r="D118" s="53" t="s">
        <v>398</v>
      </c>
      <c r="E118" s="53" t="s">
        <v>89</v>
      </c>
      <c r="F118" s="54" t="n">
        <v>42.4</v>
      </c>
      <c r="G118" s="55"/>
      <c r="H118" s="56" t="str">
        <f aca="false">IF(ISBLANK(G118),"",IF(ISNUMBER(F118),ROUND(F118*G118,2),"Укажите цену"))</f>
        <v/>
      </c>
      <c r="I118" s="57" t="n">
        <v>33</v>
      </c>
      <c r="J118" s="57" t="n">
        <v>13.85</v>
      </c>
      <c r="K118" s="57" t="s">
        <v>402</v>
      </c>
      <c r="L118" s="57" t="s">
        <v>91</v>
      </c>
      <c r="M118" s="57" t="s">
        <v>92</v>
      </c>
      <c r="N118" s="57" t="n">
        <v>360</v>
      </c>
      <c r="O118" s="57" t="s">
        <v>93</v>
      </c>
      <c r="P118" s="58" t="n">
        <v>0.133</v>
      </c>
      <c r="Q118" s="95" t="s">
        <v>410</v>
      </c>
      <c r="R118" s="69" t="s">
        <v>400</v>
      </c>
      <c r="S118" s="60" t="s">
        <v>96</v>
      </c>
      <c r="T118" s="61"/>
    </row>
    <row r="119" s="70" customFormat="true" ht="115" hidden="false" customHeight="true" outlineLevel="2" collapsed="false">
      <c r="A119" s="51" t="s">
        <v>411</v>
      </c>
      <c r="B119" s="57"/>
      <c r="C119" s="57"/>
      <c r="D119" s="53" t="s">
        <v>412</v>
      </c>
      <c r="E119" s="53" t="s">
        <v>103</v>
      </c>
      <c r="F119" s="54" t="n">
        <v>78.29</v>
      </c>
      <c r="G119" s="55"/>
      <c r="H119" s="56" t="str">
        <f aca="false">IF(ISBLANK(G119),"",IF(ISNUMBER(F119),ROUND(F119*G119,2),"Укажите цену"))</f>
        <v/>
      </c>
      <c r="I119" s="57" t="n">
        <v>35</v>
      </c>
      <c r="J119" s="57" t="n">
        <v>14.6</v>
      </c>
      <c r="K119" s="57" t="s">
        <v>147</v>
      </c>
      <c r="L119" s="57" t="s">
        <v>91</v>
      </c>
      <c r="M119" s="57" t="s">
        <v>92</v>
      </c>
      <c r="N119" s="57" t="n">
        <v>360</v>
      </c>
      <c r="O119" s="57" t="s">
        <v>93</v>
      </c>
      <c r="P119" s="58" t="n">
        <v>0.133</v>
      </c>
      <c r="Q119" s="68" t="s">
        <v>413</v>
      </c>
      <c r="R119" s="69" t="s">
        <v>414</v>
      </c>
      <c r="S119" s="60" t="s">
        <v>96</v>
      </c>
      <c r="T119" s="61"/>
    </row>
    <row r="120" s="70" customFormat="true" ht="115" hidden="false" customHeight="true" outlineLevel="2" collapsed="false">
      <c r="A120" s="51" t="s">
        <v>415</v>
      </c>
      <c r="B120" s="57"/>
      <c r="C120" s="57"/>
      <c r="D120" s="53" t="s">
        <v>416</v>
      </c>
      <c r="E120" s="53" t="s">
        <v>103</v>
      </c>
      <c r="F120" s="54" t="n">
        <v>61.98</v>
      </c>
      <c r="G120" s="55"/>
      <c r="H120" s="56" t="str">
        <f aca="false">IF(ISBLANK(G120),"",IF(ISNUMBER(F120),ROUND(F120*G120,2),"Укажите цену"))</f>
        <v/>
      </c>
      <c r="I120" s="57" t="n">
        <v>35</v>
      </c>
      <c r="J120" s="57" t="n">
        <v>14.7</v>
      </c>
      <c r="K120" s="57" t="s">
        <v>147</v>
      </c>
      <c r="L120" s="57" t="s">
        <v>91</v>
      </c>
      <c r="M120" s="57" t="s">
        <v>92</v>
      </c>
      <c r="N120" s="57" t="n">
        <v>360</v>
      </c>
      <c r="O120" s="57" t="s">
        <v>93</v>
      </c>
      <c r="P120" s="58" t="n">
        <v>0.133</v>
      </c>
      <c r="Q120" s="68" t="s">
        <v>417</v>
      </c>
      <c r="R120" s="69" t="s">
        <v>418</v>
      </c>
      <c r="S120" s="60" t="s">
        <v>96</v>
      </c>
      <c r="T120" s="61"/>
    </row>
    <row r="121" s="70" customFormat="true" ht="115" hidden="false" customHeight="true" outlineLevel="2" collapsed="false">
      <c r="A121" s="51" t="s">
        <v>419</v>
      </c>
      <c r="B121" s="57"/>
      <c r="C121" s="57"/>
      <c r="D121" s="53" t="s">
        <v>420</v>
      </c>
      <c r="E121" s="53" t="s">
        <v>103</v>
      </c>
      <c r="F121" s="54" t="n">
        <v>57.08</v>
      </c>
      <c r="G121" s="55"/>
      <c r="H121" s="56" t="str">
        <f aca="false">IF(ISBLANK(G121),"",IF(ISNUMBER(F121),ROUND(F121*G121,2),"Укажите цену"))</f>
        <v/>
      </c>
      <c r="I121" s="57" t="n">
        <v>36</v>
      </c>
      <c r="J121" s="57" t="n">
        <v>14.8</v>
      </c>
      <c r="K121" s="57" t="s">
        <v>147</v>
      </c>
      <c r="L121" s="57" t="s">
        <v>91</v>
      </c>
      <c r="M121" s="57" t="s">
        <v>92</v>
      </c>
      <c r="N121" s="57" t="n">
        <v>360</v>
      </c>
      <c r="O121" s="57" t="s">
        <v>93</v>
      </c>
      <c r="P121" s="58" t="n">
        <v>0.133</v>
      </c>
      <c r="Q121" s="68" t="s">
        <v>421</v>
      </c>
      <c r="R121" s="69" t="s">
        <v>422</v>
      </c>
      <c r="S121" s="60" t="s">
        <v>96</v>
      </c>
      <c r="T121" s="61"/>
    </row>
    <row r="122" s="70" customFormat="true" ht="115" hidden="false" customHeight="true" outlineLevel="2" collapsed="false">
      <c r="A122" s="51" t="s">
        <v>423</v>
      </c>
      <c r="B122" s="57"/>
      <c r="C122" s="57"/>
      <c r="D122" s="53" t="s">
        <v>424</v>
      </c>
      <c r="E122" s="53" t="s">
        <v>103</v>
      </c>
      <c r="F122" s="54" t="n">
        <v>53.82</v>
      </c>
      <c r="G122" s="55"/>
      <c r="H122" s="56" t="str">
        <f aca="false">IF(ISBLANK(G122),"",IF(ISNUMBER(F122),ROUND(F122*G122,2),"Укажите цену"))</f>
        <v/>
      </c>
      <c r="I122" s="57" t="n">
        <v>36</v>
      </c>
      <c r="J122" s="57" t="n">
        <v>14.75</v>
      </c>
      <c r="K122" s="57" t="s">
        <v>147</v>
      </c>
      <c r="L122" s="57" t="s">
        <v>91</v>
      </c>
      <c r="M122" s="57" t="s">
        <v>92</v>
      </c>
      <c r="N122" s="57" t="n">
        <v>360</v>
      </c>
      <c r="O122" s="57" t="s">
        <v>93</v>
      </c>
      <c r="P122" s="58" t="n">
        <v>0.133</v>
      </c>
      <c r="Q122" s="68" t="s">
        <v>425</v>
      </c>
      <c r="R122" s="69" t="s">
        <v>426</v>
      </c>
      <c r="S122" s="60" t="s">
        <v>96</v>
      </c>
      <c r="T122" s="61"/>
    </row>
    <row r="123" s="70" customFormat="true" ht="60" hidden="false" customHeight="true" outlineLevel="2" collapsed="false">
      <c r="A123" s="63" t="s">
        <v>427</v>
      </c>
      <c r="B123" s="57"/>
      <c r="C123" s="57"/>
      <c r="D123" s="53" t="s">
        <v>428</v>
      </c>
      <c r="E123" s="53" t="s">
        <v>217</v>
      </c>
      <c r="F123" s="54" t="n">
        <v>71.76</v>
      </c>
      <c r="G123" s="55"/>
      <c r="H123" s="56" t="str">
        <f aca="false">IF(ISBLANK(G123),"",IF(ISNUMBER(F123),ROUND(F123*G123,2),"Укажите цену"))</f>
        <v/>
      </c>
      <c r="I123" s="57" t="n">
        <v>42</v>
      </c>
      <c r="J123" s="57" t="n">
        <v>17.1</v>
      </c>
      <c r="K123" s="57" t="s">
        <v>231</v>
      </c>
      <c r="L123" s="57" t="s">
        <v>91</v>
      </c>
      <c r="M123" s="57" t="s">
        <v>92</v>
      </c>
      <c r="N123" s="57" t="n">
        <v>360</v>
      </c>
      <c r="O123" s="57" t="s">
        <v>93</v>
      </c>
      <c r="P123" s="58" t="n">
        <v>0.133</v>
      </c>
      <c r="Q123" s="68" t="s">
        <v>429</v>
      </c>
      <c r="R123" s="69" t="s">
        <v>430</v>
      </c>
      <c r="S123" s="60" t="s">
        <v>96</v>
      </c>
      <c r="T123" s="61"/>
    </row>
    <row r="124" s="70" customFormat="true" ht="60" hidden="false" customHeight="true" outlineLevel="2" collapsed="false">
      <c r="A124" s="63"/>
      <c r="B124" s="57"/>
      <c r="C124" s="57"/>
      <c r="D124" s="53" t="s">
        <v>431</v>
      </c>
      <c r="E124" s="53" t="s">
        <v>103</v>
      </c>
      <c r="F124" s="54" t="n">
        <v>71.76</v>
      </c>
      <c r="G124" s="55"/>
      <c r="H124" s="56" t="str">
        <f aca="false">IF(ISBLANK(G124),"",IF(ISNUMBER(F124),ROUND(F124*G124,2),"Укажите цену"))</f>
        <v/>
      </c>
      <c r="I124" s="57"/>
      <c r="J124" s="57"/>
      <c r="K124" s="57"/>
      <c r="L124" s="57"/>
      <c r="M124" s="57"/>
      <c r="N124" s="57"/>
      <c r="O124" s="57"/>
      <c r="P124" s="58"/>
      <c r="Q124" s="68"/>
      <c r="R124" s="69"/>
      <c r="S124" s="60"/>
      <c r="T124" s="61"/>
    </row>
    <row r="125" s="70" customFormat="true" ht="60" hidden="false" customHeight="true" outlineLevel="2" collapsed="false">
      <c r="A125" s="63" t="s">
        <v>432</v>
      </c>
      <c r="B125" s="57"/>
      <c r="C125" s="57"/>
      <c r="D125" s="53" t="s">
        <v>433</v>
      </c>
      <c r="E125" s="53" t="s">
        <v>217</v>
      </c>
      <c r="F125" s="54" t="n">
        <v>57.08</v>
      </c>
      <c r="G125" s="55"/>
      <c r="H125" s="56" t="str">
        <f aca="false">IF(ISBLANK(G125),"",IF(ISNUMBER(F125),ROUND(F125*G125,2),"Укажите цену"))</f>
        <v/>
      </c>
      <c r="I125" s="57" t="n">
        <v>42</v>
      </c>
      <c r="J125" s="57" t="n">
        <v>17.1</v>
      </c>
      <c r="K125" s="57" t="s">
        <v>231</v>
      </c>
      <c r="L125" s="57" t="s">
        <v>91</v>
      </c>
      <c r="M125" s="57" t="s">
        <v>92</v>
      </c>
      <c r="N125" s="57" t="n">
        <v>360</v>
      </c>
      <c r="O125" s="57" t="s">
        <v>93</v>
      </c>
      <c r="P125" s="58" t="n">
        <v>0.133</v>
      </c>
      <c r="Q125" s="68" t="s">
        <v>434</v>
      </c>
      <c r="R125" s="69" t="s">
        <v>435</v>
      </c>
      <c r="S125" s="60" t="s">
        <v>96</v>
      </c>
      <c r="T125" s="61"/>
    </row>
    <row r="126" s="70" customFormat="true" ht="60" hidden="false" customHeight="true" outlineLevel="2" collapsed="false">
      <c r="A126" s="63"/>
      <c r="B126" s="57"/>
      <c r="C126" s="57"/>
      <c r="D126" s="53" t="s">
        <v>436</v>
      </c>
      <c r="E126" s="53" t="s">
        <v>103</v>
      </c>
      <c r="F126" s="54" t="n">
        <v>57.08</v>
      </c>
      <c r="G126" s="55"/>
      <c r="H126" s="56" t="str">
        <f aca="false">IF(ISBLANK(G126),"",IF(ISNUMBER(F126),ROUND(F126*G126,2),"Укажите цену"))</f>
        <v/>
      </c>
      <c r="I126" s="57"/>
      <c r="J126" s="57"/>
      <c r="K126" s="57"/>
      <c r="L126" s="57"/>
      <c r="M126" s="57"/>
      <c r="N126" s="57"/>
      <c r="O126" s="57"/>
      <c r="P126" s="58"/>
      <c r="Q126" s="68"/>
      <c r="R126" s="69"/>
      <c r="S126" s="60"/>
      <c r="T126" s="61"/>
    </row>
    <row r="127" s="70" customFormat="true" ht="60" hidden="false" customHeight="true" outlineLevel="2" collapsed="false">
      <c r="A127" s="63" t="s">
        <v>437</v>
      </c>
      <c r="B127" s="57"/>
      <c r="C127" s="57"/>
      <c r="D127" s="53" t="s">
        <v>438</v>
      </c>
      <c r="E127" s="53" t="s">
        <v>217</v>
      </c>
      <c r="F127" s="54" t="n">
        <v>47.3</v>
      </c>
      <c r="G127" s="55"/>
      <c r="H127" s="56" t="str">
        <f aca="false">IF(ISBLANK(G127),"",IF(ISNUMBER(F127),ROUND(F127*G127,2),"Укажите цену"))</f>
        <v/>
      </c>
      <c r="I127" s="57" t="n">
        <v>43</v>
      </c>
      <c r="J127" s="57" t="n">
        <v>17.4</v>
      </c>
      <c r="K127" s="57" t="s">
        <v>231</v>
      </c>
      <c r="L127" s="57" t="s">
        <v>91</v>
      </c>
      <c r="M127" s="57" t="s">
        <v>92</v>
      </c>
      <c r="N127" s="57" t="n">
        <v>360</v>
      </c>
      <c r="O127" s="57" t="s">
        <v>93</v>
      </c>
      <c r="P127" s="58" t="n">
        <v>0.133</v>
      </c>
      <c r="Q127" s="68" t="s">
        <v>439</v>
      </c>
      <c r="R127" s="69" t="s">
        <v>440</v>
      </c>
      <c r="S127" s="60" t="s">
        <v>96</v>
      </c>
      <c r="T127" s="61"/>
    </row>
    <row r="128" s="70" customFormat="true" ht="60" hidden="false" customHeight="true" outlineLevel="2" collapsed="false">
      <c r="A128" s="63"/>
      <c r="B128" s="57"/>
      <c r="C128" s="57"/>
      <c r="D128" s="53" t="s">
        <v>441</v>
      </c>
      <c r="E128" s="53" t="s">
        <v>103</v>
      </c>
      <c r="F128" s="54" t="n">
        <v>47.3</v>
      </c>
      <c r="G128" s="55"/>
      <c r="H128" s="56" t="str">
        <f aca="false">IF(ISBLANK(G128),"",IF(ISNUMBER(F128),ROUND(F128*G128,2),"Укажите цену"))</f>
        <v/>
      </c>
      <c r="I128" s="57"/>
      <c r="J128" s="57"/>
      <c r="K128" s="57"/>
      <c r="L128" s="57"/>
      <c r="M128" s="57"/>
      <c r="N128" s="57"/>
      <c r="O128" s="57"/>
      <c r="P128" s="58"/>
      <c r="Q128" s="68"/>
      <c r="R128" s="69"/>
      <c r="S128" s="60"/>
      <c r="T128" s="61"/>
    </row>
    <row r="129" s="70" customFormat="true" ht="115" hidden="false" customHeight="true" outlineLevel="2" collapsed="false">
      <c r="A129" s="51" t="s">
        <v>442</v>
      </c>
      <c r="B129" s="57"/>
      <c r="C129" s="57"/>
      <c r="D129" s="53" t="s">
        <v>443</v>
      </c>
      <c r="E129" s="53" t="s">
        <v>89</v>
      </c>
      <c r="F129" s="54" t="n">
        <v>68.5</v>
      </c>
      <c r="G129" s="55"/>
      <c r="H129" s="56" t="str">
        <f aca="false">IF(ISBLANK(G129),"",IF(ISNUMBER(F129),ROUND(F129*G129,2),"Укажите цену"))</f>
        <v/>
      </c>
      <c r="I129" s="94" t="s">
        <v>348</v>
      </c>
      <c r="J129" s="57" t="n">
        <v>27.22</v>
      </c>
      <c r="K129" s="94" t="s">
        <v>348</v>
      </c>
      <c r="L129" s="57" t="s">
        <v>91</v>
      </c>
      <c r="M129" s="57" t="s">
        <v>92</v>
      </c>
      <c r="N129" s="57" t="n">
        <v>1000</v>
      </c>
      <c r="O129" s="57" t="s">
        <v>444</v>
      </c>
      <c r="P129" s="58" t="n">
        <v>0.049</v>
      </c>
      <c r="Q129" s="95" t="s">
        <v>445</v>
      </c>
      <c r="R129" s="69" t="s">
        <v>446</v>
      </c>
      <c r="S129" s="60" t="s">
        <v>96</v>
      </c>
      <c r="T129" s="61"/>
    </row>
    <row r="130" s="70" customFormat="true" ht="60" hidden="false" customHeight="true" outlineLevel="2" collapsed="false">
      <c r="A130" s="63" t="s">
        <v>447</v>
      </c>
      <c r="B130" s="57"/>
      <c r="C130" s="57"/>
      <c r="D130" s="53" t="s">
        <v>448</v>
      </c>
      <c r="E130" s="53" t="s">
        <v>89</v>
      </c>
      <c r="F130" s="54" t="n">
        <v>45.67</v>
      </c>
      <c r="G130" s="55"/>
      <c r="H130" s="56" t="str">
        <f aca="false">IF(ISBLANK(G130),"",IF(ISNUMBER(F130),ROUND(F130*G130,2),"Укажите цену"))</f>
        <v/>
      </c>
      <c r="I130" s="94" t="s">
        <v>348</v>
      </c>
      <c r="J130" s="57" t="n">
        <v>27.3</v>
      </c>
      <c r="K130" s="94" t="s">
        <v>348</v>
      </c>
      <c r="L130" s="57" t="s">
        <v>91</v>
      </c>
      <c r="M130" s="57" t="s">
        <v>92</v>
      </c>
      <c r="N130" s="57" t="n">
        <v>1000</v>
      </c>
      <c r="O130" s="57" t="s">
        <v>444</v>
      </c>
      <c r="P130" s="58" t="n">
        <v>0.049</v>
      </c>
      <c r="Q130" s="95" t="s">
        <v>449</v>
      </c>
      <c r="R130" s="69" t="s">
        <v>450</v>
      </c>
      <c r="S130" s="60" t="s">
        <v>96</v>
      </c>
      <c r="T130" s="61"/>
    </row>
    <row r="131" s="70" customFormat="true" ht="60" hidden="false" customHeight="true" outlineLevel="2" collapsed="false">
      <c r="A131" s="63"/>
      <c r="B131" s="57"/>
      <c r="C131" s="57"/>
      <c r="D131" s="53" t="s">
        <v>451</v>
      </c>
      <c r="E131" s="53" t="s">
        <v>103</v>
      </c>
      <c r="F131" s="54" t="n">
        <v>45.67</v>
      </c>
      <c r="G131" s="55"/>
      <c r="H131" s="56" t="str">
        <f aca="false">IF(ISBLANK(G131),"",IF(ISNUMBER(F131),ROUND(F131*G131,2),"Укажите цену"))</f>
        <v/>
      </c>
      <c r="I131" s="94"/>
      <c r="J131" s="94"/>
      <c r="K131" s="94"/>
      <c r="L131" s="94"/>
      <c r="M131" s="94"/>
      <c r="N131" s="94"/>
      <c r="O131" s="94"/>
      <c r="P131" s="58"/>
      <c r="Q131" s="95"/>
      <c r="R131" s="69"/>
      <c r="S131" s="60"/>
      <c r="T131" s="61"/>
    </row>
    <row r="132" s="70" customFormat="true" ht="115" hidden="false" customHeight="true" outlineLevel="2" collapsed="false">
      <c r="A132" s="51" t="s">
        <v>452</v>
      </c>
      <c r="B132" s="57"/>
      <c r="C132" s="57"/>
      <c r="D132" s="53" t="s">
        <v>453</v>
      </c>
      <c r="E132" s="53" t="s">
        <v>103</v>
      </c>
      <c r="F132" s="54" t="n">
        <v>40.77</v>
      </c>
      <c r="G132" s="55"/>
      <c r="H132" s="56" t="str">
        <f aca="false">IF(ISBLANK(G132),"",IF(ISNUMBER(F132),ROUND(F132*G132,2),"Укажите цену"))</f>
        <v/>
      </c>
      <c r="I132" s="94" t="s">
        <v>348</v>
      </c>
      <c r="J132" s="57" t="n">
        <v>29</v>
      </c>
      <c r="K132" s="94" t="s">
        <v>348</v>
      </c>
      <c r="L132" s="57" t="s">
        <v>91</v>
      </c>
      <c r="M132" s="57" t="s">
        <v>92</v>
      </c>
      <c r="N132" s="57" t="n">
        <v>1000</v>
      </c>
      <c r="O132" s="57" t="s">
        <v>444</v>
      </c>
      <c r="P132" s="58" t="n">
        <v>0.049</v>
      </c>
      <c r="Q132" s="95" t="s">
        <v>454</v>
      </c>
      <c r="R132" s="69" t="s">
        <v>455</v>
      </c>
      <c r="S132" s="60" t="s">
        <v>96</v>
      </c>
      <c r="T132" s="61"/>
    </row>
    <row r="133" s="70" customFormat="true" ht="60" hidden="false" customHeight="true" outlineLevel="2" collapsed="false">
      <c r="A133" s="63" t="s">
        <v>456</v>
      </c>
      <c r="B133" s="57"/>
      <c r="C133" s="57"/>
      <c r="D133" s="53" t="s">
        <v>457</v>
      </c>
      <c r="E133" s="53" t="s">
        <v>89</v>
      </c>
      <c r="F133" s="54" t="n">
        <v>29.36</v>
      </c>
      <c r="G133" s="55"/>
      <c r="H133" s="56" t="str">
        <f aca="false">IF(ISBLANK(G133),"",IF(ISNUMBER(F133),ROUND(F133*G133,2),"Укажите цену"))</f>
        <v/>
      </c>
      <c r="I133" s="94" t="s">
        <v>348</v>
      </c>
      <c r="J133" s="57" t="n">
        <v>27.9</v>
      </c>
      <c r="K133" s="94" t="s">
        <v>348</v>
      </c>
      <c r="L133" s="57" t="s">
        <v>91</v>
      </c>
      <c r="M133" s="57" t="s">
        <v>92</v>
      </c>
      <c r="N133" s="57" t="n">
        <v>1000</v>
      </c>
      <c r="O133" s="57" t="s">
        <v>444</v>
      </c>
      <c r="P133" s="58" t="n">
        <v>0.049</v>
      </c>
      <c r="Q133" s="95" t="s">
        <v>454</v>
      </c>
      <c r="R133" s="69" t="s">
        <v>458</v>
      </c>
      <c r="S133" s="60" t="s">
        <v>96</v>
      </c>
      <c r="T133" s="61"/>
    </row>
    <row r="134" s="70" customFormat="true" ht="60" hidden="false" customHeight="true" outlineLevel="2" collapsed="false">
      <c r="A134" s="63"/>
      <c r="B134" s="57"/>
      <c r="C134" s="57"/>
      <c r="D134" s="53" t="s">
        <v>459</v>
      </c>
      <c r="E134" s="53" t="s">
        <v>103</v>
      </c>
      <c r="F134" s="54" t="n">
        <v>29.36</v>
      </c>
      <c r="G134" s="55"/>
      <c r="H134" s="56" t="str">
        <f aca="false">IF(ISBLANK(G134),"",IF(ISNUMBER(F134),ROUND(F134*G134,2),"Укажите цену"))</f>
        <v/>
      </c>
      <c r="I134" s="94"/>
      <c r="J134" s="94"/>
      <c r="K134" s="94"/>
      <c r="L134" s="94"/>
      <c r="M134" s="94"/>
      <c r="N134" s="94"/>
      <c r="O134" s="94"/>
      <c r="P134" s="58"/>
      <c r="Q134" s="95"/>
      <c r="R134" s="69"/>
      <c r="S134" s="60"/>
      <c r="T134" s="61"/>
    </row>
    <row r="135" s="70" customFormat="true" ht="60" hidden="false" customHeight="true" outlineLevel="2" collapsed="false">
      <c r="A135" s="63" t="s">
        <v>460</v>
      </c>
      <c r="B135" s="57"/>
      <c r="C135" s="57"/>
      <c r="D135" s="53" t="s">
        <v>461</v>
      </c>
      <c r="E135" s="53" t="s">
        <v>89</v>
      </c>
      <c r="F135" s="54" t="n">
        <v>34.25</v>
      </c>
      <c r="G135" s="55"/>
      <c r="H135" s="56" t="str">
        <f aca="false">IF(ISBLANK(G135),"",IF(ISNUMBER(F135),ROUND(F135*G135,2),"Укажите цену"))</f>
        <v/>
      </c>
      <c r="I135" s="94" t="s">
        <v>348</v>
      </c>
      <c r="J135" s="57" t="n">
        <v>29.4</v>
      </c>
      <c r="K135" s="94" t="s">
        <v>348</v>
      </c>
      <c r="L135" s="57" t="s">
        <v>91</v>
      </c>
      <c r="M135" s="57" t="s">
        <v>92</v>
      </c>
      <c r="N135" s="57" t="n">
        <v>1000</v>
      </c>
      <c r="O135" s="57" t="s">
        <v>444</v>
      </c>
      <c r="P135" s="58" t="n">
        <v>0.049</v>
      </c>
      <c r="Q135" s="95" t="s">
        <v>462</v>
      </c>
      <c r="R135" s="69" t="s">
        <v>463</v>
      </c>
      <c r="S135" s="60" t="s">
        <v>96</v>
      </c>
      <c r="T135" s="61"/>
    </row>
    <row r="136" s="70" customFormat="true" ht="60" hidden="false" customHeight="true" outlineLevel="2" collapsed="false">
      <c r="A136" s="63"/>
      <c r="B136" s="57"/>
      <c r="C136" s="57"/>
      <c r="D136" s="53" t="s">
        <v>464</v>
      </c>
      <c r="E136" s="53" t="s">
        <v>103</v>
      </c>
      <c r="F136" s="54" t="n">
        <v>34.25</v>
      </c>
      <c r="G136" s="55"/>
      <c r="H136" s="56" t="str">
        <f aca="false">IF(ISBLANK(G136),"",IF(ISNUMBER(F136),ROUND(F136*G136,2),"Укажите цену"))</f>
        <v/>
      </c>
      <c r="I136" s="94"/>
      <c r="J136" s="94"/>
      <c r="K136" s="94"/>
      <c r="L136" s="94"/>
      <c r="M136" s="94"/>
      <c r="N136" s="94"/>
      <c r="O136" s="94"/>
      <c r="P136" s="58"/>
      <c r="Q136" s="95"/>
      <c r="R136" s="69"/>
      <c r="S136" s="60"/>
      <c r="T136" s="61"/>
    </row>
    <row r="137" s="70" customFormat="true" ht="60" hidden="false" customHeight="true" outlineLevel="2" collapsed="false">
      <c r="A137" s="63" t="s">
        <v>465</v>
      </c>
      <c r="B137" s="57"/>
      <c r="C137" s="57"/>
      <c r="D137" s="53" t="s">
        <v>443</v>
      </c>
      <c r="E137" s="53" t="s">
        <v>89</v>
      </c>
      <c r="F137" s="54" t="n">
        <v>73.39</v>
      </c>
      <c r="G137" s="55"/>
      <c r="H137" s="56" t="str">
        <f aca="false">IF(ISBLANK(G137),"",IF(ISNUMBER(F137),ROUND(F137*G137,2),"Укажите цену"))</f>
        <v/>
      </c>
      <c r="I137" s="57" t="n">
        <v>41</v>
      </c>
      <c r="J137" s="57" t="n">
        <v>17.1</v>
      </c>
      <c r="K137" s="57" t="s">
        <v>147</v>
      </c>
      <c r="L137" s="57" t="s">
        <v>91</v>
      </c>
      <c r="M137" s="57" t="s">
        <v>92</v>
      </c>
      <c r="N137" s="57" t="n">
        <v>360</v>
      </c>
      <c r="O137" s="57" t="s">
        <v>93</v>
      </c>
      <c r="P137" s="58" t="n">
        <v>0.133</v>
      </c>
      <c r="Q137" s="95" t="s">
        <v>466</v>
      </c>
      <c r="R137" s="69" t="s">
        <v>446</v>
      </c>
      <c r="S137" s="60" t="s">
        <v>96</v>
      </c>
      <c r="T137" s="61"/>
    </row>
    <row r="138" s="70" customFormat="true" ht="60" hidden="false" customHeight="true" outlineLevel="2" collapsed="false">
      <c r="A138" s="63"/>
      <c r="B138" s="57"/>
      <c r="C138" s="57"/>
      <c r="D138" s="53" t="s">
        <v>467</v>
      </c>
      <c r="E138" s="53" t="s">
        <v>103</v>
      </c>
      <c r="F138" s="54" t="n">
        <v>73.39</v>
      </c>
      <c r="G138" s="55"/>
      <c r="H138" s="56" t="str">
        <f aca="false">IF(ISBLANK(G138),"",IF(ISNUMBER(F138),ROUND(F138*G138,2),"Укажите цену"))</f>
        <v/>
      </c>
      <c r="I138" s="57"/>
      <c r="J138" s="57"/>
      <c r="K138" s="57"/>
      <c r="L138" s="57"/>
      <c r="M138" s="57"/>
      <c r="N138" s="57"/>
      <c r="O138" s="57"/>
      <c r="P138" s="58"/>
      <c r="Q138" s="95"/>
      <c r="R138" s="69"/>
      <c r="S138" s="60"/>
      <c r="T138" s="61"/>
    </row>
    <row r="139" s="70" customFormat="true" ht="60" hidden="false" customHeight="true" outlineLevel="2" collapsed="false">
      <c r="A139" s="63" t="s">
        <v>468</v>
      </c>
      <c r="B139" s="57"/>
      <c r="C139" s="57"/>
      <c r="D139" s="53" t="s">
        <v>448</v>
      </c>
      <c r="E139" s="53" t="s">
        <v>89</v>
      </c>
      <c r="F139" s="54" t="n">
        <v>50.56</v>
      </c>
      <c r="G139" s="55"/>
      <c r="H139" s="56" t="str">
        <f aca="false">IF(ISBLANK(G139),"",IF(ISNUMBER(F139),ROUND(F139*G139,2),"Укажите цену"))</f>
        <v/>
      </c>
      <c r="I139" s="57" t="n">
        <v>42</v>
      </c>
      <c r="J139" s="57" t="n">
        <v>17.1</v>
      </c>
      <c r="K139" s="57" t="s">
        <v>147</v>
      </c>
      <c r="L139" s="57" t="s">
        <v>91</v>
      </c>
      <c r="M139" s="57" t="s">
        <v>92</v>
      </c>
      <c r="N139" s="57" t="n">
        <v>360</v>
      </c>
      <c r="O139" s="57" t="s">
        <v>93</v>
      </c>
      <c r="P139" s="58" t="n">
        <v>0.133</v>
      </c>
      <c r="Q139" s="95" t="s">
        <v>469</v>
      </c>
      <c r="R139" s="69" t="s">
        <v>450</v>
      </c>
      <c r="S139" s="60" t="s">
        <v>96</v>
      </c>
      <c r="T139" s="61"/>
    </row>
    <row r="140" s="70" customFormat="true" ht="60" hidden="false" customHeight="true" outlineLevel="2" collapsed="false">
      <c r="A140" s="63"/>
      <c r="B140" s="57"/>
      <c r="C140" s="57"/>
      <c r="D140" s="53" t="s">
        <v>451</v>
      </c>
      <c r="E140" s="53" t="s">
        <v>103</v>
      </c>
      <c r="F140" s="54" t="n">
        <v>50.56</v>
      </c>
      <c r="G140" s="55"/>
      <c r="H140" s="56" t="str">
        <f aca="false">IF(ISBLANK(G140),"",IF(ISNUMBER(F140),ROUND(F140*G140,2),"Укажите цену"))</f>
        <v/>
      </c>
      <c r="I140" s="57"/>
      <c r="J140" s="57"/>
      <c r="K140" s="57"/>
      <c r="L140" s="57"/>
      <c r="M140" s="57"/>
      <c r="N140" s="57"/>
      <c r="O140" s="57"/>
      <c r="P140" s="58"/>
      <c r="Q140" s="95"/>
      <c r="R140" s="69"/>
      <c r="S140" s="60"/>
      <c r="T140" s="61"/>
    </row>
    <row r="141" s="70" customFormat="true" ht="60" hidden="false" customHeight="true" outlineLevel="2" collapsed="false">
      <c r="A141" s="63" t="s">
        <v>470</v>
      </c>
      <c r="B141" s="57"/>
      <c r="C141" s="57"/>
      <c r="D141" s="53" t="s">
        <v>471</v>
      </c>
      <c r="E141" s="53" t="s">
        <v>89</v>
      </c>
      <c r="F141" s="54" t="n">
        <v>45.67</v>
      </c>
      <c r="G141" s="55"/>
      <c r="H141" s="56" t="str">
        <f aca="false">IF(ISBLANK(G141),"",IF(ISNUMBER(F141),ROUND(F141*G141,2),"Укажите цену"))</f>
        <v/>
      </c>
      <c r="I141" s="57" t="n">
        <v>41</v>
      </c>
      <c r="J141" s="57" t="n">
        <v>17</v>
      </c>
      <c r="K141" s="57" t="s">
        <v>147</v>
      </c>
      <c r="L141" s="57" t="s">
        <v>91</v>
      </c>
      <c r="M141" s="57" t="s">
        <v>92</v>
      </c>
      <c r="N141" s="57" t="n">
        <v>360</v>
      </c>
      <c r="O141" s="57" t="s">
        <v>93</v>
      </c>
      <c r="P141" s="58" t="n">
        <v>0.133</v>
      </c>
      <c r="Q141" s="95" t="s">
        <v>472</v>
      </c>
      <c r="R141" s="69" t="s">
        <v>455</v>
      </c>
      <c r="S141" s="60" t="s">
        <v>96</v>
      </c>
      <c r="T141" s="61"/>
    </row>
    <row r="142" s="70" customFormat="true" ht="60" hidden="false" customHeight="true" outlineLevel="2" collapsed="false">
      <c r="A142" s="63"/>
      <c r="B142" s="57"/>
      <c r="C142" s="57"/>
      <c r="D142" s="53" t="s">
        <v>453</v>
      </c>
      <c r="E142" s="53" t="s">
        <v>103</v>
      </c>
      <c r="F142" s="54" t="n">
        <v>45.67</v>
      </c>
      <c r="G142" s="55"/>
      <c r="H142" s="56" t="str">
        <f aca="false">IF(ISBLANK(G142),"",IF(ISNUMBER(F142),ROUND(F142*G142,2),"Укажите цену"))</f>
        <v/>
      </c>
      <c r="I142" s="57"/>
      <c r="J142" s="57"/>
      <c r="K142" s="57"/>
      <c r="L142" s="57"/>
      <c r="M142" s="57"/>
      <c r="N142" s="57"/>
      <c r="O142" s="57"/>
      <c r="P142" s="58"/>
      <c r="Q142" s="95"/>
      <c r="R142" s="69"/>
      <c r="S142" s="60"/>
      <c r="T142" s="61"/>
    </row>
    <row r="143" s="70" customFormat="true" ht="60" hidden="false" customHeight="true" outlineLevel="2" collapsed="false">
      <c r="A143" s="63" t="s">
        <v>473</v>
      </c>
      <c r="B143" s="57"/>
      <c r="C143" s="57"/>
      <c r="D143" s="53" t="s">
        <v>457</v>
      </c>
      <c r="E143" s="53" t="s">
        <v>89</v>
      </c>
      <c r="F143" s="54" t="n">
        <v>34.25</v>
      </c>
      <c r="G143" s="55"/>
      <c r="H143" s="56" t="str">
        <f aca="false">IF(ISBLANK(G143),"",IF(ISNUMBER(F143),ROUND(F143*G143,2),"Укажите цену"))</f>
        <v/>
      </c>
      <c r="I143" s="57" t="n">
        <v>42</v>
      </c>
      <c r="J143" s="57" t="n">
        <v>17.3</v>
      </c>
      <c r="K143" s="57" t="s">
        <v>147</v>
      </c>
      <c r="L143" s="57" t="s">
        <v>91</v>
      </c>
      <c r="M143" s="57" t="s">
        <v>92</v>
      </c>
      <c r="N143" s="57" t="n">
        <v>360</v>
      </c>
      <c r="O143" s="57" t="s">
        <v>93</v>
      </c>
      <c r="P143" s="58" t="n">
        <v>0.133</v>
      </c>
      <c r="Q143" s="95" t="s">
        <v>472</v>
      </c>
      <c r="R143" s="69" t="s">
        <v>458</v>
      </c>
      <c r="S143" s="60" t="s">
        <v>96</v>
      </c>
      <c r="T143" s="61"/>
    </row>
    <row r="144" s="70" customFormat="true" ht="60" hidden="false" customHeight="true" outlineLevel="2" collapsed="false">
      <c r="A144" s="63"/>
      <c r="B144" s="57"/>
      <c r="C144" s="57"/>
      <c r="D144" s="53" t="s">
        <v>459</v>
      </c>
      <c r="E144" s="53" t="s">
        <v>103</v>
      </c>
      <c r="F144" s="54" t="n">
        <v>34.25</v>
      </c>
      <c r="G144" s="55"/>
      <c r="H144" s="56" t="str">
        <f aca="false">IF(ISBLANK(G144),"",IF(ISNUMBER(F144),ROUND(F144*G144,2),"Укажите цену"))</f>
        <v/>
      </c>
      <c r="I144" s="57"/>
      <c r="J144" s="57"/>
      <c r="K144" s="57"/>
      <c r="L144" s="57"/>
      <c r="M144" s="57"/>
      <c r="N144" s="57"/>
      <c r="O144" s="57"/>
      <c r="P144" s="58"/>
      <c r="Q144" s="95"/>
      <c r="R144" s="69"/>
      <c r="S144" s="60"/>
      <c r="T144" s="61"/>
    </row>
    <row r="145" s="70" customFormat="true" ht="60" hidden="false" customHeight="true" outlineLevel="2" collapsed="false">
      <c r="A145" s="63" t="s">
        <v>474</v>
      </c>
      <c r="B145" s="57"/>
      <c r="C145" s="57"/>
      <c r="D145" s="53" t="s">
        <v>461</v>
      </c>
      <c r="E145" s="53" t="s">
        <v>89</v>
      </c>
      <c r="F145" s="54" t="n">
        <v>39.14</v>
      </c>
      <c r="G145" s="55"/>
      <c r="H145" s="56" t="str">
        <f aca="false">IF(ISBLANK(G145),"",IF(ISNUMBER(F145),ROUND(F145*G145,2),"Укажите цену"))</f>
        <v/>
      </c>
      <c r="I145" s="57" t="n">
        <v>43</v>
      </c>
      <c r="J145" s="57" t="n">
        <v>17.6</v>
      </c>
      <c r="K145" s="57" t="s">
        <v>147</v>
      </c>
      <c r="L145" s="57" t="s">
        <v>91</v>
      </c>
      <c r="M145" s="57" t="s">
        <v>92</v>
      </c>
      <c r="N145" s="57" t="n">
        <v>360</v>
      </c>
      <c r="O145" s="57" t="s">
        <v>93</v>
      </c>
      <c r="P145" s="58" t="n">
        <v>0.133</v>
      </c>
      <c r="Q145" s="95" t="s">
        <v>475</v>
      </c>
      <c r="R145" s="69" t="s">
        <v>463</v>
      </c>
      <c r="S145" s="60" t="s">
        <v>96</v>
      </c>
      <c r="T145" s="61"/>
    </row>
    <row r="146" s="70" customFormat="true" ht="60" hidden="false" customHeight="true" outlineLevel="2" collapsed="false">
      <c r="A146" s="63"/>
      <c r="B146" s="57"/>
      <c r="C146" s="57"/>
      <c r="D146" s="53" t="s">
        <v>464</v>
      </c>
      <c r="E146" s="53" t="s">
        <v>103</v>
      </c>
      <c r="F146" s="54" t="n">
        <v>39.14</v>
      </c>
      <c r="G146" s="55"/>
      <c r="H146" s="56" t="str">
        <f aca="false">IF(ISBLANK(G146),"",IF(ISNUMBER(F146),ROUND(F146*G146,2),"Укажите цену"))</f>
        <v/>
      </c>
      <c r="I146" s="57"/>
      <c r="J146" s="57"/>
      <c r="K146" s="57"/>
      <c r="L146" s="57"/>
      <c r="M146" s="57"/>
      <c r="N146" s="57"/>
      <c r="O146" s="57"/>
      <c r="P146" s="58"/>
      <c r="Q146" s="95"/>
      <c r="R146" s="69"/>
      <c r="S146" s="60"/>
      <c r="T146" s="61"/>
    </row>
    <row r="147" s="70" customFormat="true" ht="115" hidden="false" customHeight="true" outlineLevel="2" collapsed="false">
      <c r="A147" s="51" t="s">
        <v>476</v>
      </c>
      <c r="B147" s="97"/>
      <c r="C147" s="98"/>
      <c r="D147" s="53" t="s">
        <v>477</v>
      </c>
      <c r="E147" s="53" t="s">
        <v>217</v>
      </c>
      <c r="F147" s="54" t="n">
        <v>52.19</v>
      </c>
      <c r="G147" s="55"/>
      <c r="H147" s="56" t="str">
        <f aca="false">IF(ISBLANK(G147),"",IF(ISNUMBER(F147),ROUND(F147*G147,2),"Укажите цену"))</f>
        <v/>
      </c>
      <c r="I147" s="57" t="n">
        <v>40</v>
      </c>
      <c r="J147" s="57" t="n">
        <v>16.5</v>
      </c>
      <c r="K147" s="57" t="s">
        <v>90</v>
      </c>
      <c r="L147" s="57" t="s">
        <v>91</v>
      </c>
      <c r="M147" s="57" t="s">
        <v>92</v>
      </c>
      <c r="N147" s="57" t="n">
        <v>360</v>
      </c>
      <c r="O147" s="57" t="s">
        <v>93</v>
      </c>
      <c r="P147" s="58" t="n">
        <v>0.133</v>
      </c>
      <c r="Q147" s="68" t="s">
        <v>478</v>
      </c>
      <c r="R147" s="69" t="s">
        <v>479</v>
      </c>
      <c r="S147" s="60" t="s">
        <v>96</v>
      </c>
      <c r="T147" s="61"/>
    </row>
    <row r="148" s="70" customFormat="true" ht="115" hidden="false" customHeight="true" outlineLevel="2" collapsed="false">
      <c r="A148" s="51" t="s">
        <v>480</v>
      </c>
      <c r="B148" s="57"/>
      <c r="C148" s="57"/>
      <c r="D148" s="53" t="s">
        <v>481</v>
      </c>
      <c r="E148" s="53" t="s">
        <v>217</v>
      </c>
      <c r="F148" s="54" t="n">
        <v>47.3</v>
      </c>
      <c r="G148" s="55"/>
      <c r="H148" s="56" t="str">
        <f aca="false">IF(ISBLANK(G148),"",IF(ISNUMBER(F148),ROUND(F148*G148,2),"Укажите цену"))</f>
        <v/>
      </c>
      <c r="I148" s="57" t="n">
        <v>40</v>
      </c>
      <c r="J148" s="57" t="n">
        <v>16.5</v>
      </c>
      <c r="K148" s="57" t="s">
        <v>90</v>
      </c>
      <c r="L148" s="57" t="s">
        <v>91</v>
      </c>
      <c r="M148" s="57" t="s">
        <v>92</v>
      </c>
      <c r="N148" s="57" t="n">
        <v>360</v>
      </c>
      <c r="O148" s="57" t="s">
        <v>93</v>
      </c>
      <c r="P148" s="58" t="n">
        <v>0.133</v>
      </c>
      <c r="Q148" s="68" t="s">
        <v>482</v>
      </c>
      <c r="R148" s="69" t="s">
        <v>483</v>
      </c>
      <c r="S148" s="60" t="s">
        <v>96</v>
      </c>
      <c r="T148" s="61"/>
    </row>
    <row r="149" s="70" customFormat="true" ht="115" hidden="false" customHeight="true" outlineLevel="2" collapsed="false">
      <c r="A149" s="51" t="s">
        <v>484</v>
      </c>
      <c r="B149" s="57"/>
      <c r="C149" s="57"/>
      <c r="D149" s="53" t="s">
        <v>485</v>
      </c>
      <c r="E149" s="53" t="s">
        <v>217</v>
      </c>
      <c r="F149" s="54" t="n">
        <v>40.77</v>
      </c>
      <c r="G149" s="55"/>
      <c r="H149" s="56" t="str">
        <f aca="false">IF(ISBLANK(G149),"",IF(ISNUMBER(F149),ROUND(F149*G149,2),"Укажите цену"))</f>
        <v/>
      </c>
      <c r="I149" s="57" t="n">
        <v>40</v>
      </c>
      <c r="J149" s="57" t="n">
        <v>16.6</v>
      </c>
      <c r="K149" s="57" t="s">
        <v>90</v>
      </c>
      <c r="L149" s="57" t="s">
        <v>91</v>
      </c>
      <c r="M149" s="57" t="s">
        <v>92</v>
      </c>
      <c r="N149" s="57" t="n">
        <v>360</v>
      </c>
      <c r="O149" s="57" t="s">
        <v>93</v>
      </c>
      <c r="P149" s="58" t="n">
        <v>0.133</v>
      </c>
      <c r="Q149" s="68" t="s">
        <v>486</v>
      </c>
      <c r="R149" s="69" t="s">
        <v>487</v>
      </c>
      <c r="S149" s="60" t="s">
        <v>96</v>
      </c>
      <c r="T149" s="61"/>
    </row>
    <row r="150" s="70" customFormat="true" ht="60" hidden="false" customHeight="true" outlineLevel="2" collapsed="false">
      <c r="A150" s="63" t="s">
        <v>488</v>
      </c>
      <c r="B150" s="57"/>
      <c r="C150" s="57"/>
      <c r="D150" s="53" t="s">
        <v>489</v>
      </c>
      <c r="E150" s="53" t="s">
        <v>89</v>
      </c>
      <c r="F150" s="54" t="n">
        <v>68.5</v>
      </c>
      <c r="G150" s="55"/>
      <c r="H150" s="56" t="str">
        <f aca="false">IF(ISBLANK(G150),"",IF(ISNUMBER(F150),ROUND(F150*G150,2),"Укажите цену"))</f>
        <v/>
      </c>
      <c r="I150" s="57" t="n">
        <v>37</v>
      </c>
      <c r="J150" s="57" t="n">
        <v>15.5</v>
      </c>
      <c r="K150" s="57" t="s">
        <v>99</v>
      </c>
      <c r="L150" s="57" t="s">
        <v>91</v>
      </c>
      <c r="M150" s="57" t="s">
        <v>92</v>
      </c>
      <c r="N150" s="57" t="n">
        <v>360</v>
      </c>
      <c r="O150" s="57" t="s">
        <v>93</v>
      </c>
      <c r="P150" s="58" t="n">
        <v>0.133</v>
      </c>
      <c r="Q150" s="68" t="s">
        <v>490</v>
      </c>
      <c r="R150" s="77" t="s">
        <v>491</v>
      </c>
      <c r="S150" s="73" t="s">
        <v>96</v>
      </c>
      <c r="T150" s="61"/>
    </row>
    <row r="151" s="70" customFormat="true" ht="60" hidden="false" customHeight="true" outlineLevel="2" collapsed="false">
      <c r="A151" s="63"/>
      <c r="B151" s="57"/>
      <c r="C151" s="57"/>
      <c r="D151" s="53" t="s">
        <v>492</v>
      </c>
      <c r="E151" s="53" t="s">
        <v>103</v>
      </c>
      <c r="F151" s="54" t="n">
        <v>68.5</v>
      </c>
      <c r="G151" s="55"/>
      <c r="H151" s="56" t="str">
        <f aca="false">IF(ISBLANK(G151),"",IF(ISNUMBER(F151),ROUND(F151*G151,2),"Укажите цену"))</f>
        <v/>
      </c>
      <c r="I151" s="57"/>
      <c r="J151" s="57"/>
      <c r="K151" s="57"/>
      <c r="L151" s="57"/>
      <c r="M151" s="57"/>
      <c r="N151" s="57"/>
      <c r="O151" s="57"/>
      <c r="P151" s="58"/>
      <c r="Q151" s="68"/>
      <c r="R151" s="77"/>
      <c r="S151" s="73"/>
      <c r="T151" s="61"/>
    </row>
    <row r="152" s="62" customFormat="true" ht="60" hidden="false" customHeight="true" outlineLevel="2" collapsed="false">
      <c r="A152" s="63" t="s">
        <v>493</v>
      </c>
      <c r="B152" s="57"/>
      <c r="C152" s="57"/>
      <c r="D152" s="53" t="s">
        <v>494</v>
      </c>
      <c r="E152" s="53" t="s">
        <v>89</v>
      </c>
      <c r="F152" s="54" t="n">
        <v>89.7</v>
      </c>
      <c r="G152" s="55"/>
      <c r="H152" s="56" t="str">
        <f aca="false">IF(ISBLANK(G152),"",IF(ISNUMBER(F152),ROUND(F152*G152,2),"Укажите цену"))</f>
        <v/>
      </c>
      <c r="I152" s="57" t="n">
        <v>49</v>
      </c>
      <c r="J152" s="57" t="n">
        <v>19.48</v>
      </c>
      <c r="K152" s="57" t="s">
        <v>339</v>
      </c>
      <c r="L152" s="57" t="s">
        <v>91</v>
      </c>
      <c r="M152" s="57" t="s">
        <v>92</v>
      </c>
      <c r="N152" s="57" t="n">
        <v>360</v>
      </c>
      <c r="O152" s="57" t="s">
        <v>93</v>
      </c>
      <c r="P152" s="57" t="n">
        <v>0.133</v>
      </c>
      <c r="Q152" s="59" t="s">
        <v>495</v>
      </c>
      <c r="R152" s="77" t="s">
        <v>496</v>
      </c>
      <c r="S152" s="77" t="s">
        <v>497</v>
      </c>
      <c r="T152" s="61"/>
      <c r="U152" s="87"/>
      <c r="V152" s="61"/>
      <c r="W152" s="61"/>
      <c r="X152" s="61"/>
      <c r="Y152" s="61"/>
      <c r="Z152" s="61"/>
    </row>
    <row r="153" s="62" customFormat="true" ht="60" hidden="false" customHeight="true" outlineLevel="2" collapsed="false">
      <c r="A153" s="63"/>
      <c r="B153" s="57"/>
      <c r="C153" s="57"/>
      <c r="D153" s="53" t="s">
        <v>498</v>
      </c>
      <c r="E153" s="53" t="s">
        <v>103</v>
      </c>
      <c r="F153" s="54" t="n">
        <v>89.7</v>
      </c>
      <c r="G153" s="55"/>
      <c r="H153" s="56" t="str">
        <f aca="false">IF(ISBLANK(G153),"",IF(ISNUMBER(F153),ROUND(F153*G153,2),"Укажите цену"))</f>
        <v/>
      </c>
      <c r="I153" s="57"/>
      <c r="J153" s="57"/>
      <c r="K153" s="57"/>
      <c r="L153" s="57"/>
      <c r="M153" s="57"/>
      <c r="N153" s="57"/>
      <c r="O153" s="57"/>
      <c r="P153" s="57"/>
      <c r="Q153" s="59"/>
      <c r="R153" s="77"/>
      <c r="S153" s="77"/>
      <c r="T153" s="61"/>
      <c r="U153" s="87"/>
      <c r="V153" s="61"/>
      <c r="W153" s="61"/>
      <c r="X153" s="61"/>
      <c r="Y153" s="61"/>
      <c r="Z153" s="61"/>
    </row>
    <row r="154" s="62" customFormat="true" ht="115" hidden="false" customHeight="true" outlineLevel="2" collapsed="false">
      <c r="A154" s="51" t="s">
        <v>499</v>
      </c>
      <c r="B154" s="57"/>
      <c r="C154" s="57"/>
      <c r="D154" s="53" t="s">
        <v>500</v>
      </c>
      <c r="E154" s="53" t="s">
        <v>89</v>
      </c>
      <c r="F154" s="54" t="n">
        <v>48.93</v>
      </c>
      <c r="G154" s="55"/>
      <c r="H154" s="56" t="str">
        <f aca="false">IF(ISBLANK(G154),"",IF(ISNUMBER(F154),ROUND(F154*G154,2),"Укажите цену"))</f>
        <v/>
      </c>
      <c r="I154" s="57" t="n">
        <v>41</v>
      </c>
      <c r="J154" s="57" t="n">
        <v>16.98</v>
      </c>
      <c r="K154" s="57" t="s">
        <v>339</v>
      </c>
      <c r="L154" s="57" t="s">
        <v>91</v>
      </c>
      <c r="M154" s="57" t="s">
        <v>92</v>
      </c>
      <c r="N154" s="57" t="n">
        <v>360</v>
      </c>
      <c r="O154" s="57" t="s">
        <v>93</v>
      </c>
      <c r="P154" s="57" t="n">
        <v>0.133</v>
      </c>
      <c r="Q154" s="59" t="s">
        <v>501</v>
      </c>
      <c r="R154" s="77" t="s">
        <v>502</v>
      </c>
      <c r="S154" s="77" t="s">
        <v>497</v>
      </c>
      <c r="T154" s="61"/>
      <c r="U154" s="87"/>
      <c r="V154" s="61"/>
      <c r="W154" s="61"/>
      <c r="X154" s="61"/>
      <c r="Y154" s="61"/>
      <c r="Z154" s="61"/>
    </row>
    <row r="155" s="62" customFormat="true" ht="115" hidden="false" customHeight="true" outlineLevel="2" collapsed="false">
      <c r="A155" s="51" t="s">
        <v>503</v>
      </c>
      <c r="B155" s="57"/>
      <c r="C155" s="57"/>
      <c r="D155" s="53" t="s">
        <v>504</v>
      </c>
      <c r="E155" s="53" t="s">
        <v>89</v>
      </c>
      <c r="F155" s="54" t="n">
        <v>101.12</v>
      </c>
      <c r="G155" s="55"/>
      <c r="H155" s="56" t="str">
        <f aca="false">IF(ISBLANK(G155),"",IF(ISNUMBER(F155),ROUND(F155*G155,2),"Укажите цену"))</f>
        <v/>
      </c>
      <c r="I155" s="57" t="n">
        <v>36</v>
      </c>
      <c r="J155" s="57" t="n">
        <v>15.08</v>
      </c>
      <c r="K155" s="57" t="s">
        <v>99</v>
      </c>
      <c r="L155" s="57" t="s">
        <v>91</v>
      </c>
      <c r="M155" s="57" t="s">
        <v>92</v>
      </c>
      <c r="N155" s="57" t="n">
        <v>360</v>
      </c>
      <c r="O155" s="57" t="s">
        <v>93</v>
      </c>
      <c r="P155" s="99" t="n">
        <v>0.133</v>
      </c>
      <c r="Q155" s="100" t="s">
        <v>505</v>
      </c>
      <c r="R155" s="77" t="s">
        <v>506</v>
      </c>
      <c r="S155" s="73" t="s">
        <v>96</v>
      </c>
      <c r="T155" s="61"/>
      <c r="U155" s="87"/>
      <c r="V155" s="61"/>
      <c r="W155" s="61"/>
      <c r="X155" s="61"/>
      <c r="Y155" s="61"/>
      <c r="Z155" s="61"/>
    </row>
    <row r="156" s="62" customFormat="true" ht="115" hidden="false" customHeight="true" outlineLevel="2" collapsed="false">
      <c r="A156" s="51" t="s">
        <v>507</v>
      </c>
      <c r="B156" s="57"/>
      <c r="C156" s="57"/>
      <c r="D156" s="53" t="s">
        <v>508</v>
      </c>
      <c r="E156" s="53" t="s">
        <v>89</v>
      </c>
      <c r="F156" s="54" t="n">
        <v>71.76</v>
      </c>
      <c r="G156" s="55"/>
      <c r="H156" s="56" t="str">
        <f aca="false">IF(ISBLANK(G156),"",IF(ISNUMBER(F156),ROUND(F156*G156,2),"Укажите цену"))</f>
        <v/>
      </c>
      <c r="I156" s="57" t="n">
        <v>38</v>
      </c>
      <c r="J156" s="57" t="n">
        <v>15.49</v>
      </c>
      <c r="K156" s="57" t="s">
        <v>99</v>
      </c>
      <c r="L156" s="57" t="s">
        <v>91</v>
      </c>
      <c r="M156" s="57" t="s">
        <v>92</v>
      </c>
      <c r="N156" s="57" t="n">
        <v>360</v>
      </c>
      <c r="O156" s="57" t="s">
        <v>93</v>
      </c>
      <c r="P156" s="99" t="n">
        <v>0.133</v>
      </c>
      <c r="Q156" s="100" t="s">
        <v>509</v>
      </c>
      <c r="R156" s="77" t="s">
        <v>510</v>
      </c>
      <c r="S156" s="73" t="s">
        <v>96</v>
      </c>
      <c r="T156" s="61"/>
      <c r="U156" s="87"/>
      <c r="V156" s="61"/>
      <c r="W156" s="61"/>
      <c r="X156" s="61"/>
      <c r="Y156" s="61"/>
      <c r="Z156" s="61"/>
    </row>
    <row r="157" s="62" customFormat="true" ht="115" hidden="false" customHeight="true" outlineLevel="2" collapsed="false">
      <c r="A157" s="51" t="s">
        <v>511</v>
      </c>
      <c r="B157" s="57"/>
      <c r="C157" s="57"/>
      <c r="D157" s="53" t="s">
        <v>512</v>
      </c>
      <c r="E157" s="53" t="s">
        <v>89</v>
      </c>
      <c r="F157" s="54" t="n">
        <v>52.19</v>
      </c>
      <c r="G157" s="55"/>
      <c r="H157" s="56" t="str">
        <f aca="false">IF(ISBLANK(G157),"",IF(ISNUMBER(F157),ROUND(F157*G157,2),"Укажите цену"))</f>
        <v/>
      </c>
      <c r="I157" s="57" t="n">
        <v>35</v>
      </c>
      <c r="J157" s="57" t="n">
        <v>14.74</v>
      </c>
      <c r="K157" s="57" t="s">
        <v>99</v>
      </c>
      <c r="L157" s="57" t="s">
        <v>91</v>
      </c>
      <c r="M157" s="57" t="s">
        <v>92</v>
      </c>
      <c r="N157" s="57" t="n">
        <v>360</v>
      </c>
      <c r="O157" s="57" t="s">
        <v>93</v>
      </c>
      <c r="P157" s="99" t="n">
        <v>0.133</v>
      </c>
      <c r="Q157" s="100" t="s">
        <v>513</v>
      </c>
      <c r="R157" s="77" t="s">
        <v>514</v>
      </c>
      <c r="S157" s="73" t="s">
        <v>96</v>
      </c>
      <c r="T157" s="61"/>
      <c r="U157" s="87"/>
      <c r="V157" s="61"/>
      <c r="W157" s="61"/>
      <c r="X157" s="61"/>
      <c r="Y157" s="61"/>
      <c r="Z157" s="61"/>
    </row>
    <row r="158" s="62" customFormat="true" ht="115" hidden="false" customHeight="true" outlineLevel="2" collapsed="false">
      <c r="A158" s="51" t="s">
        <v>515</v>
      </c>
      <c r="B158" s="57"/>
      <c r="C158" s="57"/>
      <c r="D158" s="53" t="s">
        <v>516</v>
      </c>
      <c r="E158" s="53" t="s">
        <v>89</v>
      </c>
      <c r="F158" s="54" t="n">
        <v>39.14</v>
      </c>
      <c r="G158" s="55"/>
      <c r="H158" s="56" t="str">
        <f aca="false">IF(ISBLANK(G158),"",IF(ISNUMBER(F158),ROUND(F158*G158,2),"Укажите цену"))</f>
        <v/>
      </c>
      <c r="I158" s="57" t="n">
        <v>36</v>
      </c>
      <c r="J158" s="57" t="n">
        <v>14.6</v>
      </c>
      <c r="K158" s="57" t="s">
        <v>99</v>
      </c>
      <c r="L158" s="57" t="s">
        <v>91</v>
      </c>
      <c r="M158" s="57" t="s">
        <v>92</v>
      </c>
      <c r="N158" s="57" t="n">
        <v>360</v>
      </c>
      <c r="O158" s="57" t="s">
        <v>93</v>
      </c>
      <c r="P158" s="99" t="n">
        <v>0.133</v>
      </c>
      <c r="Q158" s="100" t="s">
        <v>513</v>
      </c>
      <c r="R158" s="77" t="s">
        <v>517</v>
      </c>
      <c r="S158" s="73" t="s">
        <v>96</v>
      </c>
      <c r="T158" s="61"/>
      <c r="U158" s="87"/>
      <c r="V158" s="61"/>
      <c r="W158" s="61"/>
      <c r="X158" s="61"/>
      <c r="Y158" s="61"/>
      <c r="Z158" s="61"/>
    </row>
    <row r="159" s="62" customFormat="true" ht="115" hidden="false" customHeight="true" outlineLevel="2" collapsed="false">
      <c r="A159" s="51" t="s">
        <v>518</v>
      </c>
      <c r="B159" s="57"/>
      <c r="C159" s="57"/>
      <c r="D159" s="53" t="s">
        <v>519</v>
      </c>
      <c r="E159" s="53" t="s">
        <v>89</v>
      </c>
      <c r="F159" s="54" t="n">
        <v>44.04</v>
      </c>
      <c r="G159" s="55"/>
      <c r="H159" s="56" t="str">
        <f aca="false">IF(ISBLANK(G159),"",IF(ISNUMBER(F159),ROUND(F159*G159,2),"Укажите цену"))</f>
        <v/>
      </c>
      <c r="I159" s="57" t="n">
        <v>35</v>
      </c>
      <c r="J159" s="57" t="n">
        <v>14.61</v>
      </c>
      <c r="K159" s="57" t="s">
        <v>99</v>
      </c>
      <c r="L159" s="57" t="s">
        <v>91</v>
      </c>
      <c r="M159" s="57" t="s">
        <v>92</v>
      </c>
      <c r="N159" s="57" t="n">
        <v>360</v>
      </c>
      <c r="O159" s="57" t="s">
        <v>93</v>
      </c>
      <c r="P159" s="99" t="n">
        <v>0.133</v>
      </c>
      <c r="Q159" s="100" t="s">
        <v>520</v>
      </c>
      <c r="R159" s="77" t="s">
        <v>521</v>
      </c>
      <c r="S159" s="73" t="s">
        <v>96</v>
      </c>
      <c r="T159" s="61"/>
      <c r="U159" s="87"/>
      <c r="V159" s="61"/>
      <c r="W159" s="61"/>
      <c r="X159" s="61"/>
      <c r="Y159" s="61"/>
      <c r="Z159" s="61"/>
    </row>
    <row r="160" s="62" customFormat="true" ht="115" hidden="false" customHeight="true" outlineLevel="2" collapsed="false">
      <c r="A160" s="51" t="s">
        <v>522</v>
      </c>
      <c r="B160" s="52"/>
      <c r="C160" s="52"/>
      <c r="D160" s="53" t="s">
        <v>523</v>
      </c>
      <c r="E160" s="53" t="s">
        <v>103</v>
      </c>
      <c r="F160" s="54" t="n">
        <v>57.08</v>
      </c>
      <c r="G160" s="55"/>
      <c r="H160" s="56" t="str">
        <f aca="false">IF(ISBLANK(G160),"",IF(ISNUMBER(F160),ROUND(F160*G160,2),"Укажите цену"))</f>
        <v/>
      </c>
      <c r="I160" s="57" t="n">
        <v>38</v>
      </c>
      <c r="J160" s="57" t="n">
        <v>15.65</v>
      </c>
      <c r="K160" s="57" t="s">
        <v>90</v>
      </c>
      <c r="L160" s="57" t="s">
        <v>91</v>
      </c>
      <c r="M160" s="57" t="s">
        <v>92</v>
      </c>
      <c r="N160" s="57" t="n">
        <v>360</v>
      </c>
      <c r="O160" s="57" t="s">
        <v>93</v>
      </c>
      <c r="P160" s="58" t="n">
        <v>0.133</v>
      </c>
      <c r="Q160" s="59" t="s">
        <v>524</v>
      </c>
      <c r="R160" s="60" t="s">
        <v>525</v>
      </c>
      <c r="S160" s="77" t="s">
        <v>526</v>
      </c>
      <c r="T160" s="61"/>
      <c r="U160" s="61"/>
      <c r="V160" s="61"/>
      <c r="W160" s="61"/>
      <c r="X160" s="61"/>
      <c r="Y160" s="61"/>
      <c r="Z160" s="61"/>
    </row>
    <row r="161" s="62" customFormat="true" ht="60" hidden="false" customHeight="true" outlineLevel="2" collapsed="false">
      <c r="A161" s="63" t="s">
        <v>527</v>
      </c>
      <c r="B161" s="52"/>
      <c r="C161" s="52"/>
      <c r="D161" s="53" t="s">
        <v>528</v>
      </c>
      <c r="E161" s="53" t="s">
        <v>89</v>
      </c>
      <c r="F161" s="54" t="n">
        <v>57.08</v>
      </c>
      <c r="G161" s="55"/>
      <c r="H161" s="56" t="str">
        <f aca="false">IF(ISBLANK(G161),"",IF(ISNUMBER(F161),ROUND(F161*G161,2),"Укажите цену"))</f>
        <v/>
      </c>
      <c r="I161" s="57" t="n">
        <v>38</v>
      </c>
      <c r="J161" s="57" t="n">
        <v>15.8</v>
      </c>
      <c r="K161" s="57" t="s">
        <v>90</v>
      </c>
      <c r="L161" s="57" t="s">
        <v>91</v>
      </c>
      <c r="M161" s="57" t="s">
        <v>92</v>
      </c>
      <c r="N161" s="57" t="n">
        <v>360</v>
      </c>
      <c r="O161" s="57" t="s">
        <v>93</v>
      </c>
      <c r="P161" s="58" t="n">
        <v>0.133</v>
      </c>
      <c r="Q161" s="59" t="s">
        <v>529</v>
      </c>
      <c r="R161" s="60" t="s">
        <v>530</v>
      </c>
      <c r="S161" s="77" t="s">
        <v>526</v>
      </c>
      <c r="T161" s="61"/>
      <c r="U161" s="61"/>
      <c r="V161" s="61"/>
      <c r="W161" s="61"/>
      <c r="X161" s="61"/>
      <c r="Y161" s="61"/>
      <c r="Z161" s="61"/>
    </row>
    <row r="162" s="62" customFormat="true" ht="60" hidden="false" customHeight="true" outlineLevel="2" collapsed="false">
      <c r="A162" s="63"/>
      <c r="B162" s="52"/>
      <c r="C162" s="52"/>
      <c r="D162" s="53" t="s">
        <v>531</v>
      </c>
      <c r="E162" s="53" t="s">
        <v>103</v>
      </c>
      <c r="F162" s="54" t="n">
        <v>57.08</v>
      </c>
      <c r="G162" s="55"/>
      <c r="H162" s="56" t="str">
        <f aca="false">IF(ISBLANK(G162),"",IF(ISNUMBER(F162),ROUND(F162*G162,2),"Укажите цену"))</f>
        <v/>
      </c>
      <c r="I162" s="57"/>
      <c r="J162" s="57"/>
      <c r="K162" s="57"/>
      <c r="L162" s="57"/>
      <c r="M162" s="57"/>
      <c r="N162" s="57"/>
      <c r="O162" s="57"/>
      <c r="P162" s="57"/>
      <c r="Q162" s="59"/>
      <c r="R162" s="60"/>
      <c r="S162" s="77"/>
      <c r="T162" s="61"/>
      <c r="U162" s="61"/>
      <c r="V162" s="61"/>
      <c r="W162" s="61"/>
      <c r="X162" s="61"/>
      <c r="Y162" s="61"/>
      <c r="Z162" s="61"/>
    </row>
    <row r="163" s="39" customFormat="true" ht="115" hidden="false" customHeight="true" outlineLevel="2" collapsed="false">
      <c r="A163" s="51" t="s">
        <v>532</v>
      </c>
      <c r="B163" s="57"/>
      <c r="C163" s="57"/>
      <c r="D163" s="53" t="s">
        <v>533</v>
      </c>
      <c r="E163" s="53" t="s">
        <v>89</v>
      </c>
      <c r="F163" s="54" t="n">
        <v>55.45</v>
      </c>
      <c r="G163" s="55"/>
      <c r="H163" s="56" t="str">
        <f aca="false">IF(ISBLANK(G163),"",IF(ISNUMBER(F163),ROUND(F163*G163,2),"Укажите цену"))</f>
        <v/>
      </c>
      <c r="I163" s="101" t="n">
        <v>36</v>
      </c>
      <c r="J163" s="76" t="n">
        <v>14.98</v>
      </c>
      <c r="K163" s="102" t="s">
        <v>534</v>
      </c>
      <c r="L163" s="101" t="s">
        <v>91</v>
      </c>
      <c r="M163" s="57" t="s">
        <v>92</v>
      </c>
      <c r="N163" s="57" t="n">
        <v>360</v>
      </c>
      <c r="O163" s="57" t="s">
        <v>535</v>
      </c>
      <c r="P163" s="58" t="n">
        <v>0.117</v>
      </c>
      <c r="Q163" s="103" t="s">
        <v>536</v>
      </c>
      <c r="R163" s="60" t="s">
        <v>537</v>
      </c>
      <c r="S163" s="72" t="s">
        <v>538</v>
      </c>
      <c r="T163" s="61"/>
      <c r="U163" s="34"/>
      <c r="V163" s="34"/>
      <c r="W163" s="34"/>
      <c r="X163" s="34"/>
      <c r="Y163" s="34"/>
      <c r="Z163" s="34"/>
      <c r="AA163" s="34"/>
      <c r="AB163" s="34"/>
    </row>
    <row r="164" s="39" customFormat="true" ht="115" hidden="false" customHeight="true" outlineLevel="2" collapsed="false">
      <c r="A164" s="51" t="s">
        <v>539</v>
      </c>
      <c r="B164" s="57"/>
      <c r="C164" s="57"/>
      <c r="D164" s="53" t="s">
        <v>540</v>
      </c>
      <c r="E164" s="53" t="s">
        <v>89</v>
      </c>
      <c r="F164" s="54" t="n">
        <v>44.04</v>
      </c>
      <c r="G164" s="55"/>
      <c r="H164" s="56" t="str">
        <f aca="false">IF(ISBLANK(G164),"",IF(ISNUMBER(F164),ROUND(F164*G164,2),"Укажите цену"))</f>
        <v/>
      </c>
      <c r="I164" s="101" t="n">
        <v>37</v>
      </c>
      <c r="J164" s="76" t="n">
        <v>15.02</v>
      </c>
      <c r="K164" s="102" t="s">
        <v>534</v>
      </c>
      <c r="L164" s="101" t="s">
        <v>91</v>
      </c>
      <c r="M164" s="57" t="s">
        <v>92</v>
      </c>
      <c r="N164" s="57" t="n">
        <v>360</v>
      </c>
      <c r="O164" s="57" t="s">
        <v>535</v>
      </c>
      <c r="P164" s="58" t="n">
        <v>0.117</v>
      </c>
      <c r="Q164" s="103"/>
      <c r="R164" s="60" t="s">
        <v>541</v>
      </c>
      <c r="S164" s="72" t="s">
        <v>538</v>
      </c>
      <c r="T164" s="61"/>
      <c r="U164" s="34"/>
      <c r="V164" s="34"/>
      <c r="W164" s="34"/>
      <c r="X164" s="34"/>
      <c r="Y164" s="34"/>
      <c r="Z164" s="34"/>
      <c r="AA164" s="34"/>
      <c r="AB164" s="34"/>
    </row>
    <row r="165" s="39" customFormat="true" ht="115" hidden="false" customHeight="true" outlineLevel="2" collapsed="false">
      <c r="A165" s="51" t="s">
        <v>542</v>
      </c>
      <c r="B165" s="57"/>
      <c r="C165" s="57"/>
      <c r="D165" s="53" t="s">
        <v>543</v>
      </c>
      <c r="E165" s="53" t="s">
        <v>89</v>
      </c>
      <c r="F165" s="54" t="n">
        <v>48.93</v>
      </c>
      <c r="G165" s="55"/>
      <c r="H165" s="56" t="str">
        <f aca="false">IF(ISBLANK(G165),"",IF(ISNUMBER(F165),ROUND(F165*G165,2),"Укажите цену"))</f>
        <v/>
      </c>
      <c r="I165" s="101" t="n">
        <v>37</v>
      </c>
      <c r="J165" s="76" t="n">
        <v>15.16</v>
      </c>
      <c r="K165" s="102" t="s">
        <v>534</v>
      </c>
      <c r="L165" s="101" t="s">
        <v>91</v>
      </c>
      <c r="M165" s="57" t="s">
        <v>92</v>
      </c>
      <c r="N165" s="57" t="n">
        <v>360</v>
      </c>
      <c r="O165" s="57" t="s">
        <v>535</v>
      </c>
      <c r="P165" s="58" t="n">
        <v>0.117</v>
      </c>
      <c r="Q165" s="103"/>
      <c r="R165" s="60" t="s">
        <v>544</v>
      </c>
      <c r="S165" s="72" t="s">
        <v>538</v>
      </c>
      <c r="T165" s="61"/>
      <c r="U165" s="34"/>
      <c r="V165" s="34"/>
      <c r="W165" s="34"/>
      <c r="X165" s="34"/>
      <c r="Y165" s="34"/>
      <c r="Z165" s="34"/>
      <c r="AA165" s="34"/>
      <c r="AB165" s="34"/>
    </row>
    <row r="166" s="39" customFormat="true" ht="115" hidden="false" customHeight="true" outlineLevel="2" collapsed="false">
      <c r="A166" s="51" t="s">
        <v>545</v>
      </c>
      <c r="B166" s="57"/>
      <c r="C166" s="57"/>
      <c r="D166" s="53" t="s">
        <v>533</v>
      </c>
      <c r="E166" s="53" t="s">
        <v>89</v>
      </c>
      <c r="F166" s="54" t="n">
        <v>49.74</v>
      </c>
      <c r="G166" s="55"/>
      <c r="H166" s="56" t="str">
        <f aca="false">IF(ISBLANK(G166),"",IF(ISNUMBER(F166),ROUND(F166*G166,2),"Укажите цену"))</f>
        <v/>
      </c>
      <c r="I166" s="101" t="n">
        <v>37</v>
      </c>
      <c r="J166" s="104" t="s">
        <v>348</v>
      </c>
      <c r="K166" s="102" t="s">
        <v>534</v>
      </c>
      <c r="L166" s="101" t="s">
        <v>91</v>
      </c>
      <c r="M166" s="57" t="s">
        <v>92</v>
      </c>
      <c r="N166" s="57" t="n">
        <v>1000</v>
      </c>
      <c r="O166" s="57" t="s">
        <v>349</v>
      </c>
      <c r="P166" s="58" t="n">
        <v>0.038</v>
      </c>
      <c r="Q166" s="103" t="s">
        <v>546</v>
      </c>
      <c r="R166" s="60" t="s">
        <v>537</v>
      </c>
      <c r="S166" s="72" t="s">
        <v>538</v>
      </c>
      <c r="T166" s="61"/>
      <c r="U166" s="34"/>
      <c r="V166" s="34"/>
      <c r="W166" s="34"/>
      <c r="X166" s="34"/>
      <c r="Y166" s="34"/>
      <c r="Z166" s="34"/>
      <c r="AA166" s="34"/>
      <c r="AB166" s="34"/>
    </row>
    <row r="167" s="39" customFormat="true" ht="115" hidden="false" customHeight="true" outlineLevel="2" collapsed="false">
      <c r="A167" s="51" t="s">
        <v>547</v>
      </c>
      <c r="B167" s="57"/>
      <c r="C167" s="57"/>
      <c r="D167" s="53" t="s">
        <v>543</v>
      </c>
      <c r="E167" s="53" t="s">
        <v>89</v>
      </c>
      <c r="F167" s="54" t="n">
        <v>44.04</v>
      </c>
      <c r="G167" s="55"/>
      <c r="H167" s="56" t="str">
        <f aca="false">IF(ISBLANK(G167),"",IF(ISNUMBER(F167),ROUND(F167*G167,2),"Укажите цену"))</f>
        <v/>
      </c>
      <c r="I167" s="101" t="n">
        <v>37</v>
      </c>
      <c r="J167" s="104" t="s">
        <v>348</v>
      </c>
      <c r="K167" s="102" t="s">
        <v>534</v>
      </c>
      <c r="L167" s="101" t="s">
        <v>91</v>
      </c>
      <c r="M167" s="57" t="s">
        <v>92</v>
      </c>
      <c r="N167" s="57" t="n">
        <v>1000</v>
      </c>
      <c r="O167" s="57" t="s">
        <v>349</v>
      </c>
      <c r="P167" s="58" t="n">
        <v>0.038</v>
      </c>
      <c r="Q167" s="103"/>
      <c r="R167" s="60" t="s">
        <v>544</v>
      </c>
      <c r="S167" s="72" t="s">
        <v>538</v>
      </c>
      <c r="T167" s="61"/>
      <c r="U167" s="34"/>
      <c r="V167" s="34"/>
      <c r="W167" s="34"/>
      <c r="X167" s="34"/>
      <c r="Y167" s="34"/>
      <c r="Z167" s="34"/>
      <c r="AA167" s="34"/>
      <c r="AB167" s="34"/>
    </row>
    <row r="168" s="42" customFormat="true" ht="60" hidden="false" customHeight="true" outlineLevel="2" collapsed="false">
      <c r="A168" s="63" t="s">
        <v>548</v>
      </c>
      <c r="B168" s="52"/>
      <c r="C168" s="52"/>
      <c r="D168" s="53" t="s">
        <v>549</v>
      </c>
      <c r="E168" s="53" t="s">
        <v>89</v>
      </c>
      <c r="F168" s="54" t="n">
        <v>78.29</v>
      </c>
      <c r="G168" s="55"/>
      <c r="H168" s="56" t="str">
        <f aca="false">IF(ISBLANK(G168),"",IF(ISNUMBER(F168),ROUND(F168*G168,2),"Укажите цену"))</f>
        <v/>
      </c>
      <c r="I168" s="57" t="n">
        <v>35</v>
      </c>
      <c r="J168" s="76" t="n">
        <v>14.45</v>
      </c>
      <c r="K168" s="57" t="s">
        <v>534</v>
      </c>
      <c r="L168" s="57" t="s">
        <v>91</v>
      </c>
      <c r="M168" s="57" t="s">
        <v>92</v>
      </c>
      <c r="N168" s="57" t="n">
        <v>360</v>
      </c>
      <c r="O168" s="57" t="s">
        <v>93</v>
      </c>
      <c r="P168" s="58" t="n">
        <v>0.133</v>
      </c>
      <c r="Q168" s="103" t="s">
        <v>550</v>
      </c>
      <c r="R168" s="60" t="s">
        <v>551</v>
      </c>
      <c r="S168" s="77" t="s">
        <v>552</v>
      </c>
      <c r="T168" s="61"/>
      <c r="U168" s="34"/>
      <c r="V168" s="105"/>
      <c r="W168" s="105"/>
      <c r="X168" s="105"/>
      <c r="Y168" s="105"/>
      <c r="Z168" s="105"/>
    </row>
    <row r="169" s="42" customFormat="true" ht="60" hidden="false" customHeight="true" outlineLevel="2" collapsed="false">
      <c r="A169" s="63"/>
      <c r="B169" s="52"/>
      <c r="C169" s="52"/>
      <c r="D169" s="53" t="s">
        <v>553</v>
      </c>
      <c r="E169" s="53" t="s">
        <v>103</v>
      </c>
      <c r="F169" s="54" t="n">
        <v>78.29</v>
      </c>
      <c r="G169" s="55"/>
      <c r="H169" s="56" t="str">
        <f aca="false">IF(ISBLANK(G169),"",IF(ISNUMBER(F169),ROUND(F169*G169,2),"Укажите цену"))</f>
        <v/>
      </c>
      <c r="I169" s="57"/>
      <c r="J169" s="76"/>
      <c r="K169" s="57"/>
      <c r="L169" s="57"/>
      <c r="M169" s="57"/>
      <c r="N169" s="57"/>
      <c r="O169" s="57"/>
      <c r="P169" s="57"/>
      <c r="Q169" s="103"/>
      <c r="R169" s="60"/>
      <c r="S169" s="77"/>
      <c r="T169" s="61"/>
      <c r="U169" s="34"/>
      <c r="V169" s="105"/>
      <c r="W169" s="105"/>
      <c r="X169" s="105"/>
      <c r="Y169" s="105"/>
      <c r="Z169" s="105"/>
    </row>
    <row r="170" s="42" customFormat="true" ht="55" hidden="false" customHeight="true" outlineLevel="2" collapsed="false">
      <c r="A170" s="63" t="s">
        <v>554</v>
      </c>
      <c r="B170" s="52"/>
      <c r="C170" s="52"/>
      <c r="D170" s="53" t="s">
        <v>555</v>
      </c>
      <c r="E170" s="53" t="s">
        <v>89</v>
      </c>
      <c r="F170" s="54" t="n">
        <v>66.87</v>
      </c>
      <c r="G170" s="55"/>
      <c r="H170" s="56" t="str">
        <f aca="false">IF(ISBLANK(G170),"",IF(ISNUMBER(F170),ROUND(F170*G170,2),"Укажите цену"))</f>
        <v/>
      </c>
      <c r="I170" s="57" t="n">
        <v>39</v>
      </c>
      <c r="J170" s="76" t="n">
        <v>15.72</v>
      </c>
      <c r="K170" s="57" t="s">
        <v>534</v>
      </c>
      <c r="L170" s="57" t="s">
        <v>91</v>
      </c>
      <c r="M170" s="57" t="s">
        <v>92</v>
      </c>
      <c r="N170" s="57" t="n">
        <v>360</v>
      </c>
      <c r="O170" s="57" t="s">
        <v>93</v>
      </c>
      <c r="P170" s="58" t="n">
        <v>0.133</v>
      </c>
      <c r="Q170" s="103" t="s">
        <v>556</v>
      </c>
      <c r="R170" s="60" t="s">
        <v>557</v>
      </c>
      <c r="S170" s="77" t="s">
        <v>552</v>
      </c>
      <c r="T170" s="61"/>
      <c r="U170" s="34"/>
      <c r="V170" s="105"/>
      <c r="W170" s="105"/>
      <c r="X170" s="105"/>
      <c r="Y170" s="105"/>
      <c r="Z170" s="105"/>
    </row>
    <row r="171" s="42" customFormat="true" ht="55" hidden="false" customHeight="true" outlineLevel="2" collapsed="false">
      <c r="A171" s="63"/>
      <c r="B171" s="52"/>
      <c r="C171" s="52"/>
      <c r="D171" s="53" t="s">
        <v>558</v>
      </c>
      <c r="E171" s="53" t="s">
        <v>103</v>
      </c>
      <c r="F171" s="54" t="n">
        <v>66.87</v>
      </c>
      <c r="G171" s="55"/>
      <c r="H171" s="56" t="str">
        <f aca="false">IF(ISBLANK(G171),"",IF(ISNUMBER(F171),ROUND(F171*G171,2),"Укажите цену"))</f>
        <v/>
      </c>
      <c r="I171" s="57"/>
      <c r="J171" s="76"/>
      <c r="K171" s="57"/>
      <c r="L171" s="57"/>
      <c r="M171" s="57"/>
      <c r="N171" s="57"/>
      <c r="O171" s="57"/>
      <c r="P171" s="57"/>
      <c r="Q171" s="103"/>
      <c r="R171" s="60"/>
      <c r="S171" s="77"/>
      <c r="T171" s="61"/>
      <c r="U171" s="34"/>
      <c r="V171" s="105"/>
      <c r="W171" s="105"/>
      <c r="X171" s="105"/>
      <c r="Y171" s="105"/>
      <c r="Z171" s="105"/>
    </row>
    <row r="172" s="39" customFormat="true" ht="55" hidden="false" customHeight="true" outlineLevel="2" collapsed="false">
      <c r="A172" s="63" t="s">
        <v>559</v>
      </c>
      <c r="B172" s="57"/>
      <c r="C172" s="57"/>
      <c r="D172" s="53" t="s">
        <v>560</v>
      </c>
      <c r="E172" s="53" t="s">
        <v>89</v>
      </c>
      <c r="F172" s="54" t="n">
        <v>44.04</v>
      </c>
      <c r="G172" s="55"/>
      <c r="H172" s="56" t="str">
        <f aca="false">IF(ISBLANK(G172),"",IF(ISNUMBER(F172),ROUND(F172*G172,2),"Укажите цену"))</f>
        <v/>
      </c>
      <c r="I172" s="101" t="n">
        <v>36</v>
      </c>
      <c r="J172" s="76" t="n">
        <v>14.68</v>
      </c>
      <c r="K172" s="102" t="s">
        <v>561</v>
      </c>
      <c r="L172" s="101" t="s">
        <v>91</v>
      </c>
      <c r="M172" s="57" t="s">
        <v>92</v>
      </c>
      <c r="N172" s="57" t="n">
        <v>360</v>
      </c>
      <c r="O172" s="57" t="s">
        <v>535</v>
      </c>
      <c r="P172" s="58" t="n">
        <v>0.117</v>
      </c>
      <c r="Q172" s="103" t="s">
        <v>562</v>
      </c>
      <c r="R172" s="60" t="s">
        <v>563</v>
      </c>
      <c r="S172" s="77" t="s">
        <v>552</v>
      </c>
      <c r="T172" s="61"/>
      <c r="U172" s="34"/>
      <c r="V172" s="34"/>
      <c r="W172" s="34"/>
      <c r="X172" s="34"/>
      <c r="Y172" s="34"/>
      <c r="Z172" s="34"/>
      <c r="AA172" s="34"/>
      <c r="AB172" s="34"/>
    </row>
    <row r="173" s="39" customFormat="true" ht="55" hidden="false" customHeight="true" outlineLevel="2" collapsed="false">
      <c r="A173" s="63"/>
      <c r="B173" s="57"/>
      <c r="C173" s="57"/>
      <c r="D173" s="53" t="s">
        <v>564</v>
      </c>
      <c r="E173" s="53" t="s">
        <v>103</v>
      </c>
      <c r="F173" s="54" t="n">
        <v>44.04</v>
      </c>
      <c r="G173" s="55"/>
      <c r="H173" s="56" t="str">
        <f aca="false">IF(ISBLANK(G173),"",IF(ISNUMBER(F173),ROUND(F173*G173,2),"Укажите цену"))</f>
        <v/>
      </c>
      <c r="I173" s="101"/>
      <c r="J173" s="76"/>
      <c r="K173" s="102"/>
      <c r="L173" s="101"/>
      <c r="M173" s="57"/>
      <c r="N173" s="57"/>
      <c r="O173" s="57"/>
      <c r="P173" s="58"/>
      <c r="Q173" s="103"/>
      <c r="R173" s="60"/>
      <c r="S173" s="77"/>
      <c r="T173" s="61"/>
      <c r="U173" s="34"/>
      <c r="V173" s="34"/>
      <c r="W173" s="34"/>
      <c r="X173" s="34"/>
      <c r="Y173" s="34"/>
      <c r="Z173" s="34"/>
      <c r="AA173" s="34"/>
      <c r="AB173" s="34"/>
    </row>
    <row r="174" s="39" customFormat="true" ht="55" hidden="false" customHeight="true" outlineLevel="2" collapsed="false">
      <c r="A174" s="63" t="s">
        <v>565</v>
      </c>
      <c r="B174" s="57"/>
      <c r="C174" s="57"/>
      <c r="D174" s="53" t="s">
        <v>566</v>
      </c>
      <c r="E174" s="53" t="s">
        <v>89</v>
      </c>
      <c r="F174" s="54" t="n">
        <v>32.62</v>
      </c>
      <c r="G174" s="55"/>
      <c r="H174" s="56" t="str">
        <f aca="false">IF(ISBLANK(G174),"",IF(ISNUMBER(F174),ROUND(F174*G174,2),"Укажите цену"))</f>
        <v/>
      </c>
      <c r="I174" s="101" t="n">
        <v>36</v>
      </c>
      <c r="J174" s="76" t="n">
        <v>14.63</v>
      </c>
      <c r="K174" s="102" t="s">
        <v>561</v>
      </c>
      <c r="L174" s="101" t="s">
        <v>91</v>
      </c>
      <c r="M174" s="57" t="s">
        <v>92</v>
      </c>
      <c r="N174" s="57" t="n">
        <v>360</v>
      </c>
      <c r="O174" s="57" t="s">
        <v>535</v>
      </c>
      <c r="P174" s="58" t="n">
        <v>0.117</v>
      </c>
      <c r="Q174" s="103" t="s">
        <v>562</v>
      </c>
      <c r="R174" s="60" t="s">
        <v>567</v>
      </c>
      <c r="S174" s="77" t="s">
        <v>552</v>
      </c>
      <c r="T174" s="61"/>
      <c r="U174" s="34"/>
      <c r="V174" s="34"/>
      <c r="W174" s="34"/>
      <c r="X174" s="34"/>
      <c r="Y174" s="34"/>
      <c r="Z174" s="34"/>
      <c r="AA174" s="34"/>
      <c r="AB174" s="34"/>
    </row>
    <row r="175" s="39" customFormat="true" ht="55" hidden="false" customHeight="true" outlineLevel="2" collapsed="false">
      <c r="A175" s="63"/>
      <c r="B175" s="57"/>
      <c r="C175" s="57"/>
      <c r="D175" s="53" t="s">
        <v>568</v>
      </c>
      <c r="E175" s="53" t="s">
        <v>103</v>
      </c>
      <c r="F175" s="54" t="n">
        <v>32.62</v>
      </c>
      <c r="G175" s="55"/>
      <c r="H175" s="56" t="str">
        <f aca="false">IF(ISBLANK(G175),"",IF(ISNUMBER(F175),ROUND(F175*G175,2),"Укажите цену"))</f>
        <v/>
      </c>
      <c r="I175" s="101"/>
      <c r="J175" s="76"/>
      <c r="K175" s="102"/>
      <c r="L175" s="101"/>
      <c r="M175" s="57"/>
      <c r="N175" s="57"/>
      <c r="O175" s="57"/>
      <c r="P175" s="58"/>
      <c r="Q175" s="103"/>
      <c r="R175" s="60"/>
      <c r="S175" s="77"/>
      <c r="T175" s="61"/>
      <c r="U175" s="34"/>
      <c r="V175" s="34"/>
      <c r="W175" s="34"/>
      <c r="X175" s="34"/>
      <c r="Y175" s="34"/>
      <c r="Z175" s="34"/>
      <c r="AA175" s="34"/>
      <c r="AB175" s="34"/>
    </row>
    <row r="176" s="39" customFormat="true" ht="55" hidden="false" customHeight="true" outlineLevel="2" collapsed="false">
      <c r="A176" s="63" t="s">
        <v>569</v>
      </c>
      <c r="B176" s="57"/>
      <c r="C176" s="57"/>
      <c r="D176" s="53" t="s">
        <v>570</v>
      </c>
      <c r="E176" s="53" t="s">
        <v>89</v>
      </c>
      <c r="F176" s="54" t="n">
        <v>39.14</v>
      </c>
      <c r="G176" s="55"/>
      <c r="H176" s="56" t="str">
        <f aca="false">IF(ISBLANK(G176),"",IF(ISNUMBER(F176),ROUND(F176*G176,2),"Укажите цену"))</f>
        <v/>
      </c>
      <c r="I176" s="101" t="n">
        <v>36</v>
      </c>
      <c r="J176" s="76" t="n">
        <v>14.68</v>
      </c>
      <c r="K176" s="102" t="s">
        <v>561</v>
      </c>
      <c r="L176" s="101" t="s">
        <v>91</v>
      </c>
      <c r="M176" s="57" t="s">
        <v>92</v>
      </c>
      <c r="N176" s="57" t="n">
        <v>360</v>
      </c>
      <c r="O176" s="57" t="s">
        <v>535</v>
      </c>
      <c r="P176" s="58" t="n">
        <v>0.117</v>
      </c>
      <c r="Q176" s="103" t="s">
        <v>562</v>
      </c>
      <c r="R176" s="60" t="s">
        <v>571</v>
      </c>
      <c r="S176" s="77" t="s">
        <v>552</v>
      </c>
      <c r="T176" s="61"/>
      <c r="U176" s="34"/>
      <c r="V176" s="34"/>
      <c r="W176" s="34"/>
      <c r="X176" s="34"/>
      <c r="Y176" s="34"/>
      <c r="Z176" s="34"/>
      <c r="AA176" s="34"/>
      <c r="AB176" s="34"/>
    </row>
    <row r="177" s="39" customFormat="true" ht="55" hidden="false" customHeight="true" outlineLevel="2" collapsed="false">
      <c r="A177" s="63"/>
      <c r="B177" s="57"/>
      <c r="C177" s="57"/>
      <c r="D177" s="53" t="s">
        <v>572</v>
      </c>
      <c r="E177" s="53" t="s">
        <v>103</v>
      </c>
      <c r="F177" s="54" t="n">
        <v>39.14</v>
      </c>
      <c r="G177" s="55"/>
      <c r="H177" s="56" t="str">
        <f aca="false">IF(ISBLANK(G177),"",IF(ISNUMBER(F177),ROUND(F177*G177,2),"Укажите цену"))</f>
        <v/>
      </c>
      <c r="I177" s="101"/>
      <c r="J177" s="76"/>
      <c r="K177" s="102"/>
      <c r="L177" s="101"/>
      <c r="M177" s="57"/>
      <c r="N177" s="57"/>
      <c r="O177" s="57"/>
      <c r="P177" s="58"/>
      <c r="Q177" s="103"/>
      <c r="R177" s="60"/>
      <c r="S177" s="77"/>
      <c r="T177" s="61"/>
      <c r="U177" s="34"/>
      <c r="V177" s="34"/>
      <c r="W177" s="34"/>
      <c r="X177" s="34"/>
      <c r="Y177" s="34"/>
      <c r="Z177" s="34"/>
      <c r="AA177" s="34"/>
      <c r="AB177" s="34"/>
    </row>
    <row r="178" s="39" customFormat="true" ht="55" hidden="false" customHeight="true" outlineLevel="2" collapsed="false">
      <c r="A178" s="63" t="s">
        <v>573</v>
      </c>
      <c r="B178" s="57"/>
      <c r="C178" s="57"/>
      <c r="D178" s="53" t="s">
        <v>570</v>
      </c>
      <c r="E178" s="53" t="s">
        <v>89</v>
      </c>
      <c r="F178" s="54" t="n">
        <v>34.25</v>
      </c>
      <c r="G178" s="55"/>
      <c r="H178" s="56" t="str">
        <f aca="false">IF(ISBLANK(G178),"",IF(ISNUMBER(F178),ROUND(F178*G178,2),"Укажите цену"))</f>
        <v/>
      </c>
      <c r="I178" s="101" t="n">
        <v>36</v>
      </c>
      <c r="J178" s="104" t="s">
        <v>348</v>
      </c>
      <c r="K178" s="102" t="s">
        <v>561</v>
      </c>
      <c r="L178" s="101" t="s">
        <v>91</v>
      </c>
      <c r="M178" s="57" t="s">
        <v>92</v>
      </c>
      <c r="N178" s="57" t="n">
        <v>1000</v>
      </c>
      <c r="O178" s="57" t="s">
        <v>349</v>
      </c>
      <c r="P178" s="58" t="n">
        <v>0.038</v>
      </c>
      <c r="Q178" s="103" t="s">
        <v>574</v>
      </c>
      <c r="R178" s="60" t="s">
        <v>571</v>
      </c>
      <c r="S178" s="77" t="s">
        <v>552</v>
      </c>
      <c r="T178" s="61"/>
      <c r="U178" s="34"/>
      <c r="V178" s="34"/>
      <c r="W178" s="34"/>
      <c r="X178" s="34"/>
      <c r="Y178" s="34"/>
      <c r="Z178" s="34"/>
      <c r="AA178" s="34"/>
      <c r="AB178" s="34"/>
    </row>
    <row r="179" s="39" customFormat="true" ht="55" hidden="false" customHeight="true" outlineLevel="2" collapsed="false">
      <c r="A179" s="63"/>
      <c r="B179" s="57"/>
      <c r="C179" s="57"/>
      <c r="D179" s="53" t="s">
        <v>572</v>
      </c>
      <c r="E179" s="53" t="s">
        <v>103</v>
      </c>
      <c r="F179" s="54" t="n">
        <v>34.25</v>
      </c>
      <c r="G179" s="55"/>
      <c r="H179" s="56" t="str">
        <f aca="false">IF(ISBLANK(G179),"",IF(ISNUMBER(F179),ROUND(F179*G179,2),"Укажите цену"))</f>
        <v/>
      </c>
      <c r="I179" s="101"/>
      <c r="J179" s="104"/>
      <c r="K179" s="102"/>
      <c r="L179" s="101"/>
      <c r="M179" s="57"/>
      <c r="N179" s="57"/>
      <c r="O179" s="57"/>
      <c r="P179" s="58"/>
      <c r="Q179" s="103"/>
      <c r="R179" s="60"/>
      <c r="S179" s="77"/>
      <c r="T179" s="61"/>
      <c r="U179" s="34"/>
      <c r="V179" s="34"/>
      <c r="W179" s="34"/>
      <c r="X179" s="34"/>
      <c r="Y179" s="34"/>
      <c r="Z179" s="34"/>
      <c r="AA179" s="34"/>
      <c r="AB179" s="34"/>
    </row>
    <row r="180" s="34" customFormat="true" ht="115" hidden="false" customHeight="true" outlineLevel="2" collapsed="false">
      <c r="A180" s="51" t="s">
        <v>575</v>
      </c>
      <c r="B180" s="57"/>
      <c r="C180" s="57"/>
      <c r="D180" s="53" t="s">
        <v>576</v>
      </c>
      <c r="E180" s="53" t="s">
        <v>89</v>
      </c>
      <c r="F180" s="54" t="n">
        <v>89.7</v>
      </c>
      <c r="G180" s="55"/>
      <c r="H180" s="56" t="str">
        <f aca="false">IF(ISBLANK(G180),"",IF(ISNUMBER(F180),ROUND(F180*G180,2),"Укажите цену"))</f>
        <v/>
      </c>
      <c r="I180" s="101" t="n">
        <v>35</v>
      </c>
      <c r="J180" s="76" t="n">
        <v>14.65</v>
      </c>
      <c r="K180" s="102" t="s">
        <v>90</v>
      </c>
      <c r="L180" s="101" t="s">
        <v>91</v>
      </c>
      <c r="M180" s="57" t="s">
        <v>92</v>
      </c>
      <c r="N180" s="57" t="n">
        <v>360</v>
      </c>
      <c r="O180" s="57" t="s">
        <v>93</v>
      </c>
      <c r="P180" s="58" t="n">
        <v>0.133</v>
      </c>
      <c r="Q180" s="68" t="s">
        <v>577</v>
      </c>
      <c r="R180" s="60" t="s">
        <v>578</v>
      </c>
      <c r="S180" s="73" t="s">
        <v>96</v>
      </c>
      <c r="T180" s="61"/>
    </row>
    <row r="181" s="39" customFormat="true" ht="115" hidden="false" customHeight="true" outlineLevel="2" collapsed="false">
      <c r="A181" s="51" t="s">
        <v>579</v>
      </c>
      <c r="B181" s="57"/>
      <c r="C181" s="57"/>
      <c r="D181" s="53" t="s">
        <v>580</v>
      </c>
      <c r="E181" s="53" t="s">
        <v>89</v>
      </c>
      <c r="F181" s="54" t="n">
        <v>94.59</v>
      </c>
      <c r="G181" s="55"/>
      <c r="H181" s="56" t="str">
        <f aca="false">IF(ISBLANK(G181),"",IF(ISNUMBER(F181),ROUND(F181*G181,2),"Укажите цену"))</f>
        <v/>
      </c>
      <c r="I181" s="101" t="n">
        <v>35</v>
      </c>
      <c r="J181" s="76" t="n">
        <v>14.58</v>
      </c>
      <c r="K181" s="102" t="s">
        <v>90</v>
      </c>
      <c r="L181" s="101" t="s">
        <v>91</v>
      </c>
      <c r="M181" s="57" t="s">
        <v>92</v>
      </c>
      <c r="N181" s="57" t="n">
        <v>360</v>
      </c>
      <c r="O181" s="57" t="s">
        <v>93</v>
      </c>
      <c r="P181" s="58" t="n">
        <v>0.133</v>
      </c>
      <c r="Q181" s="68" t="s">
        <v>577</v>
      </c>
      <c r="R181" s="60" t="s">
        <v>581</v>
      </c>
      <c r="S181" s="73" t="s">
        <v>96</v>
      </c>
      <c r="T181" s="61"/>
      <c r="U181" s="34"/>
      <c r="V181" s="34"/>
      <c r="W181" s="34"/>
      <c r="X181" s="34"/>
      <c r="Y181" s="34"/>
      <c r="Z181" s="34"/>
    </row>
    <row r="182" s="39" customFormat="true" ht="115" hidden="false" customHeight="true" outlineLevel="2" collapsed="false">
      <c r="A182" s="51" t="s">
        <v>582</v>
      </c>
      <c r="B182" s="75"/>
      <c r="C182" s="57"/>
      <c r="D182" s="53" t="s">
        <v>583</v>
      </c>
      <c r="E182" s="53" t="s">
        <v>89</v>
      </c>
      <c r="F182" s="54" t="n">
        <v>84.81</v>
      </c>
      <c r="G182" s="55"/>
      <c r="H182" s="56" t="str">
        <f aca="false">IF(ISBLANK(G182),"",IF(ISNUMBER(F182),ROUND(F182*G182,2),"Укажите цену"))</f>
        <v/>
      </c>
      <c r="I182" s="57" t="n">
        <v>38.5</v>
      </c>
      <c r="J182" s="76" t="n">
        <v>15.85</v>
      </c>
      <c r="K182" s="57" t="s">
        <v>584</v>
      </c>
      <c r="L182" s="57" t="s">
        <v>91</v>
      </c>
      <c r="M182" s="57" t="s">
        <v>92</v>
      </c>
      <c r="N182" s="57" t="n">
        <v>360</v>
      </c>
      <c r="O182" s="57" t="s">
        <v>93</v>
      </c>
      <c r="P182" s="58" t="n">
        <v>0.133</v>
      </c>
      <c r="Q182" s="59" t="s">
        <v>585</v>
      </c>
      <c r="R182" s="60" t="s">
        <v>586</v>
      </c>
      <c r="S182" s="73" t="s">
        <v>96</v>
      </c>
      <c r="T182" s="61"/>
      <c r="U182" s="34"/>
      <c r="V182" s="34"/>
      <c r="W182" s="34"/>
      <c r="X182" s="34"/>
      <c r="Y182" s="34"/>
      <c r="Z182" s="34"/>
      <c r="AA182" s="34"/>
      <c r="AB182" s="34"/>
    </row>
    <row r="183" s="39" customFormat="true" ht="115" hidden="false" customHeight="true" outlineLevel="2" collapsed="false">
      <c r="A183" s="51" t="s">
        <v>587</v>
      </c>
      <c r="B183" s="75"/>
      <c r="C183" s="57"/>
      <c r="D183" s="53" t="s">
        <v>588</v>
      </c>
      <c r="E183" s="53" t="s">
        <v>89</v>
      </c>
      <c r="F183" s="54" t="n">
        <v>71.76</v>
      </c>
      <c r="G183" s="55"/>
      <c r="H183" s="56" t="str">
        <f aca="false">IF(ISBLANK(G183),"",IF(ISNUMBER(F183),ROUND(F183*G183,2),"Укажите цену"))</f>
        <v/>
      </c>
      <c r="I183" s="57" t="n">
        <v>39</v>
      </c>
      <c r="J183" s="76" t="n">
        <v>15.76</v>
      </c>
      <c r="K183" s="57" t="s">
        <v>584</v>
      </c>
      <c r="L183" s="57" t="s">
        <v>91</v>
      </c>
      <c r="M183" s="57" t="s">
        <v>92</v>
      </c>
      <c r="N183" s="57" t="n">
        <v>360</v>
      </c>
      <c r="O183" s="57" t="s">
        <v>93</v>
      </c>
      <c r="P183" s="58" t="n">
        <v>0.133</v>
      </c>
      <c r="Q183" s="59" t="s">
        <v>585</v>
      </c>
      <c r="R183" s="60" t="s">
        <v>589</v>
      </c>
      <c r="S183" s="73" t="s">
        <v>96</v>
      </c>
      <c r="T183" s="61"/>
      <c r="U183" s="34"/>
      <c r="V183" s="34"/>
      <c r="W183" s="34"/>
      <c r="X183" s="34"/>
      <c r="Y183" s="34"/>
      <c r="Z183" s="34"/>
      <c r="AA183" s="34"/>
      <c r="AB183" s="34"/>
    </row>
    <row r="184" s="39" customFormat="true" ht="115" hidden="false" customHeight="true" outlineLevel="2" collapsed="false">
      <c r="A184" s="51" t="s">
        <v>590</v>
      </c>
      <c r="B184" s="75"/>
      <c r="C184" s="57"/>
      <c r="D184" s="53" t="s">
        <v>591</v>
      </c>
      <c r="E184" s="53" t="s">
        <v>89</v>
      </c>
      <c r="F184" s="54" t="n">
        <v>84.81</v>
      </c>
      <c r="G184" s="55"/>
      <c r="H184" s="56" t="str">
        <f aca="false">IF(ISBLANK(G184),"",IF(ISNUMBER(F184),ROUND(F184*G184,2),"Укажите цену"))</f>
        <v/>
      </c>
      <c r="I184" s="57" t="n">
        <v>38.5</v>
      </c>
      <c r="J184" s="76" t="n">
        <v>15.85</v>
      </c>
      <c r="K184" s="57" t="s">
        <v>584</v>
      </c>
      <c r="L184" s="57" t="s">
        <v>91</v>
      </c>
      <c r="M184" s="57" t="s">
        <v>92</v>
      </c>
      <c r="N184" s="57" t="n">
        <v>360</v>
      </c>
      <c r="O184" s="57" t="s">
        <v>93</v>
      </c>
      <c r="P184" s="58" t="n">
        <v>0.133</v>
      </c>
      <c r="Q184" s="59" t="s">
        <v>585</v>
      </c>
      <c r="R184" s="60" t="s">
        <v>592</v>
      </c>
      <c r="S184" s="73" t="s">
        <v>96</v>
      </c>
      <c r="T184" s="61"/>
      <c r="U184" s="34"/>
      <c r="V184" s="34"/>
      <c r="W184" s="34"/>
      <c r="X184" s="34"/>
      <c r="Y184" s="34"/>
      <c r="Z184" s="34"/>
      <c r="AA184" s="34"/>
      <c r="AB184" s="34"/>
    </row>
    <row r="185" s="39" customFormat="true" ht="55" hidden="false" customHeight="true" outlineLevel="2" collapsed="false">
      <c r="A185" s="63" t="s">
        <v>593</v>
      </c>
      <c r="B185" s="75"/>
      <c r="C185" s="75"/>
      <c r="D185" s="53" t="s">
        <v>594</v>
      </c>
      <c r="E185" s="53" t="s">
        <v>89</v>
      </c>
      <c r="F185" s="54" t="n">
        <v>48.93</v>
      </c>
      <c r="G185" s="55"/>
      <c r="H185" s="56" t="str">
        <f aca="false">IF(ISBLANK(G185),"",IF(ISNUMBER(F185),ROUND(F185*G185,2),"Укажите цену"))</f>
        <v/>
      </c>
      <c r="I185" s="57" t="n">
        <v>27</v>
      </c>
      <c r="J185" s="76" t="n">
        <v>21.3</v>
      </c>
      <c r="K185" s="57" t="s">
        <v>595</v>
      </c>
      <c r="L185" s="57" t="s">
        <v>91</v>
      </c>
      <c r="M185" s="57" t="s">
        <v>92</v>
      </c>
      <c r="N185" s="57" t="n">
        <v>648</v>
      </c>
      <c r="O185" s="57" t="s">
        <v>93</v>
      </c>
      <c r="P185" s="58" t="n">
        <v>0.133</v>
      </c>
      <c r="Q185" s="59" t="s">
        <v>596</v>
      </c>
      <c r="R185" s="60" t="s">
        <v>597</v>
      </c>
      <c r="S185" s="73" t="s">
        <v>96</v>
      </c>
      <c r="T185" s="61"/>
      <c r="U185" s="34"/>
      <c r="V185" s="106"/>
      <c r="W185" s="106"/>
      <c r="X185" s="106"/>
      <c r="Y185" s="106"/>
      <c r="Z185" s="106"/>
      <c r="AA185" s="106"/>
      <c r="AB185" s="106"/>
      <c r="AC185" s="107"/>
      <c r="AD185" s="107"/>
      <c r="AE185" s="107"/>
      <c r="AF185" s="107"/>
      <c r="AG185" s="107"/>
      <c r="AH185" s="107"/>
      <c r="AI185" s="107"/>
      <c r="AJ185" s="107"/>
      <c r="AK185" s="107"/>
      <c r="AL185" s="107"/>
      <c r="AM185" s="107"/>
      <c r="AN185" s="107"/>
      <c r="AO185" s="107"/>
      <c r="AP185" s="107"/>
      <c r="AQ185" s="107"/>
      <c r="AR185" s="107"/>
      <c r="AS185" s="107"/>
      <c r="AT185" s="107"/>
      <c r="AU185" s="107"/>
      <c r="AV185" s="107"/>
      <c r="AW185" s="107"/>
      <c r="AX185" s="107"/>
      <c r="AY185" s="107"/>
      <c r="AZ185" s="107"/>
      <c r="BA185" s="107"/>
      <c r="BB185" s="107"/>
      <c r="BC185" s="107"/>
      <c r="BD185" s="107"/>
      <c r="BE185" s="107"/>
      <c r="BF185" s="107"/>
      <c r="BG185" s="107"/>
      <c r="BH185" s="107"/>
      <c r="BI185" s="107"/>
      <c r="BJ185" s="107"/>
      <c r="BK185" s="107"/>
      <c r="BL185" s="107"/>
      <c r="BM185" s="107"/>
      <c r="BN185" s="107"/>
      <c r="BO185" s="107"/>
      <c r="BP185" s="107"/>
      <c r="BQ185" s="107"/>
      <c r="BR185" s="107"/>
      <c r="BS185" s="107"/>
      <c r="BT185" s="107"/>
      <c r="BU185" s="107"/>
      <c r="BV185" s="107"/>
      <c r="BW185" s="107"/>
      <c r="BX185" s="107"/>
      <c r="BY185" s="107"/>
      <c r="BZ185" s="107"/>
      <c r="CA185" s="107"/>
      <c r="CB185" s="107"/>
      <c r="CC185" s="107"/>
      <c r="CD185" s="107"/>
      <c r="CE185" s="107"/>
      <c r="CF185" s="107"/>
      <c r="CG185" s="107"/>
      <c r="CH185" s="107"/>
      <c r="CI185" s="107"/>
      <c r="CJ185" s="107"/>
      <c r="CK185" s="107"/>
      <c r="CL185" s="107"/>
      <c r="CM185" s="107"/>
      <c r="CN185" s="107"/>
      <c r="CO185" s="107"/>
      <c r="CP185" s="107"/>
      <c r="CQ185" s="107"/>
      <c r="CR185" s="107"/>
      <c r="CS185" s="107"/>
      <c r="CT185" s="107"/>
      <c r="CU185" s="107"/>
      <c r="CV185" s="107"/>
      <c r="CW185" s="107"/>
      <c r="CX185" s="107"/>
      <c r="CY185" s="107"/>
      <c r="CZ185" s="107"/>
      <c r="DA185" s="107"/>
      <c r="DB185" s="107"/>
      <c r="DC185" s="107"/>
      <c r="DD185" s="107"/>
      <c r="DE185" s="107"/>
      <c r="DF185" s="107"/>
      <c r="DG185" s="107"/>
      <c r="DH185" s="107"/>
      <c r="DI185" s="107"/>
      <c r="DJ185" s="107"/>
      <c r="DK185" s="107"/>
      <c r="DL185" s="107"/>
      <c r="DM185" s="107"/>
      <c r="DN185" s="107"/>
      <c r="DO185" s="107"/>
      <c r="DP185" s="107"/>
      <c r="DQ185" s="107"/>
      <c r="DR185" s="107"/>
      <c r="DS185" s="107"/>
      <c r="DT185" s="107"/>
      <c r="DU185" s="107"/>
      <c r="DV185" s="107"/>
      <c r="DW185" s="107"/>
      <c r="DX185" s="107"/>
      <c r="DY185" s="107"/>
      <c r="DZ185" s="107"/>
      <c r="EA185" s="107"/>
      <c r="EB185" s="107"/>
      <c r="EC185" s="107"/>
      <c r="ED185" s="107"/>
      <c r="EE185" s="107"/>
      <c r="EF185" s="107"/>
      <c r="EG185" s="107"/>
      <c r="EH185" s="107"/>
      <c r="EI185" s="107"/>
      <c r="EJ185" s="107"/>
      <c r="EK185" s="107"/>
      <c r="EL185" s="107"/>
      <c r="EM185" s="107"/>
      <c r="EN185" s="107"/>
      <c r="EO185" s="107"/>
      <c r="EP185" s="107"/>
      <c r="EQ185" s="107"/>
      <c r="ER185" s="107"/>
      <c r="ES185" s="107"/>
      <c r="ET185" s="107"/>
      <c r="EU185" s="107"/>
      <c r="EV185" s="107"/>
      <c r="EW185" s="107"/>
      <c r="EX185" s="107"/>
      <c r="EY185" s="107"/>
      <c r="EZ185" s="107"/>
      <c r="FA185" s="107"/>
      <c r="FB185" s="107"/>
      <c r="FC185" s="107"/>
      <c r="FD185" s="107"/>
      <c r="FE185" s="107"/>
      <c r="FF185" s="107"/>
      <c r="FG185" s="107"/>
      <c r="FH185" s="107"/>
      <c r="FI185" s="107"/>
      <c r="FJ185" s="107"/>
      <c r="FK185" s="107"/>
      <c r="FL185" s="107"/>
      <c r="FM185" s="107"/>
      <c r="FN185" s="107"/>
      <c r="FO185" s="107"/>
      <c r="FP185" s="107"/>
      <c r="FQ185" s="107"/>
      <c r="FR185" s="107"/>
      <c r="FS185" s="107"/>
      <c r="FT185" s="107"/>
      <c r="FU185" s="107"/>
      <c r="FV185" s="107"/>
      <c r="FW185" s="107"/>
      <c r="FX185" s="107"/>
      <c r="FY185" s="107"/>
      <c r="FZ185" s="107"/>
      <c r="GA185" s="107"/>
      <c r="GB185" s="107"/>
      <c r="GC185" s="107"/>
      <c r="GD185" s="107"/>
      <c r="GE185" s="107"/>
      <c r="GF185" s="107"/>
      <c r="GG185" s="107"/>
      <c r="GH185" s="107"/>
      <c r="GI185" s="107"/>
      <c r="GJ185" s="107"/>
      <c r="GK185" s="107"/>
      <c r="GL185" s="107"/>
      <c r="GM185" s="107"/>
      <c r="GN185" s="107"/>
      <c r="GO185" s="107"/>
      <c r="GP185" s="107"/>
      <c r="GQ185" s="107"/>
      <c r="GR185" s="107"/>
      <c r="GS185" s="107"/>
      <c r="GT185" s="107"/>
      <c r="GU185" s="107"/>
      <c r="GV185" s="107"/>
      <c r="GW185" s="107"/>
      <c r="GX185" s="107"/>
      <c r="GY185" s="107"/>
      <c r="GZ185" s="107"/>
      <c r="HA185" s="107"/>
      <c r="HB185" s="107"/>
      <c r="HC185" s="107"/>
      <c r="HD185" s="107"/>
      <c r="HE185" s="107"/>
      <c r="HF185" s="107"/>
      <c r="HG185" s="107"/>
      <c r="HH185" s="107"/>
      <c r="HI185" s="107"/>
      <c r="HJ185" s="107"/>
      <c r="HK185" s="107"/>
      <c r="HL185" s="107"/>
      <c r="HM185" s="107"/>
      <c r="HN185" s="107"/>
      <c r="HO185" s="107"/>
      <c r="HP185" s="107"/>
      <c r="HQ185" s="107"/>
      <c r="HR185" s="107"/>
      <c r="HS185" s="107"/>
      <c r="HT185" s="107"/>
      <c r="HU185" s="107"/>
      <c r="HV185" s="107"/>
      <c r="HW185" s="107"/>
      <c r="HX185" s="107"/>
      <c r="HY185" s="107"/>
      <c r="HZ185" s="107"/>
      <c r="IA185" s="107"/>
      <c r="IB185" s="107"/>
      <c r="IC185" s="107"/>
      <c r="ID185" s="107"/>
      <c r="IE185" s="107"/>
      <c r="IF185" s="107"/>
      <c r="IG185" s="107"/>
      <c r="IH185" s="107"/>
      <c r="II185" s="107"/>
      <c r="IJ185" s="107"/>
      <c r="IK185" s="107"/>
      <c r="IL185" s="107"/>
      <c r="IM185" s="107"/>
      <c r="IN185" s="107"/>
      <c r="IO185" s="106"/>
    </row>
    <row r="186" s="39" customFormat="true" ht="55" hidden="false" customHeight="true" outlineLevel="2" collapsed="false">
      <c r="A186" s="63"/>
      <c r="B186" s="75"/>
      <c r="C186" s="75"/>
      <c r="D186" s="53" t="s">
        <v>598</v>
      </c>
      <c r="E186" s="53" t="s">
        <v>103</v>
      </c>
      <c r="F186" s="54" t="n">
        <v>48.93</v>
      </c>
      <c r="G186" s="55"/>
      <c r="H186" s="56" t="str">
        <f aca="false">IF(ISBLANK(G186),"",IF(ISNUMBER(F186),ROUND(F186*G186,2),"Укажите цену"))</f>
        <v/>
      </c>
      <c r="I186" s="57"/>
      <c r="J186" s="76"/>
      <c r="K186" s="57"/>
      <c r="L186" s="57"/>
      <c r="M186" s="57"/>
      <c r="N186" s="57"/>
      <c r="O186" s="57"/>
      <c r="P186" s="57"/>
      <c r="Q186" s="59"/>
      <c r="R186" s="60"/>
      <c r="S186" s="73"/>
      <c r="T186" s="61"/>
      <c r="U186" s="34"/>
      <c r="V186" s="106"/>
      <c r="W186" s="106"/>
      <c r="X186" s="106"/>
      <c r="Y186" s="106"/>
      <c r="Z186" s="106"/>
      <c r="AA186" s="106"/>
      <c r="AB186" s="106"/>
      <c r="AC186" s="107"/>
      <c r="AD186" s="107"/>
      <c r="AE186" s="107"/>
      <c r="AF186" s="107"/>
      <c r="AG186" s="107"/>
      <c r="AH186" s="107"/>
      <c r="AI186" s="107"/>
      <c r="AJ186" s="107"/>
      <c r="AK186" s="107"/>
      <c r="AL186" s="107"/>
      <c r="AM186" s="107"/>
      <c r="AN186" s="107"/>
      <c r="AO186" s="107"/>
      <c r="AP186" s="107"/>
      <c r="AQ186" s="107"/>
      <c r="AR186" s="107"/>
      <c r="AS186" s="107"/>
      <c r="AT186" s="107"/>
      <c r="AU186" s="107"/>
      <c r="AV186" s="107"/>
      <c r="AW186" s="107"/>
      <c r="AX186" s="107"/>
      <c r="AY186" s="107"/>
      <c r="AZ186" s="107"/>
      <c r="BA186" s="107"/>
      <c r="BB186" s="107"/>
      <c r="BC186" s="107"/>
      <c r="BD186" s="107"/>
      <c r="BE186" s="107"/>
      <c r="BF186" s="107"/>
      <c r="BG186" s="107"/>
      <c r="BH186" s="107"/>
      <c r="BI186" s="107"/>
      <c r="BJ186" s="107"/>
      <c r="BK186" s="107"/>
      <c r="BL186" s="107"/>
      <c r="BM186" s="107"/>
      <c r="BN186" s="107"/>
      <c r="BO186" s="107"/>
      <c r="BP186" s="107"/>
      <c r="BQ186" s="107"/>
      <c r="BR186" s="107"/>
      <c r="BS186" s="107"/>
      <c r="BT186" s="107"/>
      <c r="BU186" s="107"/>
      <c r="BV186" s="107"/>
      <c r="BW186" s="107"/>
      <c r="BX186" s="107"/>
      <c r="BY186" s="107"/>
      <c r="BZ186" s="107"/>
      <c r="CA186" s="107"/>
      <c r="CB186" s="107"/>
      <c r="CC186" s="107"/>
      <c r="CD186" s="107"/>
      <c r="CE186" s="107"/>
      <c r="CF186" s="107"/>
      <c r="CG186" s="107"/>
      <c r="CH186" s="107"/>
      <c r="CI186" s="107"/>
      <c r="CJ186" s="107"/>
      <c r="CK186" s="107"/>
      <c r="CL186" s="107"/>
      <c r="CM186" s="107"/>
      <c r="CN186" s="107"/>
      <c r="CO186" s="107"/>
      <c r="CP186" s="107"/>
      <c r="CQ186" s="107"/>
      <c r="CR186" s="107"/>
      <c r="CS186" s="107"/>
      <c r="CT186" s="107"/>
      <c r="CU186" s="107"/>
      <c r="CV186" s="107"/>
      <c r="CW186" s="107"/>
      <c r="CX186" s="107"/>
      <c r="CY186" s="107"/>
      <c r="CZ186" s="107"/>
      <c r="DA186" s="107"/>
      <c r="DB186" s="107"/>
      <c r="DC186" s="107"/>
      <c r="DD186" s="107"/>
      <c r="DE186" s="107"/>
      <c r="DF186" s="107"/>
      <c r="DG186" s="107"/>
      <c r="DH186" s="107"/>
      <c r="DI186" s="107"/>
      <c r="DJ186" s="107"/>
      <c r="DK186" s="107"/>
      <c r="DL186" s="107"/>
      <c r="DM186" s="107"/>
      <c r="DN186" s="107"/>
      <c r="DO186" s="107"/>
      <c r="DP186" s="107"/>
      <c r="DQ186" s="107"/>
      <c r="DR186" s="107"/>
      <c r="DS186" s="107"/>
      <c r="DT186" s="107"/>
      <c r="DU186" s="107"/>
      <c r="DV186" s="107"/>
      <c r="DW186" s="107"/>
      <c r="DX186" s="107"/>
      <c r="DY186" s="107"/>
      <c r="DZ186" s="107"/>
      <c r="EA186" s="107"/>
      <c r="EB186" s="107"/>
      <c r="EC186" s="107"/>
      <c r="ED186" s="107"/>
      <c r="EE186" s="107"/>
      <c r="EF186" s="107"/>
      <c r="EG186" s="107"/>
      <c r="EH186" s="107"/>
      <c r="EI186" s="107"/>
      <c r="EJ186" s="107"/>
      <c r="EK186" s="107"/>
      <c r="EL186" s="107"/>
      <c r="EM186" s="107"/>
      <c r="EN186" s="107"/>
      <c r="EO186" s="107"/>
      <c r="EP186" s="107"/>
      <c r="EQ186" s="107"/>
      <c r="ER186" s="107"/>
      <c r="ES186" s="107"/>
      <c r="ET186" s="107"/>
      <c r="EU186" s="107"/>
      <c r="EV186" s="107"/>
      <c r="EW186" s="107"/>
      <c r="EX186" s="107"/>
      <c r="EY186" s="107"/>
      <c r="EZ186" s="107"/>
      <c r="FA186" s="107"/>
      <c r="FB186" s="107"/>
      <c r="FC186" s="107"/>
      <c r="FD186" s="107"/>
      <c r="FE186" s="107"/>
      <c r="FF186" s="107"/>
      <c r="FG186" s="107"/>
      <c r="FH186" s="107"/>
      <c r="FI186" s="107"/>
      <c r="FJ186" s="107"/>
      <c r="FK186" s="107"/>
      <c r="FL186" s="107"/>
      <c r="FM186" s="107"/>
      <c r="FN186" s="107"/>
      <c r="FO186" s="107"/>
      <c r="FP186" s="107"/>
      <c r="FQ186" s="107"/>
      <c r="FR186" s="107"/>
      <c r="FS186" s="107"/>
      <c r="FT186" s="107"/>
      <c r="FU186" s="107"/>
      <c r="FV186" s="107"/>
      <c r="FW186" s="107"/>
      <c r="FX186" s="107"/>
      <c r="FY186" s="107"/>
      <c r="FZ186" s="107"/>
      <c r="GA186" s="107"/>
      <c r="GB186" s="107"/>
      <c r="GC186" s="107"/>
      <c r="GD186" s="107"/>
      <c r="GE186" s="107"/>
      <c r="GF186" s="107"/>
      <c r="GG186" s="107"/>
      <c r="GH186" s="107"/>
      <c r="GI186" s="107"/>
      <c r="GJ186" s="107"/>
      <c r="GK186" s="107"/>
      <c r="GL186" s="107"/>
      <c r="GM186" s="107"/>
      <c r="GN186" s="107"/>
      <c r="GO186" s="107"/>
      <c r="GP186" s="107"/>
      <c r="GQ186" s="107"/>
      <c r="GR186" s="107"/>
      <c r="GS186" s="107"/>
      <c r="GT186" s="107"/>
      <c r="GU186" s="107"/>
      <c r="GV186" s="107"/>
      <c r="GW186" s="107"/>
      <c r="GX186" s="107"/>
      <c r="GY186" s="107"/>
      <c r="GZ186" s="107"/>
      <c r="HA186" s="107"/>
      <c r="HB186" s="107"/>
      <c r="HC186" s="107"/>
      <c r="HD186" s="107"/>
      <c r="HE186" s="107"/>
      <c r="HF186" s="107"/>
      <c r="HG186" s="107"/>
      <c r="HH186" s="107"/>
      <c r="HI186" s="107"/>
      <c r="HJ186" s="107"/>
      <c r="HK186" s="107"/>
      <c r="HL186" s="107"/>
      <c r="HM186" s="107"/>
      <c r="HN186" s="107"/>
      <c r="HO186" s="107"/>
      <c r="HP186" s="107"/>
      <c r="HQ186" s="107"/>
      <c r="HR186" s="107"/>
      <c r="HS186" s="107"/>
      <c r="HT186" s="107"/>
      <c r="HU186" s="107"/>
      <c r="HV186" s="107"/>
      <c r="HW186" s="107"/>
      <c r="HX186" s="107"/>
      <c r="HY186" s="107"/>
      <c r="HZ186" s="107"/>
      <c r="IA186" s="107"/>
      <c r="IB186" s="107"/>
      <c r="IC186" s="107"/>
      <c r="ID186" s="107"/>
      <c r="IE186" s="107"/>
      <c r="IF186" s="107"/>
      <c r="IG186" s="107"/>
      <c r="IH186" s="107"/>
      <c r="II186" s="107"/>
      <c r="IJ186" s="107"/>
      <c r="IK186" s="107"/>
      <c r="IL186" s="107"/>
      <c r="IM186" s="107"/>
      <c r="IN186" s="107"/>
      <c r="IO186" s="106"/>
    </row>
    <row r="187" s="39" customFormat="true" ht="55" hidden="false" customHeight="true" outlineLevel="2" collapsed="false">
      <c r="A187" s="63" t="s">
        <v>599</v>
      </c>
      <c r="B187" s="75"/>
      <c r="C187" s="75"/>
      <c r="D187" s="53" t="s">
        <v>600</v>
      </c>
      <c r="E187" s="53" t="s">
        <v>89</v>
      </c>
      <c r="F187" s="54" t="n">
        <v>33.43</v>
      </c>
      <c r="G187" s="55"/>
      <c r="H187" s="56" t="str">
        <f aca="false">IF(ISBLANK(G187),"",IF(ISNUMBER(F187),ROUND(F187*G187,2),"Укажите цену"))</f>
        <v/>
      </c>
      <c r="I187" s="57" t="n">
        <v>27</v>
      </c>
      <c r="J187" s="76" t="n">
        <v>21.3</v>
      </c>
      <c r="K187" s="57" t="s">
        <v>595</v>
      </c>
      <c r="L187" s="57" t="s">
        <v>91</v>
      </c>
      <c r="M187" s="57" t="s">
        <v>92</v>
      </c>
      <c r="N187" s="57" t="n">
        <v>648</v>
      </c>
      <c r="O187" s="57" t="s">
        <v>93</v>
      </c>
      <c r="P187" s="58" t="n">
        <v>0.133</v>
      </c>
      <c r="Q187" s="59" t="s">
        <v>596</v>
      </c>
      <c r="R187" s="60" t="s">
        <v>601</v>
      </c>
      <c r="S187" s="73" t="s">
        <v>96</v>
      </c>
      <c r="T187" s="61"/>
      <c r="U187" s="34"/>
      <c r="V187" s="106"/>
      <c r="W187" s="106"/>
      <c r="X187" s="106"/>
      <c r="Y187" s="106"/>
      <c r="Z187" s="106"/>
      <c r="AA187" s="106"/>
      <c r="AB187" s="106"/>
      <c r="AC187" s="107"/>
      <c r="AD187" s="107"/>
      <c r="AE187" s="107"/>
      <c r="AF187" s="107"/>
      <c r="AG187" s="107"/>
      <c r="AH187" s="107"/>
      <c r="AI187" s="107"/>
      <c r="AJ187" s="107"/>
      <c r="AK187" s="107"/>
      <c r="AL187" s="107"/>
      <c r="AM187" s="107"/>
      <c r="AN187" s="107"/>
      <c r="AO187" s="107"/>
      <c r="AP187" s="107"/>
      <c r="AQ187" s="107"/>
      <c r="AR187" s="107"/>
      <c r="AS187" s="107"/>
      <c r="AT187" s="107"/>
      <c r="AU187" s="107"/>
      <c r="AV187" s="107"/>
      <c r="AW187" s="107"/>
      <c r="AX187" s="107"/>
      <c r="AY187" s="107"/>
      <c r="AZ187" s="107"/>
      <c r="BA187" s="107"/>
      <c r="BB187" s="107"/>
      <c r="BC187" s="107"/>
      <c r="BD187" s="107"/>
      <c r="BE187" s="107"/>
      <c r="BF187" s="107"/>
      <c r="BG187" s="107"/>
      <c r="BH187" s="107"/>
      <c r="BI187" s="107"/>
      <c r="BJ187" s="107"/>
      <c r="BK187" s="107"/>
      <c r="BL187" s="107"/>
      <c r="BM187" s="107"/>
      <c r="BN187" s="107"/>
      <c r="BO187" s="107"/>
      <c r="BP187" s="107"/>
      <c r="BQ187" s="107"/>
      <c r="BR187" s="107"/>
      <c r="BS187" s="107"/>
      <c r="BT187" s="107"/>
      <c r="BU187" s="107"/>
      <c r="BV187" s="107"/>
      <c r="BW187" s="107"/>
      <c r="BX187" s="107"/>
      <c r="BY187" s="107"/>
      <c r="BZ187" s="107"/>
      <c r="CA187" s="107"/>
      <c r="CB187" s="107"/>
      <c r="CC187" s="107"/>
      <c r="CD187" s="107"/>
      <c r="CE187" s="107"/>
      <c r="CF187" s="107"/>
      <c r="CG187" s="107"/>
      <c r="CH187" s="107"/>
      <c r="CI187" s="107"/>
      <c r="CJ187" s="107"/>
      <c r="CK187" s="107"/>
      <c r="CL187" s="107"/>
      <c r="CM187" s="107"/>
      <c r="CN187" s="107"/>
      <c r="CO187" s="107"/>
      <c r="CP187" s="107"/>
      <c r="CQ187" s="107"/>
      <c r="CR187" s="107"/>
      <c r="CS187" s="107"/>
      <c r="CT187" s="107"/>
      <c r="CU187" s="107"/>
      <c r="CV187" s="107"/>
      <c r="CW187" s="107"/>
      <c r="CX187" s="107"/>
      <c r="CY187" s="107"/>
      <c r="CZ187" s="107"/>
      <c r="DA187" s="107"/>
      <c r="DB187" s="107"/>
      <c r="DC187" s="107"/>
      <c r="DD187" s="107"/>
      <c r="DE187" s="107"/>
      <c r="DF187" s="107"/>
      <c r="DG187" s="107"/>
      <c r="DH187" s="107"/>
      <c r="DI187" s="107"/>
      <c r="DJ187" s="107"/>
      <c r="DK187" s="107"/>
      <c r="DL187" s="107"/>
      <c r="DM187" s="107"/>
      <c r="DN187" s="107"/>
      <c r="DO187" s="107"/>
      <c r="DP187" s="107"/>
      <c r="DQ187" s="107"/>
      <c r="DR187" s="107"/>
      <c r="DS187" s="107"/>
      <c r="DT187" s="107"/>
      <c r="DU187" s="107"/>
      <c r="DV187" s="107"/>
      <c r="DW187" s="107"/>
      <c r="DX187" s="107"/>
      <c r="DY187" s="107"/>
      <c r="DZ187" s="107"/>
      <c r="EA187" s="107"/>
      <c r="EB187" s="107"/>
      <c r="EC187" s="107"/>
      <c r="ED187" s="107"/>
      <c r="EE187" s="107"/>
      <c r="EF187" s="107"/>
      <c r="EG187" s="107"/>
      <c r="EH187" s="107"/>
      <c r="EI187" s="107"/>
      <c r="EJ187" s="107"/>
      <c r="EK187" s="107"/>
      <c r="EL187" s="107"/>
      <c r="EM187" s="107"/>
      <c r="EN187" s="107"/>
      <c r="EO187" s="107"/>
      <c r="EP187" s="107"/>
      <c r="EQ187" s="107"/>
      <c r="ER187" s="107"/>
      <c r="ES187" s="107"/>
      <c r="ET187" s="107"/>
      <c r="EU187" s="107"/>
      <c r="EV187" s="107"/>
      <c r="EW187" s="107"/>
      <c r="EX187" s="107"/>
      <c r="EY187" s="107"/>
      <c r="EZ187" s="107"/>
      <c r="FA187" s="107"/>
      <c r="FB187" s="107"/>
      <c r="FC187" s="107"/>
      <c r="FD187" s="107"/>
      <c r="FE187" s="107"/>
      <c r="FF187" s="107"/>
      <c r="FG187" s="107"/>
      <c r="FH187" s="107"/>
      <c r="FI187" s="107"/>
      <c r="FJ187" s="107"/>
      <c r="FK187" s="107"/>
      <c r="FL187" s="107"/>
      <c r="FM187" s="107"/>
      <c r="FN187" s="107"/>
      <c r="FO187" s="107"/>
      <c r="FP187" s="107"/>
      <c r="FQ187" s="107"/>
      <c r="FR187" s="107"/>
      <c r="FS187" s="107"/>
      <c r="FT187" s="107"/>
      <c r="FU187" s="107"/>
      <c r="FV187" s="107"/>
      <c r="FW187" s="107"/>
      <c r="FX187" s="107"/>
      <c r="FY187" s="107"/>
      <c r="FZ187" s="107"/>
      <c r="GA187" s="107"/>
      <c r="GB187" s="107"/>
      <c r="GC187" s="107"/>
      <c r="GD187" s="107"/>
      <c r="GE187" s="107"/>
      <c r="GF187" s="107"/>
      <c r="GG187" s="107"/>
      <c r="GH187" s="107"/>
      <c r="GI187" s="107"/>
      <c r="GJ187" s="107"/>
      <c r="GK187" s="107"/>
      <c r="GL187" s="107"/>
      <c r="GM187" s="107"/>
      <c r="GN187" s="107"/>
      <c r="GO187" s="107"/>
      <c r="GP187" s="107"/>
      <c r="GQ187" s="107"/>
      <c r="GR187" s="107"/>
      <c r="GS187" s="107"/>
      <c r="GT187" s="107"/>
      <c r="GU187" s="107"/>
      <c r="GV187" s="107"/>
      <c r="GW187" s="107"/>
      <c r="GX187" s="107"/>
      <c r="GY187" s="107"/>
      <c r="GZ187" s="107"/>
      <c r="HA187" s="107"/>
      <c r="HB187" s="107"/>
      <c r="HC187" s="107"/>
      <c r="HD187" s="107"/>
      <c r="HE187" s="107"/>
      <c r="HF187" s="107"/>
      <c r="HG187" s="107"/>
      <c r="HH187" s="107"/>
      <c r="HI187" s="107"/>
      <c r="HJ187" s="107"/>
      <c r="HK187" s="107"/>
      <c r="HL187" s="107"/>
      <c r="HM187" s="107"/>
      <c r="HN187" s="107"/>
      <c r="HO187" s="107"/>
      <c r="HP187" s="107"/>
      <c r="HQ187" s="107"/>
      <c r="HR187" s="107"/>
      <c r="HS187" s="107"/>
      <c r="HT187" s="107"/>
      <c r="HU187" s="107"/>
      <c r="HV187" s="107"/>
      <c r="HW187" s="107"/>
      <c r="HX187" s="107"/>
      <c r="HY187" s="107"/>
      <c r="HZ187" s="107"/>
      <c r="IA187" s="107"/>
      <c r="IB187" s="107"/>
      <c r="IC187" s="107"/>
      <c r="ID187" s="107"/>
      <c r="IE187" s="107"/>
      <c r="IF187" s="107"/>
      <c r="IG187" s="107"/>
      <c r="IH187" s="107"/>
      <c r="II187" s="107"/>
      <c r="IJ187" s="107"/>
      <c r="IK187" s="107"/>
      <c r="IL187" s="107"/>
      <c r="IM187" s="107"/>
      <c r="IN187" s="107"/>
      <c r="IO187" s="106"/>
    </row>
    <row r="188" s="39" customFormat="true" ht="55" hidden="false" customHeight="true" outlineLevel="2" collapsed="false">
      <c r="A188" s="63"/>
      <c r="B188" s="75"/>
      <c r="C188" s="75"/>
      <c r="D188" s="53" t="s">
        <v>602</v>
      </c>
      <c r="E188" s="53" t="s">
        <v>103</v>
      </c>
      <c r="F188" s="54" t="n">
        <v>33.43</v>
      </c>
      <c r="G188" s="55"/>
      <c r="H188" s="56" t="str">
        <f aca="false">IF(ISBLANK(G188),"",IF(ISNUMBER(F188),ROUND(F188*G188,2),"Укажите цену"))</f>
        <v/>
      </c>
      <c r="I188" s="57"/>
      <c r="J188" s="76"/>
      <c r="K188" s="57"/>
      <c r="L188" s="57"/>
      <c r="M188" s="57"/>
      <c r="N188" s="57"/>
      <c r="O188" s="57"/>
      <c r="P188" s="57"/>
      <c r="Q188" s="59"/>
      <c r="R188" s="60"/>
      <c r="S188" s="73"/>
      <c r="T188" s="61"/>
      <c r="U188" s="34"/>
      <c r="V188" s="106"/>
      <c r="W188" s="106"/>
      <c r="X188" s="106"/>
      <c r="Y188" s="106"/>
      <c r="Z188" s="106"/>
      <c r="AA188" s="106"/>
      <c r="AB188" s="106"/>
      <c r="AC188" s="107"/>
      <c r="AD188" s="107"/>
      <c r="AE188" s="107"/>
      <c r="AF188" s="107"/>
      <c r="AG188" s="107"/>
      <c r="AH188" s="107"/>
      <c r="AI188" s="107"/>
      <c r="AJ188" s="107"/>
      <c r="AK188" s="107"/>
      <c r="AL188" s="107"/>
      <c r="AM188" s="107"/>
      <c r="AN188" s="107"/>
      <c r="AO188" s="107"/>
      <c r="AP188" s="107"/>
      <c r="AQ188" s="107"/>
      <c r="AR188" s="107"/>
      <c r="AS188" s="107"/>
      <c r="AT188" s="107"/>
      <c r="AU188" s="107"/>
      <c r="AV188" s="107"/>
      <c r="AW188" s="107"/>
      <c r="AX188" s="107"/>
      <c r="AY188" s="107"/>
      <c r="AZ188" s="107"/>
      <c r="BA188" s="107"/>
      <c r="BB188" s="107"/>
      <c r="BC188" s="107"/>
      <c r="BD188" s="107"/>
      <c r="BE188" s="107"/>
      <c r="BF188" s="107"/>
      <c r="BG188" s="107"/>
      <c r="BH188" s="107"/>
      <c r="BI188" s="107"/>
      <c r="BJ188" s="107"/>
      <c r="BK188" s="107"/>
      <c r="BL188" s="107"/>
      <c r="BM188" s="107"/>
      <c r="BN188" s="107"/>
      <c r="BO188" s="107"/>
      <c r="BP188" s="107"/>
      <c r="BQ188" s="107"/>
      <c r="BR188" s="107"/>
      <c r="BS188" s="107"/>
      <c r="BT188" s="107"/>
      <c r="BU188" s="107"/>
      <c r="BV188" s="107"/>
      <c r="BW188" s="107"/>
      <c r="BX188" s="107"/>
      <c r="BY188" s="107"/>
      <c r="BZ188" s="107"/>
      <c r="CA188" s="107"/>
      <c r="CB188" s="107"/>
      <c r="CC188" s="107"/>
      <c r="CD188" s="107"/>
      <c r="CE188" s="107"/>
      <c r="CF188" s="107"/>
      <c r="CG188" s="107"/>
      <c r="CH188" s="107"/>
      <c r="CI188" s="107"/>
      <c r="CJ188" s="107"/>
      <c r="CK188" s="107"/>
      <c r="CL188" s="107"/>
      <c r="CM188" s="107"/>
      <c r="CN188" s="107"/>
      <c r="CO188" s="107"/>
      <c r="CP188" s="107"/>
      <c r="CQ188" s="107"/>
      <c r="CR188" s="107"/>
      <c r="CS188" s="107"/>
      <c r="CT188" s="107"/>
      <c r="CU188" s="107"/>
      <c r="CV188" s="107"/>
      <c r="CW188" s="107"/>
      <c r="CX188" s="107"/>
      <c r="CY188" s="107"/>
      <c r="CZ188" s="107"/>
      <c r="DA188" s="107"/>
      <c r="DB188" s="107"/>
      <c r="DC188" s="107"/>
      <c r="DD188" s="107"/>
      <c r="DE188" s="107"/>
      <c r="DF188" s="107"/>
      <c r="DG188" s="107"/>
      <c r="DH188" s="107"/>
      <c r="DI188" s="107"/>
      <c r="DJ188" s="107"/>
      <c r="DK188" s="107"/>
      <c r="DL188" s="107"/>
      <c r="DM188" s="107"/>
      <c r="DN188" s="107"/>
      <c r="DO188" s="107"/>
      <c r="DP188" s="107"/>
      <c r="DQ188" s="107"/>
      <c r="DR188" s="107"/>
      <c r="DS188" s="107"/>
      <c r="DT188" s="107"/>
      <c r="DU188" s="107"/>
      <c r="DV188" s="107"/>
      <c r="DW188" s="107"/>
      <c r="DX188" s="107"/>
      <c r="DY188" s="107"/>
      <c r="DZ188" s="107"/>
      <c r="EA188" s="107"/>
      <c r="EB188" s="107"/>
      <c r="EC188" s="107"/>
      <c r="ED188" s="107"/>
      <c r="EE188" s="107"/>
      <c r="EF188" s="107"/>
      <c r="EG188" s="107"/>
      <c r="EH188" s="107"/>
      <c r="EI188" s="107"/>
      <c r="EJ188" s="107"/>
      <c r="EK188" s="107"/>
      <c r="EL188" s="107"/>
      <c r="EM188" s="107"/>
      <c r="EN188" s="107"/>
      <c r="EO188" s="107"/>
      <c r="EP188" s="107"/>
      <c r="EQ188" s="107"/>
      <c r="ER188" s="107"/>
      <c r="ES188" s="107"/>
      <c r="ET188" s="107"/>
      <c r="EU188" s="107"/>
      <c r="EV188" s="107"/>
      <c r="EW188" s="107"/>
      <c r="EX188" s="107"/>
      <c r="EY188" s="107"/>
      <c r="EZ188" s="107"/>
      <c r="FA188" s="107"/>
      <c r="FB188" s="107"/>
      <c r="FC188" s="107"/>
      <c r="FD188" s="107"/>
      <c r="FE188" s="107"/>
      <c r="FF188" s="107"/>
      <c r="FG188" s="107"/>
      <c r="FH188" s="107"/>
      <c r="FI188" s="107"/>
      <c r="FJ188" s="107"/>
      <c r="FK188" s="107"/>
      <c r="FL188" s="107"/>
      <c r="FM188" s="107"/>
      <c r="FN188" s="107"/>
      <c r="FO188" s="107"/>
      <c r="FP188" s="107"/>
      <c r="FQ188" s="107"/>
      <c r="FR188" s="107"/>
      <c r="FS188" s="107"/>
      <c r="FT188" s="107"/>
      <c r="FU188" s="107"/>
      <c r="FV188" s="107"/>
      <c r="FW188" s="107"/>
      <c r="FX188" s="107"/>
      <c r="FY188" s="107"/>
      <c r="FZ188" s="107"/>
      <c r="GA188" s="107"/>
      <c r="GB188" s="107"/>
      <c r="GC188" s="107"/>
      <c r="GD188" s="107"/>
      <c r="GE188" s="107"/>
      <c r="GF188" s="107"/>
      <c r="GG188" s="107"/>
      <c r="GH188" s="107"/>
      <c r="GI188" s="107"/>
      <c r="GJ188" s="107"/>
      <c r="GK188" s="107"/>
      <c r="GL188" s="107"/>
      <c r="GM188" s="107"/>
      <c r="GN188" s="107"/>
      <c r="GO188" s="107"/>
      <c r="GP188" s="107"/>
      <c r="GQ188" s="107"/>
      <c r="GR188" s="107"/>
      <c r="GS188" s="107"/>
      <c r="GT188" s="107"/>
      <c r="GU188" s="107"/>
      <c r="GV188" s="107"/>
      <c r="GW188" s="107"/>
      <c r="GX188" s="107"/>
      <c r="GY188" s="107"/>
      <c r="GZ188" s="107"/>
      <c r="HA188" s="107"/>
      <c r="HB188" s="107"/>
      <c r="HC188" s="107"/>
      <c r="HD188" s="107"/>
      <c r="HE188" s="107"/>
      <c r="HF188" s="107"/>
      <c r="HG188" s="107"/>
      <c r="HH188" s="107"/>
      <c r="HI188" s="107"/>
      <c r="HJ188" s="107"/>
      <c r="HK188" s="107"/>
      <c r="HL188" s="107"/>
      <c r="HM188" s="107"/>
      <c r="HN188" s="107"/>
      <c r="HO188" s="107"/>
      <c r="HP188" s="107"/>
      <c r="HQ188" s="107"/>
      <c r="HR188" s="107"/>
      <c r="HS188" s="107"/>
      <c r="HT188" s="107"/>
      <c r="HU188" s="107"/>
      <c r="HV188" s="107"/>
      <c r="HW188" s="107"/>
      <c r="HX188" s="107"/>
      <c r="HY188" s="107"/>
      <c r="HZ188" s="107"/>
      <c r="IA188" s="107"/>
      <c r="IB188" s="107"/>
      <c r="IC188" s="107"/>
      <c r="ID188" s="107"/>
      <c r="IE188" s="107"/>
      <c r="IF188" s="107"/>
      <c r="IG188" s="107"/>
      <c r="IH188" s="107"/>
      <c r="II188" s="107"/>
      <c r="IJ188" s="107"/>
      <c r="IK188" s="107"/>
      <c r="IL188" s="107"/>
      <c r="IM188" s="107"/>
      <c r="IN188" s="107"/>
      <c r="IO188" s="106"/>
    </row>
    <row r="189" s="39" customFormat="true" ht="55" hidden="false" customHeight="true" outlineLevel="2" collapsed="false">
      <c r="A189" s="63" t="s">
        <v>603</v>
      </c>
      <c r="B189" s="75"/>
      <c r="C189" s="75"/>
      <c r="D189" s="53" t="s">
        <v>604</v>
      </c>
      <c r="E189" s="53" t="s">
        <v>89</v>
      </c>
      <c r="F189" s="54" t="n">
        <v>47.3</v>
      </c>
      <c r="G189" s="55"/>
      <c r="H189" s="56" t="str">
        <f aca="false">IF(ISBLANK(G189),"",IF(ISNUMBER(F189),ROUND(F189*G189,2),"Укажите цену"))</f>
        <v/>
      </c>
      <c r="I189" s="57" t="n">
        <v>27</v>
      </c>
      <c r="J189" s="76" t="n">
        <v>21.3</v>
      </c>
      <c r="K189" s="57" t="s">
        <v>595</v>
      </c>
      <c r="L189" s="57" t="s">
        <v>91</v>
      </c>
      <c r="M189" s="57" t="s">
        <v>92</v>
      </c>
      <c r="N189" s="57" t="n">
        <v>648</v>
      </c>
      <c r="O189" s="57" t="s">
        <v>93</v>
      </c>
      <c r="P189" s="58" t="n">
        <v>0.133</v>
      </c>
      <c r="Q189" s="59" t="s">
        <v>596</v>
      </c>
      <c r="R189" s="60" t="s">
        <v>605</v>
      </c>
      <c r="S189" s="73" t="s">
        <v>96</v>
      </c>
      <c r="T189" s="61"/>
      <c r="U189" s="34"/>
      <c r="V189" s="106"/>
      <c r="W189" s="106"/>
      <c r="X189" s="106"/>
      <c r="Y189" s="106"/>
      <c r="Z189" s="106"/>
      <c r="AA189" s="106"/>
      <c r="AB189" s="106"/>
      <c r="AC189" s="107"/>
      <c r="AD189" s="107"/>
      <c r="AE189" s="107"/>
      <c r="AF189" s="107"/>
      <c r="AG189" s="107"/>
      <c r="AH189" s="107"/>
      <c r="AI189" s="107"/>
      <c r="AJ189" s="107"/>
      <c r="AK189" s="107"/>
      <c r="AL189" s="107"/>
      <c r="AM189" s="107"/>
      <c r="AN189" s="107"/>
      <c r="AO189" s="107"/>
      <c r="AP189" s="107"/>
      <c r="AQ189" s="107"/>
      <c r="AR189" s="107"/>
      <c r="AS189" s="107"/>
      <c r="AT189" s="107"/>
      <c r="AU189" s="107"/>
      <c r="AV189" s="107"/>
      <c r="AW189" s="107"/>
      <c r="AX189" s="107"/>
      <c r="AY189" s="107"/>
      <c r="AZ189" s="107"/>
      <c r="BA189" s="107"/>
      <c r="BB189" s="107"/>
      <c r="BC189" s="107"/>
      <c r="BD189" s="107"/>
      <c r="BE189" s="107"/>
      <c r="BF189" s="107"/>
      <c r="BG189" s="107"/>
      <c r="BH189" s="107"/>
      <c r="BI189" s="107"/>
      <c r="BJ189" s="107"/>
      <c r="BK189" s="107"/>
      <c r="BL189" s="107"/>
      <c r="BM189" s="107"/>
      <c r="BN189" s="107"/>
      <c r="BO189" s="107"/>
      <c r="BP189" s="107"/>
      <c r="BQ189" s="107"/>
      <c r="BR189" s="107"/>
      <c r="BS189" s="107"/>
      <c r="BT189" s="107"/>
      <c r="BU189" s="107"/>
      <c r="BV189" s="107"/>
      <c r="BW189" s="107"/>
      <c r="BX189" s="107"/>
      <c r="BY189" s="107"/>
      <c r="BZ189" s="107"/>
      <c r="CA189" s="107"/>
      <c r="CB189" s="107"/>
      <c r="CC189" s="107"/>
      <c r="CD189" s="107"/>
      <c r="CE189" s="107"/>
      <c r="CF189" s="107"/>
      <c r="CG189" s="107"/>
      <c r="CH189" s="107"/>
      <c r="CI189" s="107"/>
      <c r="CJ189" s="107"/>
      <c r="CK189" s="107"/>
      <c r="CL189" s="107"/>
      <c r="CM189" s="107"/>
      <c r="CN189" s="107"/>
      <c r="CO189" s="107"/>
      <c r="CP189" s="107"/>
      <c r="CQ189" s="107"/>
      <c r="CR189" s="107"/>
      <c r="CS189" s="107"/>
      <c r="CT189" s="107"/>
      <c r="CU189" s="107"/>
      <c r="CV189" s="107"/>
      <c r="CW189" s="107"/>
      <c r="CX189" s="107"/>
      <c r="CY189" s="107"/>
      <c r="CZ189" s="107"/>
      <c r="DA189" s="107"/>
      <c r="DB189" s="107"/>
      <c r="DC189" s="107"/>
      <c r="DD189" s="107"/>
      <c r="DE189" s="107"/>
      <c r="DF189" s="107"/>
      <c r="DG189" s="107"/>
      <c r="DH189" s="107"/>
      <c r="DI189" s="107"/>
      <c r="DJ189" s="107"/>
      <c r="DK189" s="107"/>
      <c r="DL189" s="107"/>
      <c r="DM189" s="107"/>
      <c r="DN189" s="107"/>
      <c r="DO189" s="107"/>
      <c r="DP189" s="107"/>
      <c r="DQ189" s="107"/>
      <c r="DR189" s="107"/>
      <c r="DS189" s="107"/>
      <c r="DT189" s="107"/>
      <c r="DU189" s="107"/>
      <c r="DV189" s="107"/>
      <c r="DW189" s="107"/>
      <c r="DX189" s="107"/>
      <c r="DY189" s="107"/>
      <c r="DZ189" s="107"/>
      <c r="EA189" s="107"/>
      <c r="EB189" s="107"/>
      <c r="EC189" s="107"/>
      <c r="ED189" s="107"/>
      <c r="EE189" s="107"/>
      <c r="EF189" s="107"/>
      <c r="EG189" s="107"/>
      <c r="EH189" s="107"/>
      <c r="EI189" s="107"/>
      <c r="EJ189" s="107"/>
      <c r="EK189" s="107"/>
      <c r="EL189" s="107"/>
      <c r="EM189" s="107"/>
      <c r="EN189" s="107"/>
      <c r="EO189" s="107"/>
      <c r="EP189" s="107"/>
      <c r="EQ189" s="107"/>
      <c r="ER189" s="107"/>
      <c r="ES189" s="107"/>
      <c r="ET189" s="107"/>
      <c r="EU189" s="107"/>
      <c r="EV189" s="107"/>
      <c r="EW189" s="107"/>
      <c r="EX189" s="107"/>
      <c r="EY189" s="107"/>
      <c r="EZ189" s="107"/>
      <c r="FA189" s="107"/>
      <c r="FB189" s="107"/>
      <c r="FC189" s="107"/>
      <c r="FD189" s="107"/>
      <c r="FE189" s="107"/>
      <c r="FF189" s="107"/>
      <c r="FG189" s="107"/>
      <c r="FH189" s="107"/>
      <c r="FI189" s="107"/>
      <c r="FJ189" s="107"/>
      <c r="FK189" s="107"/>
      <c r="FL189" s="107"/>
      <c r="FM189" s="107"/>
      <c r="FN189" s="107"/>
      <c r="FO189" s="107"/>
      <c r="FP189" s="107"/>
      <c r="FQ189" s="107"/>
      <c r="FR189" s="107"/>
      <c r="FS189" s="107"/>
      <c r="FT189" s="107"/>
      <c r="FU189" s="107"/>
      <c r="FV189" s="107"/>
      <c r="FW189" s="107"/>
      <c r="FX189" s="107"/>
      <c r="FY189" s="107"/>
      <c r="FZ189" s="107"/>
      <c r="GA189" s="107"/>
      <c r="GB189" s="107"/>
      <c r="GC189" s="107"/>
      <c r="GD189" s="107"/>
      <c r="GE189" s="107"/>
      <c r="GF189" s="107"/>
      <c r="GG189" s="107"/>
      <c r="GH189" s="107"/>
      <c r="GI189" s="107"/>
      <c r="GJ189" s="107"/>
      <c r="GK189" s="107"/>
      <c r="GL189" s="107"/>
      <c r="GM189" s="107"/>
      <c r="GN189" s="107"/>
      <c r="GO189" s="107"/>
      <c r="GP189" s="107"/>
      <c r="GQ189" s="107"/>
      <c r="GR189" s="107"/>
      <c r="GS189" s="107"/>
      <c r="GT189" s="107"/>
      <c r="GU189" s="107"/>
      <c r="GV189" s="107"/>
      <c r="GW189" s="107"/>
      <c r="GX189" s="107"/>
      <c r="GY189" s="107"/>
      <c r="GZ189" s="107"/>
      <c r="HA189" s="107"/>
      <c r="HB189" s="107"/>
      <c r="HC189" s="107"/>
      <c r="HD189" s="107"/>
      <c r="HE189" s="107"/>
      <c r="HF189" s="107"/>
      <c r="HG189" s="107"/>
      <c r="HH189" s="107"/>
      <c r="HI189" s="107"/>
      <c r="HJ189" s="107"/>
      <c r="HK189" s="107"/>
      <c r="HL189" s="107"/>
      <c r="HM189" s="107"/>
      <c r="HN189" s="107"/>
      <c r="HO189" s="107"/>
      <c r="HP189" s="107"/>
      <c r="HQ189" s="107"/>
      <c r="HR189" s="107"/>
      <c r="HS189" s="107"/>
      <c r="HT189" s="107"/>
      <c r="HU189" s="107"/>
      <c r="HV189" s="107"/>
      <c r="HW189" s="107"/>
      <c r="HX189" s="107"/>
      <c r="HY189" s="107"/>
      <c r="HZ189" s="107"/>
      <c r="IA189" s="107"/>
      <c r="IB189" s="107"/>
      <c r="IC189" s="107"/>
      <c r="ID189" s="107"/>
      <c r="IE189" s="107"/>
      <c r="IF189" s="107"/>
      <c r="IG189" s="107"/>
      <c r="IH189" s="107"/>
      <c r="II189" s="107"/>
      <c r="IJ189" s="107"/>
      <c r="IK189" s="107"/>
      <c r="IL189" s="107"/>
      <c r="IM189" s="107"/>
      <c r="IN189" s="107"/>
      <c r="IO189" s="106"/>
    </row>
    <row r="190" s="39" customFormat="true" ht="55" hidden="false" customHeight="true" outlineLevel="2" collapsed="false">
      <c r="A190" s="63"/>
      <c r="B190" s="75"/>
      <c r="C190" s="75"/>
      <c r="D190" s="53" t="s">
        <v>606</v>
      </c>
      <c r="E190" s="53" t="s">
        <v>103</v>
      </c>
      <c r="F190" s="54" t="n">
        <v>47.3</v>
      </c>
      <c r="G190" s="55"/>
      <c r="H190" s="56" t="str">
        <f aca="false">IF(ISBLANK(G190),"",IF(ISNUMBER(F190),ROUND(F190*G190,2),"Укажите цену"))</f>
        <v/>
      </c>
      <c r="I190" s="57"/>
      <c r="J190" s="76"/>
      <c r="K190" s="57"/>
      <c r="L190" s="57"/>
      <c r="M190" s="57"/>
      <c r="N190" s="57"/>
      <c r="O190" s="57"/>
      <c r="P190" s="57"/>
      <c r="Q190" s="59"/>
      <c r="R190" s="60"/>
      <c r="S190" s="73"/>
      <c r="T190" s="61"/>
      <c r="U190" s="34"/>
      <c r="V190" s="106"/>
      <c r="W190" s="106"/>
      <c r="X190" s="106"/>
      <c r="Y190" s="106"/>
      <c r="Z190" s="106"/>
      <c r="AA190" s="106"/>
      <c r="AB190" s="106"/>
      <c r="AC190" s="107"/>
      <c r="AD190" s="107"/>
      <c r="AE190" s="107"/>
      <c r="AF190" s="107"/>
      <c r="AG190" s="107"/>
      <c r="AH190" s="107"/>
      <c r="AI190" s="107"/>
      <c r="AJ190" s="107"/>
      <c r="AK190" s="107"/>
      <c r="AL190" s="107"/>
      <c r="AM190" s="107"/>
      <c r="AN190" s="107"/>
      <c r="AO190" s="107"/>
      <c r="AP190" s="107"/>
      <c r="AQ190" s="107"/>
      <c r="AR190" s="107"/>
      <c r="AS190" s="107"/>
      <c r="AT190" s="107"/>
      <c r="AU190" s="107"/>
      <c r="AV190" s="107"/>
      <c r="AW190" s="107"/>
      <c r="AX190" s="107"/>
      <c r="AY190" s="107"/>
      <c r="AZ190" s="107"/>
      <c r="BA190" s="107"/>
      <c r="BB190" s="107"/>
      <c r="BC190" s="107"/>
      <c r="BD190" s="107"/>
      <c r="BE190" s="107"/>
      <c r="BF190" s="107"/>
      <c r="BG190" s="107"/>
      <c r="BH190" s="107"/>
      <c r="BI190" s="107"/>
      <c r="BJ190" s="107"/>
      <c r="BK190" s="107"/>
      <c r="BL190" s="107"/>
      <c r="BM190" s="107"/>
      <c r="BN190" s="107"/>
      <c r="BO190" s="107"/>
      <c r="BP190" s="107"/>
      <c r="BQ190" s="107"/>
      <c r="BR190" s="107"/>
      <c r="BS190" s="107"/>
      <c r="BT190" s="107"/>
      <c r="BU190" s="107"/>
      <c r="BV190" s="107"/>
      <c r="BW190" s="107"/>
      <c r="BX190" s="107"/>
      <c r="BY190" s="107"/>
      <c r="BZ190" s="107"/>
      <c r="CA190" s="107"/>
      <c r="CB190" s="107"/>
      <c r="CC190" s="107"/>
      <c r="CD190" s="107"/>
      <c r="CE190" s="107"/>
      <c r="CF190" s="107"/>
      <c r="CG190" s="107"/>
      <c r="CH190" s="107"/>
      <c r="CI190" s="107"/>
      <c r="CJ190" s="107"/>
      <c r="CK190" s="107"/>
      <c r="CL190" s="107"/>
      <c r="CM190" s="107"/>
      <c r="CN190" s="107"/>
      <c r="CO190" s="107"/>
      <c r="CP190" s="107"/>
      <c r="CQ190" s="107"/>
      <c r="CR190" s="107"/>
      <c r="CS190" s="107"/>
      <c r="CT190" s="107"/>
      <c r="CU190" s="107"/>
      <c r="CV190" s="107"/>
      <c r="CW190" s="107"/>
      <c r="CX190" s="107"/>
      <c r="CY190" s="107"/>
      <c r="CZ190" s="107"/>
      <c r="DA190" s="107"/>
      <c r="DB190" s="107"/>
      <c r="DC190" s="107"/>
      <c r="DD190" s="107"/>
      <c r="DE190" s="107"/>
      <c r="DF190" s="107"/>
      <c r="DG190" s="107"/>
      <c r="DH190" s="107"/>
      <c r="DI190" s="107"/>
      <c r="DJ190" s="107"/>
      <c r="DK190" s="107"/>
      <c r="DL190" s="107"/>
      <c r="DM190" s="107"/>
      <c r="DN190" s="107"/>
      <c r="DO190" s="107"/>
      <c r="DP190" s="107"/>
      <c r="DQ190" s="107"/>
      <c r="DR190" s="107"/>
      <c r="DS190" s="107"/>
      <c r="DT190" s="107"/>
      <c r="DU190" s="107"/>
      <c r="DV190" s="107"/>
      <c r="DW190" s="107"/>
      <c r="DX190" s="107"/>
      <c r="DY190" s="107"/>
      <c r="DZ190" s="107"/>
      <c r="EA190" s="107"/>
      <c r="EB190" s="107"/>
      <c r="EC190" s="107"/>
      <c r="ED190" s="107"/>
      <c r="EE190" s="107"/>
      <c r="EF190" s="107"/>
      <c r="EG190" s="107"/>
      <c r="EH190" s="107"/>
      <c r="EI190" s="107"/>
      <c r="EJ190" s="107"/>
      <c r="EK190" s="107"/>
      <c r="EL190" s="107"/>
      <c r="EM190" s="107"/>
      <c r="EN190" s="107"/>
      <c r="EO190" s="107"/>
      <c r="EP190" s="107"/>
      <c r="EQ190" s="107"/>
      <c r="ER190" s="107"/>
      <c r="ES190" s="107"/>
      <c r="ET190" s="107"/>
      <c r="EU190" s="107"/>
      <c r="EV190" s="107"/>
      <c r="EW190" s="107"/>
      <c r="EX190" s="107"/>
      <c r="EY190" s="107"/>
      <c r="EZ190" s="107"/>
      <c r="FA190" s="107"/>
      <c r="FB190" s="107"/>
      <c r="FC190" s="107"/>
      <c r="FD190" s="107"/>
      <c r="FE190" s="107"/>
      <c r="FF190" s="107"/>
      <c r="FG190" s="107"/>
      <c r="FH190" s="107"/>
      <c r="FI190" s="107"/>
      <c r="FJ190" s="107"/>
      <c r="FK190" s="107"/>
      <c r="FL190" s="107"/>
      <c r="FM190" s="107"/>
      <c r="FN190" s="107"/>
      <c r="FO190" s="107"/>
      <c r="FP190" s="107"/>
      <c r="FQ190" s="107"/>
      <c r="FR190" s="107"/>
      <c r="FS190" s="107"/>
      <c r="FT190" s="107"/>
      <c r="FU190" s="107"/>
      <c r="FV190" s="107"/>
      <c r="FW190" s="107"/>
      <c r="FX190" s="107"/>
      <c r="FY190" s="107"/>
      <c r="FZ190" s="107"/>
      <c r="GA190" s="107"/>
      <c r="GB190" s="107"/>
      <c r="GC190" s="107"/>
      <c r="GD190" s="107"/>
      <c r="GE190" s="107"/>
      <c r="GF190" s="107"/>
      <c r="GG190" s="107"/>
      <c r="GH190" s="107"/>
      <c r="GI190" s="107"/>
      <c r="GJ190" s="107"/>
      <c r="GK190" s="107"/>
      <c r="GL190" s="107"/>
      <c r="GM190" s="107"/>
      <c r="GN190" s="107"/>
      <c r="GO190" s="107"/>
      <c r="GP190" s="107"/>
      <c r="GQ190" s="107"/>
      <c r="GR190" s="107"/>
      <c r="GS190" s="107"/>
      <c r="GT190" s="107"/>
      <c r="GU190" s="107"/>
      <c r="GV190" s="107"/>
      <c r="GW190" s="107"/>
      <c r="GX190" s="107"/>
      <c r="GY190" s="107"/>
      <c r="GZ190" s="107"/>
      <c r="HA190" s="107"/>
      <c r="HB190" s="107"/>
      <c r="HC190" s="107"/>
      <c r="HD190" s="107"/>
      <c r="HE190" s="107"/>
      <c r="HF190" s="107"/>
      <c r="HG190" s="107"/>
      <c r="HH190" s="107"/>
      <c r="HI190" s="107"/>
      <c r="HJ190" s="107"/>
      <c r="HK190" s="107"/>
      <c r="HL190" s="107"/>
      <c r="HM190" s="107"/>
      <c r="HN190" s="107"/>
      <c r="HO190" s="107"/>
      <c r="HP190" s="107"/>
      <c r="HQ190" s="107"/>
      <c r="HR190" s="107"/>
      <c r="HS190" s="107"/>
      <c r="HT190" s="107"/>
      <c r="HU190" s="107"/>
      <c r="HV190" s="107"/>
      <c r="HW190" s="107"/>
      <c r="HX190" s="107"/>
      <c r="HY190" s="107"/>
      <c r="HZ190" s="107"/>
      <c r="IA190" s="107"/>
      <c r="IB190" s="107"/>
      <c r="IC190" s="107"/>
      <c r="ID190" s="107"/>
      <c r="IE190" s="107"/>
      <c r="IF190" s="107"/>
      <c r="IG190" s="107"/>
      <c r="IH190" s="107"/>
      <c r="II190" s="107"/>
      <c r="IJ190" s="107"/>
      <c r="IK190" s="107"/>
      <c r="IL190" s="107"/>
      <c r="IM190" s="107"/>
      <c r="IN190" s="107"/>
      <c r="IO190" s="106"/>
    </row>
    <row r="191" customFormat="false" ht="110.1" hidden="false" customHeight="true" outlineLevel="2" collapsed="false">
      <c r="A191" s="51" t="s">
        <v>607</v>
      </c>
      <c r="B191" s="75"/>
      <c r="C191" s="75"/>
      <c r="D191" s="53" t="s">
        <v>608</v>
      </c>
      <c r="E191" s="53" t="s">
        <v>103</v>
      </c>
      <c r="F191" s="54" t="n">
        <v>61.98</v>
      </c>
      <c r="G191" s="55"/>
      <c r="H191" s="56" t="str">
        <f aca="false">IF(ISBLANK(G191),"",IF(ISNUMBER(F191),ROUND(F191*G191,2),"Укажите цену"))</f>
        <v/>
      </c>
      <c r="I191" s="57" t="n">
        <v>38</v>
      </c>
      <c r="J191" s="76" t="n">
        <v>15.62</v>
      </c>
      <c r="K191" s="57" t="s">
        <v>402</v>
      </c>
      <c r="L191" s="57" t="s">
        <v>91</v>
      </c>
      <c r="M191" s="26" t="s">
        <v>92</v>
      </c>
      <c r="N191" s="57" t="n">
        <v>360</v>
      </c>
      <c r="O191" s="26" t="s">
        <v>93</v>
      </c>
      <c r="P191" s="58" t="n">
        <v>0.133</v>
      </c>
      <c r="Q191" s="108" t="s">
        <v>609</v>
      </c>
      <c r="R191" s="60" t="s">
        <v>610</v>
      </c>
      <c r="S191" s="73" t="s">
        <v>96</v>
      </c>
      <c r="T191" s="61"/>
    </row>
    <row r="192" customFormat="false" ht="110.1" hidden="false" customHeight="true" outlineLevel="2" collapsed="false">
      <c r="A192" s="51" t="s">
        <v>611</v>
      </c>
      <c r="B192" s="75"/>
      <c r="C192" s="75"/>
      <c r="D192" s="53" t="s">
        <v>612</v>
      </c>
      <c r="E192" s="53" t="s">
        <v>103</v>
      </c>
      <c r="F192" s="54" t="n">
        <v>45.67</v>
      </c>
      <c r="G192" s="55"/>
      <c r="H192" s="56" t="str">
        <f aca="false">IF(ISBLANK(G192),"",IF(ISNUMBER(F192),ROUND(F192*G192,2),"Укажите цену"))</f>
        <v/>
      </c>
      <c r="I192" s="57" t="n">
        <v>38</v>
      </c>
      <c r="J192" s="76" t="n">
        <v>15.66</v>
      </c>
      <c r="K192" s="57" t="s">
        <v>402</v>
      </c>
      <c r="L192" s="57" t="s">
        <v>91</v>
      </c>
      <c r="M192" s="26" t="s">
        <v>92</v>
      </c>
      <c r="N192" s="57" t="n">
        <v>360</v>
      </c>
      <c r="O192" s="26" t="s">
        <v>93</v>
      </c>
      <c r="P192" s="58" t="n">
        <v>0.133</v>
      </c>
      <c r="Q192" s="108" t="s">
        <v>609</v>
      </c>
      <c r="R192" s="60" t="s">
        <v>613</v>
      </c>
      <c r="S192" s="73" t="s">
        <v>96</v>
      </c>
      <c r="T192" s="61"/>
    </row>
    <row r="193" customFormat="false" ht="110.1" hidden="false" customHeight="true" outlineLevel="2" collapsed="false">
      <c r="A193" s="51" t="s">
        <v>614</v>
      </c>
      <c r="B193" s="75"/>
      <c r="C193" s="75"/>
      <c r="D193" s="53" t="s">
        <v>615</v>
      </c>
      <c r="E193" s="53" t="s">
        <v>103</v>
      </c>
      <c r="F193" s="54" t="n">
        <v>61.98</v>
      </c>
      <c r="G193" s="55"/>
      <c r="H193" s="56" t="str">
        <f aca="false">IF(ISBLANK(G193),"",IF(ISNUMBER(F193),ROUND(F193*G193,2),"Укажите цену"))</f>
        <v/>
      </c>
      <c r="I193" s="57" t="n">
        <v>39</v>
      </c>
      <c r="J193" s="76" t="n">
        <v>15.73</v>
      </c>
      <c r="K193" s="57" t="s">
        <v>402</v>
      </c>
      <c r="L193" s="57" t="s">
        <v>91</v>
      </c>
      <c r="M193" s="26" t="s">
        <v>92</v>
      </c>
      <c r="N193" s="57" t="n">
        <v>360</v>
      </c>
      <c r="O193" s="26" t="s">
        <v>93</v>
      </c>
      <c r="P193" s="58" t="n">
        <v>0.133</v>
      </c>
      <c r="Q193" s="108" t="s">
        <v>616</v>
      </c>
      <c r="R193" s="60" t="s">
        <v>617</v>
      </c>
      <c r="S193" s="73" t="s">
        <v>96</v>
      </c>
      <c r="T193" s="61"/>
    </row>
    <row r="194" customFormat="false" ht="110.1" hidden="false" customHeight="true" outlineLevel="2" collapsed="false">
      <c r="A194" s="51" t="s">
        <v>618</v>
      </c>
      <c r="B194" s="75"/>
      <c r="C194" s="75"/>
      <c r="D194" s="53" t="s">
        <v>619</v>
      </c>
      <c r="E194" s="53" t="s">
        <v>103</v>
      </c>
      <c r="F194" s="54" t="n">
        <v>89.7</v>
      </c>
      <c r="G194" s="55"/>
      <c r="H194" s="56" t="str">
        <f aca="false">IF(ISBLANK(G194),"",IF(ISNUMBER(F194),ROUND(F194*G194,2),"Укажите цену"))</f>
        <v/>
      </c>
      <c r="I194" s="57" t="n">
        <v>57</v>
      </c>
      <c r="J194" s="76" t="n">
        <v>13.71</v>
      </c>
      <c r="K194" s="57" t="s">
        <v>402</v>
      </c>
      <c r="L194" s="57" t="s">
        <v>91</v>
      </c>
      <c r="M194" s="26" t="s">
        <v>92</v>
      </c>
      <c r="N194" s="57" t="n">
        <v>360</v>
      </c>
      <c r="O194" s="26" t="s">
        <v>620</v>
      </c>
      <c r="P194" s="58" t="n">
        <v>0.081</v>
      </c>
      <c r="Q194" s="108" t="s">
        <v>621</v>
      </c>
      <c r="R194" s="60" t="s">
        <v>610</v>
      </c>
      <c r="S194" s="73" t="s">
        <v>96</v>
      </c>
      <c r="T194" s="61"/>
    </row>
    <row r="195" customFormat="false" ht="110.1" hidden="false" customHeight="true" outlineLevel="2" collapsed="false">
      <c r="A195" s="51" t="s">
        <v>622</v>
      </c>
      <c r="B195" s="75"/>
      <c r="C195" s="75"/>
      <c r="D195" s="53" t="s">
        <v>623</v>
      </c>
      <c r="E195" s="53" t="s">
        <v>103</v>
      </c>
      <c r="F195" s="54" t="n">
        <v>73.39</v>
      </c>
      <c r="G195" s="55"/>
      <c r="H195" s="56" t="str">
        <f aca="false">IF(ISBLANK(G195),"",IF(ISNUMBER(F195),ROUND(F195*G195,2),"Укажите цену"))</f>
        <v/>
      </c>
      <c r="I195" s="57" t="n">
        <v>58</v>
      </c>
      <c r="J195" s="76" t="n">
        <v>13.71</v>
      </c>
      <c r="K195" s="57" t="s">
        <v>402</v>
      </c>
      <c r="L195" s="57" t="s">
        <v>91</v>
      </c>
      <c r="M195" s="26" t="s">
        <v>92</v>
      </c>
      <c r="N195" s="57" t="n">
        <v>360</v>
      </c>
      <c r="O195" s="26" t="s">
        <v>620</v>
      </c>
      <c r="P195" s="58" t="n">
        <v>0.081</v>
      </c>
      <c r="Q195" s="108" t="s">
        <v>621</v>
      </c>
      <c r="R195" s="60" t="s">
        <v>613</v>
      </c>
      <c r="S195" s="73" t="s">
        <v>96</v>
      </c>
      <c r="T195" s="61"/>
    </row>
    <row r="196" customFormat="false" ht="110.1" hidden="false" customHeight="true" outlineLevel="2" collapsed="false">
      <c r="A196" s="51" t="s">
        <v>624</v>
      </c>
      <c r="B196" s="75"/>
      <c r="C196" s="75"/>
      <c r="D196" s="53" t="s">
        <v>625</v>
      </c>
      <c r="E196" s="53" t="s">
        <v>103</v>
      </c>
      <c r="F196" s="54" t="n">
        <v>89.7</v>
      </c>
      <c r="G196" s="55"/>
      <c r="H196" s="56" t="str">
        <f aca="false">IF(ISBLANK(G196),"",IF(ISNUMBER(F196),ROUND(F196*G196,2),"Укажите цену"))</f>
        <v/>
      </c>
      <c r="I196" s="57" t="n">
        <v>59</v>
      </c>
      <c r="J196" s="76" t="n">
        <v>22.7</v>
      </c>
      <c r="K196" s="57" t="s">
        <v>402</v>
      </c>
      <c r="L196" s="57" t="s">
        <v>91</v>
      </c>
      <c r="M196" s="26" t="s">
        <v>92</v>
      </c>
      <c r="N196" s="57" t="n">
        <v>360</v>
      </c>
      <c r="O196" s="26" t="s">
        <v>93</v>
      </c>
      <c r="P196" s="58" t="n">
        <v>0.133</v>
      </c>
      <c r="Q196" s="108" t="s">
        <v>621</v>
      </c>
      <c r="R196" s="60" t="s">
        <v>617</v>
      </c>
      <c r="S196" s="73" t="s">
        <v>96</v>
      </c>
      <c r="T196" s="61"/>
    </row>
    <row r="197" customFormat="false" ht="110.1" hidden="false" customHeight="true" outlineLevel="2" collapsed="false">
      <c r="A197" s="51" t="s">
        <v>626</v>
      </c>
      <c r="B197" s="75"/>
      <c r="C197" s="75"/>
      <c r="D197" s="53" t="s">
        <v>627</v>
      </c>
      <c r="E197" s="53" t="s">
        <v>103</v>
      </c>
      <c r="F197" s="54" t="n">
        <v>122.32</v>
      </c>
      <c r="G197" s="55"/>
      <c r="H197" s="56" t="str">
        <f aca="false">IF(ISBLANK(G197),"",IF(ISNUMBER(F197),ROUND(F197*G197,2),"Укажите цену"))</f>
        <v/>
      </c>
      <c r="I197" s="57" t="n">
        <v>82</v>
      </c>
      <c r="J197" s="76" t="n">
        <v>18.31</v>
      </c>
      <c r="K197" s="57" t="s">
        <v>402</v>
      </c>
      <c r="L197" s="57" t="s">
        <v>91</v>
      </c>
      <c r="M197" s="26" t="s">
        <v>92</v>
      </c>
      <c r="N197" s="57" t="n">
        <v>360</v>
      </c>
      <c r="O197" s="26" t="s">
        <v>620</v>
      </c>
      <c r="P197" s="58" t="n">
        <v>0.081</v>
      </c>
      <c r="Q197" s="108" t="s">
        <v>628</v>
      </c>
      <c r="R197" s="60" t="s">
        <v>610</v>
      </c>
      <c r="S197" s="73" t="s">
        <v>96</v>
      </c>
      <c r="T197" s="61"/>
    </row>
    <row r="198" customFormat="false" ht="110.1" hidden="false" customHeight="true" outlineLevel="2" collapsed="false">
      <c r="A198" s="51" t="s">
        <v>629</v>
      </c>
      <c r="B198" s="75"/>
      <c r="C198" s="75"/>
      <c r="D198" s="53" t="s">
        <v>630</v>
      </c>
      <c r="E198" s="53" t="s">
        <v>103</v>
      </c>
      <c r="F198" s="54" t="n">
        <v>106.01</v>
      </c>
      <c r="G198" s="55"/>
      <c r="H198" s="56" t="str">
        <f aca="false">IF(ISBLANK(G198),"",IF(ISNUMBER(F198),ROUND(F198*G198,2),"Укажите цену"))</f>
        <v/>
      </c>
      <c r="I198" s="57" t="n">
        <v>82</v>
      </c>
      <c r="J198" s="76" t="n">
        <v>18.31</v>
      </c>
      <c r="K198" s="57" t="s">
        <v>402</v>
      </c>
      <c r="L198" s="57" t="s">
        <v>91</v>
      </c>
      <c r="M198" s="26" t="s">
        <v>92</v>
      </c>
      <c r="N198" s="57" t="n">
        <v>360</v>
      </c>
      <c r="O198" s="26" t="s">
        <v>620</v>
      </c>
      <c r="P198" s="58" t="n">
        <v>0.081</v>
      </c>
      <c r="Q198" s="108" t="s">
        <v>628</v>
      </c>
      <c r="R198" s="60" t="s">
        <v>613</v>
      </c>
      <c r="S198" s="73" t="s">
        <v>96</v>
      </c>
      <c r="T198" s="61"/>
    </row>
    <row r="199" customFormat="false" ht="110.1" hidden="false" customHeight="true" outlineLevel="2" collapsed="false">
      <c r="A199" s="51" t="s">
        <v>631</v>
      </c>
      <c r="B199" s="75"/>
      <c r="C199" s="75"/>
      <c r="D199" s="53" t="s">
        <v>632</v>
      </c>
      <c r="E199" s="53" t="s">
        <v>103</v>
      </c>
      <c r="F199" s="54" t="n">
        <v>122.32</v>
      </c>
      <c r="G199" s="55"/>
      <c r="H199" s="56" t="str">
        <f aca="false">IF(ISBLANK(G199),"",IF(ISNUMBER(F199),ROUND(F199*G199,2),"Укажите цену"))</f>
        <v/>
      </c>
      <c r="I199" s="57" t="n">
        <v>82</v>
      </c>
      <c r="J199" s="76" t="n">
        <v>18.31</v>
      </c>
      <c r="K199" s="57" t="s">
        <v>402</v>
      </c>
      <c r="L199" s="57" t="s">
        <v>91</v>
      </c>
      <c r="M199" s="26" t="s">
        <v>92</v>
      </c>
      <c r="N199" s="57" t="n">
        <v>360</v>
      </c>
      <c r="O199" s="26" t="s">
        <v>620</v>
      </c>
      <c r="P199" s="58" t="n">
        <v>0.081</v>
      </c>
      <c r="Q199" s="108" t="s">
        <v>628</v>
      </c>
      <c r="R199" s="60" t="s">
        <v>617</v>
      </c>
      <c r="S199" s="73" t="s">
        <v>96</v>
      </c>
      <c r="T199" s="61"/>
    </row>
    <row r="200" customFormat="false" ht="30" hidden="false" customHeight="true" outlineLevel="1" collapsed="false">
      <c r="F200" s="109" t="s">
        <v>633</v>
      </c>
      <c r="G200" s="109"/>
      <c r="H200" s="109" t="n">
        <f aca="false">IF(COUNTIFS(H5:H199,"Укажите цену")&gt;0,"Укажите цены",SUM(H5:H199))</f>
        <v>0</v>
      </c>
    </row>
    <row r="201" customFormat="false" ht="50.1" hidden="false" customHeight="true" outlineLevel="0" collapsed="false">
      <c r="A201" s="110"/>
      <c r="D201" s="53"/>
      <c r="E201" s="53"/>
      <c r="I201" s="111"/>
      <c r="J201" s="112"/>
      <c r="K201" s="111"/>
      <c r="L201" s="34"/>
      <c r="M201" s="34"/>
      <c r="N201" s="34"/>
      <c r="O201" s="34"/>
      <c r="P201" s="113"/>
      <c r="Q201" s="34"/>
      <c r="T201" s="61"/>
    </row>
    <row r="202" customFormat="false" ht="50.1" hidden="false" customHeight="true" outlineLevel="0" collapsed="false">
      <c r="A202" s="110"/>
      <c r="D202" s="53"/>
      <c r="E202" s="53"/>
      <c r="I202" s="111"/>
      <c r="J202" s="112"/>
      <c r="K202" s="111"/>
      <c r="L202" s="34"/>
      <c r="M202" s="34"/>
      <c r="N202" s="34"/>
      <c r="O202" s="34"/>
      <c r="P202" s="113"/>
      <c r="Q202" s="34"/>
    </row>
    <row r="203" customFormat="false" ht="50.1" hidden="false" customHeight="true" outlineLevel="0" collapsed="false">
      <c r="P203" s="113"/>
    </row>
  </sheetData>
  <mergeCells count="808">
    <mergeCell ref="A1:R1"/>
    <mergeCell ref="A2:H2"/>
    <mergeCell ref="A4:H4"/>
    <mergeCell ref="A6:A7"/>
    <mergeCell ref="B6:B7"/>
    <mergeCell ref="C6:C7"/>
    <mergeCell ref="I6:I7"/>
    <mergeCell ref="J6:J7"/>
    <mergeCell ref="K6:K7"/>
    <mergeCell ref="L6:L7"/>
    <mergeCell ref="M6:M7"/>
    <mergeCell ref="N6:N7"/>
    <mergeCell ref="O6:O7"/>
    <mergeCell ref="P6:P7"/>
    <mergeCell ref="Q6:Q7"/>
    <mergeCell ref="R6:R7"/>
    <mergeCell ref="S6:S7"/>
    <mergeCell ref="A8:R8"/>
    <mergeCell ref="A9:H9"/>
    <mergeCell ref="A10:A11"/>
    <mergeCell ref="B10:B11"/>
    <mergeCell ref="C10:C11"/>
    <mergeCell ref="I10:I11"/>
    <mergeCell ref="J10:J11"/>
    <mergeCell ref="K10:K11"/>
    <mergeCell ref="L10:L11"/>
    <mergeCell ref="M10:M11"/>
    <mergeCell ref="N10:N11"/>
    <mergeCell ref="O10:O11"/>
    <mergeCell ref="P10:P11"/>
    <mergeCell ref="Q10:Q11"/>
    <mergeCell ref="R10:R11"/>
    <mergeCell ref="S10:S11"/>
    <mergeCell ref="A12:A13"/>
    <mergeCell ref="B12:B13"/>
    <mergeCell ref="C12:C13"/>
    <mergeCell ref="I12:I13"/>
    <mergeCell ref="J12:J13"/>
    <mergeCell ref="K12:K13"/>
    <mergeCell ref="L12:L13"/>
    <mergeCell ref="M12:M13"/>
    <mergeCell ref="N12:N13"/>
    <mergeCell ref="O12:O13"/>
    <mergeCell ref="P12:P13"/>
    <mergeCell ref="Q12:Q13"/>
    <mergeCell ref="R12:R13"/>
    <mergeCell ref="S12:S13"/>
    <mergeCell ref="A14:A15"/>
    <mergeCell ref="B14:B15"/>
    <mergeCell ref="C14:C15"/>
    <mergeCell ref="I14:I15"/>
    <mergeCell ref="J14:J15"/>
    <mergeCell ref="K14:K15"/>
    <mergeCell ref="L14:L15"/>
    <mergeCell ref="M14:M15"/>
    <mergeCell ref="N14:N15"/>
    <mergeCell ref="O14:O15"/>
    <mergeCell ref="P14:P15"/>
    <mergeCell ref="Q14:Q15"/>
    <mergeCell ref="R14:R15"/>
    <mergeCell ref="S14:S15"/>
    <mergeCell ref="A16:A17"/>
    <mergeCell ref="B16:B17"/>
    <mergeCell ref="C16:C17"/>
    <mergeCell ref="I16:I17"/>
    <mergeCell ref="J16:J17"/>
    <mergeCell ref="K16:K17"/>
    <mergeCell ref="L16:L17"/>
    <mergeCell ref="M16:M17"/>
    <mergeCell ref="N16:N17"/>
    <mergeCell ref="O16:O17"/>
    <mergeCell ref="P16:P17"/>
    <mergeCell ref="Q16:Q17"/>
    <mergeCell ref="R16:R17"/>
    <mergeCell ref="S16:S17"/>
    <mergeCell ref="A23:A24"/>
    <mergeCell ref="B23:B24"/>
    <mergeCell ref="C23:C24"/>
    <mergeCell ref="I23:I24"/>
    <mergeCell ref="J23:J24"/>
    <mergeCell ref="K23:K24"/>
    <mergeCell ref="L23:L24"/>
    <mergeCell ref="M23:M24"/>
    <mergeCell ref="N23:N24"/>
    <mergeCell ref="O23:O24"/>
    <mergeCell ref="P23:P24"/>
    <mergeCell ref="Q23:Q24"/>
    <mergeCell ref="R23:R24"/>
    <mergeCell ref="S23:S24"/>
    <mergeCell ref="A25:A26"/>
    <mergeCell ref="B25:B26"/>
    <mergeCell ref="C25:C26"/>
    <mergeCell ref="I25:I26"/>
    <mergeCell ref="J25:J26"/>
    <mergeCell ref="K25:K26"/>
    <mergeCell ref="L25:L26"/>
    <mergeCell ref="M25:M26"/>
    <mergeCell ref="N25:N26"/>
    <mergeCell ref="O25:O26"/>
    <mergeCell ref="P25:P26"/>
    <mergeCell ref="Q25:Q26"/>
    <mergeCell ref="R25:R26"/>
    <mergeCell ref="S25:S26"/>
    <mergeCell ref="A27:A28"/>
    <mergeCell ref="B27:B28"/>
    <mergeCell ref="C27:C28"/>
    <mergeCell ref="I27:I28"/>
    <mergeCell ref="J27:J28"/>
    <mergeCell ref="K27:K28"/>
    <mergeCell ref="L27:L28"/>
    <mergeCell ref="M27:M28"/>
    <mergeCell ref="N27:N28"/>
    <mergeCell ref="O27:O28"/>
    <mergeCell ref="P27:P28"/>
    <mergeCell ref="Q27:Q28"/>
    <mergeCell ref="R27:R28"/>
    <mergeCell ref="S27:S28"/>
    <mergeCell ref="A29:A30"/>
    <mergeCell ref="B29:B30"/>
    <mergeCell ref="C29:C30"/>
    <mergeCell ref="I29:I30"/>
    <mergeCell ref="J29:J30"/>
    <mergeCell ref="K29:K30"/>
    <mergeCell ref="L29:L30"/>
    <mergeCell ref="M29:M30"/>
    <mergeCell ref="N29:N30"/>
    <mergeCell ref="O29:O30"/>
    <mergeCell ref="P29:P30"/>
    <mergeCell ref="Q29:Q30"/>
    <mergeCell ref="R29:R30"/>
    <mergeCell ref="S29:S30"/>
    <mergeCell ref="A31:A32"/>
    <mergeCell ref="B31:B32"/>
    <mergeCell ref="C31:C32"/>
    <mergeCell ref="I31:I32"/>
    <mergeCell ref="J31:J32"/>
    <mergeCell ref="K31:K32"/>
    <mergeCell ref="L31:L32"/>
    <mergeCell ref="M31:M32"/>
    <mergeCell ref="N31:N32"/>
    <mergeCell ref="O31:O32"/>
    <mergeCell ref="P31:P32"/>
    <mergeCell ref="Q31:Q32"/>
    <mergeCell ref="R31:R32"/>
    <mergeCell ref="S31:S32"/>
    <mergeCell ref="A33:A34"/>
    <mergeCell ref="B33:B34"/>
    <mergeCell ref="C33:C34"/>
    <mergeCell ref="I33:I34"/>
    <mergeCell ref="J33:J34"/>
    <mergeCell ref="K33:K34"/>
    <mergeCell ref="L33:L34"/>
    <mergeCell ref="M33:M34"/>
    <mergeCell ref="N33:N34"/>
    <mergeCell ref="O33:O34"/>
    <mergeCell ref="P33:P34"/>
    <mergeCell ref="Q33:Q34"/>
    <mergeCell ref="R33:R34"/>
    <mergeCell ref="S33:S34"/>
    <mergeCell ref="A37:A38"/>
    <mergeCell ref="B37:B38"/>
    <mergeCell ref="C37:C38"/>
    <mergeCell ref="I37:I38"/>
    <mergeCell ref="J37:J38"/>
    <mergeCell ref="K37:K38"/>
    <mergeCell ref="L37:L38"/>
    <mergeCell ref="M37:M38"/>
    <mergeCell ref="N37:N38"/>
    <mergeCell ref="O37:O38"/>
    <mergeCell ref="P37:P38"/>
    <mergeCell ref="Q37:Q38"/>
    <mergeCell ref="R37:R38"/>
    <mergeCell ref="S37:S38"/>
    <mergeCell ref="A41:A42"/>
    <mergeCell ref="B41:B42"/>
    <mergeCell ref="C41:C42"/>
    <mergeCell ref="I41:I42"/>
    <mergeCell ref="J41:J42"/>
    <mergeCell ref="K41:K42"/>
    <mergeCell ref="L41:L42"/>
    <mergeCell ref="M41:M42"/>
    <mergeCell ref="N41:N42"/>
    <mergeCell ref="O41:O42"/>
    <mergeCell ref="P41:P42"/>
    <mergeCell ref="Q41:Q42"/>
    <mergeCell ref="R41:R42"/>
    <mergeCell ref="S41:S42"/>
    <mergeCell ref="A45:A46"/>
    <mergeCell ref="B45:B46"/>
    <mergeCell ref="C45:C46"/>
    <mergeCell ref="I45:I46"/>
    <mergeCell ref="J45:J46"/>
    <mergeCell ref="K45:K46"/>
    <mergeCell ref="L45:L46"/>
    <mergeCell ref="M45:M46"/>
    <mergeCell ref="N45:N46"/>
    <mergeCell ref="O45:O46"/>
    <mergeCell ref="P45:P46"/>
    <mergeCell ref="Q45:Q46"/>
    <mergeCell ref="R45:R46"/>
    <mergeCell ref="S45:S46"/>
    <mergeCell ref="A49:A50"/>
    <mergeCell ref="B49:B50"/>
    <mergeCell ref="C49:C50"/>
    <mergeCell ref="I49:I50"/>
    <mergeCell ref="J49:J50"/>
    <mergeCell ref="K49:K50"/>
    <mergeCell ref="L49:L50"/>
    <mergeCell ref="M49:M50"/>
    <mergeCell ref="N49:N50"/>
    <mergeCell ref="O49:O50"/>
    <mergeCell ref="P49:P50"/>
    <mergeCell ref="Q49:Q50"/>
    <mergeCell ref="R49:R50"/>
    <mergeCell ref="S49:S50"/>
    <mergeCell ref="A57:A58"/>
    <mergeCell ref="B57:B58"/>
    <mergeCell ref="C57:C58"/>
    <mergeCell ref="I57:I58"/>
    <mergeCell ref="J57:J58"/>
    <mergeCell ref="K57:K58"/>
    <mergeCell ref="L57:L58"/>
    <mergeCell ref="M57:M58"/>
    <mergeCell ref="N57:N58"/>
    <mergeCell ref="O57:O58"/>
    <mergeCell ref="P57:P58"/>
    <mergeCell ref="Q57:Q58"/>
    <mergeCell ref="R57:R58"/>
    <mergeCell ref="S57:S58"/>
    <mergeCell ref="A59:A60"/>
    <mergeCell ref="B59:B60"/>
    <mergeCell ref="C59:C60"/>
    <mergeCell ref="I59:I60"/>
    <mergeCell ref="J59:J60"/>
    <mergeCell ref="K59:K60"/>
    <mergeCell ref="L59:L60"/>
    <mergeCell ref="M59:M60"/>
    <mergeCell ref="N59:N60"/>
    <mergeCell ref="O59:O60"/>
    <mergeCell ref="P59:P60"/>
    <mergeCell ref="Q59:Q60"/>
    <mergeCell ref="R59:R60"/>
    <mergeCell ref="S59:S60"/>
    <mergeCell ref="A61:A62"/>
    <mergeCell ref="B61:B62"/>
    <mergeCell ref="C61:C62"/>
    <mergeCell ref="I61:I62"/>
    <mergeCell ref="J61:J62"/>
    <mergeCell ref="K61:K62"/>
    <mergeCell ref="L61:L62"/>
    <mergeCell ref="M61:M62"/>
    <mergeCell ref="N61:N62"/>
    <mergeCell ref="O61:O62"/>
    <mergeCell ref="P61:P62"/>
    <mergeCell ref="Q61:Q62"/>
    <mergeCell ref="R61:R62"/>
    <mergeCell ref="S61:S62"/>
    <mergeCell ref="A63:A64"/>
    <mergeCell ref="B63:B64"/>
    <mergeCell ref="C63:C64"/>
    <mergeCell ref="I63:I64"/>
    <mergeCell ref="J63:J64"/>
    <mergeCell ref="K63:K64"/>
    <mergeCell ref="L63:L64"/>
    <mergeCell ref="M63:M64"/>
    <mergeCell ref="N63:N64"/>
    <mergeCell ref="O63:O64"/>
    <mergeCell ref="P63:P64"/>
    <mergeCell ref="Q63:Q64"/>
    <mergeCell ref="R63:R64"/>
    <mergeCell ref="S63:S64"/>
    <mergeCell ref="A65:A66"/>
    <mergeCell ref="B65:B66"/>
    <mergeCell ref="C65:C66"/>
    <mergeCell ref="I65:I66"/>
    <mergeCell ref="J65:J66"/>
    <mergeCell ref="K65:K66"/>
    <mergeCell ref="L65:L66"/>
    <mergeCell ref="M65:M66"/>
    <mergeCell ref="N65:N66"/>
    <mergeCell ref="O65:O66"/>
    <mergeCell ref="P65:P66"/>
    <mergeCell ref="Q65:Q66"/>
    <mergeCell ref="R65:R66"/>
    <mergeCell ref="S65:S66"/>
    <mergeCell ref="A67:A68"/>
    <mergeCell ref="B67:B68"/>
    <mergeCell ref="C67:C68"/>
    <mergeCell ref="I67:I68"/>
    <mergeCell ref="J67:J68"/>
    <mergeCell ref="K67:K68"/>
    <mergeCell ref="L67:L68"/>
    <mergeCell ref="M67:M68"/>
    <mergeCell ref="N67:N68"/>
    <mergeCell ref="O67:O68"/>
    <mergeCell ref="P67:P68"/>
    <mergeCell ref="Q67:Q68"/>
    <mergeCell ref="R67:R68"/>
    <mergeCell ref="S67:S68"/>
    <mergeCell ref="A69:A70"/>
    <mergeCell ref="B69:B70"/>
    <mergeCell ref="C69:C70"/>
    <mergeCell ref="I69:I70"/>
    <mergeCell ref="J69:J70"/>
    <mergeCell ref="K69:K70"/>
    <mergeCell ref="L69:L70"/>
    <mergeCell ref="M69:M70"/>
    <mergeCell ref="N69:N70"/>
    <mergeCell ref="O69:O70"/>
    <mergeCell ref="P69:P70"/>
    <mergeCell ref="Q69:Q70"/>
    <mergeCell ref="R69:R70"/>
    <mergeCell ref="S69:S70"/>
    <mergeCell ref="A71:A72"/>
    <mergeCell ref="B71:B72"/>
    <mergeCell ref="C71:C72"/>
    <mergeCell ref="I71:I72"/>
    <mergeCell ref="J71:J72"/>
    <mergeCell ref="K71:K72"/>
    <mergeCell ref="L71:L72"/>
    <mergeCell ref="M71:M72"/>
    <mergeCell ref="N71:N72"/>
    <mergeCell ref="O71:O72"/>
    <mergeCell ref="P71:P72"/>
    <mergeCell ref="Q71:Q72"/>
    <mergeCell ref="R71:R72"/>
    <mergeCell ref="S71:S72"/>
    <mergeCell ref="A74:A75"/>
    <mergeCell ref="B74:B75"/>
    <mergeCell ref="C74:C75"/>
    <mergeCell ref="I74:I75"/>
    <mergeCell ref="J74:J75"/>
    <mergeCell ref="K74:K75"/>
    <mergeCell ref="L74:L75"/>
    <mergeCell ref="M74:M75"/>
    <mergeCell ref="N74:N75"/>
    <mergeCell ref="O74:O75"/>
    <mergeCell ref="P74:P75"/>
    <mergeCell ref="Q74:Q75"/>
    <mergeCell ref="R74:R75"/>
    <mergeCell ref="S74:S75"/>
    <mergeCell ref="A76:R76"/>
    <mergeCell ref="A77:H77"/>
    <mergeCell ref="A89:A90"/>
    <mergeCell ref="B89:B90"/>
    <mergeCell ref="C89:C90"/>
    <mergeCell ref="I89:I90"/>
    <mergeCell ref="J89:J90"/>
    <mergeCell ref="K89:K90"/>
    <mergeCell ref="L89:L90"/>
    <mergeCell ref="M89:M90"/>
    <mergeCell ref="N89:N90"/>
    <mergeCell ref="O89:O90"/>
    <mergeCell ref="P89:P90"/>
    <mergeCell ref="Q89:Q90"/>
    <mergeCell ref="R89:R90"/>
    <mergeCell ref="S89:S90"/>
    <mergeCell ref="A91:A92"/>
    <mergeCell ref="B91:B92"/>
    <mergeCell ref="C91:C92"/>
    <mergeCell ref="I91:I92"/>
    <mergeCell ref="J91:J92"/>
    <mergeCell ref="K91:K92"/>
    <mergeCell ref="L91:L92"/>
    <mergeCell ref="M91:M92"/>
    <mergeCell ref="N91:N92"/>
    <mergeCell ref="O91:O92"/>
    <mergeCell ref="P91:P92"/>
    <mergeCell ref="Q91:Q92"/>
    <mergeCell ref="R91:R92"/>
    <mergeCell ref="S91:S92"/>
    <mergeCell ref="A93:A94"/>
    <mergeCell ref="B93:B94"/>
    <mergeCell ref="C93:C94"/>
    <mergeCell ref="I93:I94"/>
    <mergeCell ref="J93:J94"/>
    <mergeCell ref="K93:K94"/>
    <mergeCell ref="L93:L94"/>
    <mergeCell ref="M93:M94"/>
    <mergeCell ref="N93:N94"/>
    <mergeCell ref="O93:O94"/>
    <mergeCell ref="P93:P94"/>
    <mergeCell ref="Q93:Q94"/>
    <mergeCell ref="R93:R94"/>
    <mergeCell ref="S93:S94"/>
    <mergeCell ref="A95:A96"/>
    <mergeCell ref="B95:B96"/>
    <mergeCell ref="C95:C96"/>
    <mergeCell ref="I95:I96"/>
    <mergeCell ref="J95:J96"/>
    <mergeCell ref="K95:K96"/>
    <mergeCell ref="L95:L96"/>
    <mergeCell ref="M95:M96"/>
    <mergeCell ref="N95:N96"/>
    <mergeCell ref="O95:O96"/>
    <mergeCell ref="P95:P96"/>
    <mergeCell ref="Q95:Q96"/>
    <mergeCell ref="R95:R96"/>
    <mergeCell ref="S95:S96"/>
    <mergeCell ref="A97:A98"/>
    <mergeCell ref="B97:B98"/>
    <mergeCell ref="C97:C98"/>
    <mergeCell ref="I97:I98"/>
    <mergeCell ref="J97:J98"/>
    <mergeCell ref="K97:K98"/>
    <mergeCell ref="L97:L98"/>
    <mergeCell ref="M97:M98"/>
    <mergeCell ref="N97:N98"/>
    <mergeCell ref="O97:O98"/>
    <mergeCell ref="P97:P98"/>
    <mergeCell ref="Q97:Q98"/>
    <mergeCell ref="R97:R98"/>
    <mergeCell ref="S97:S98"/>
    <mergeCell ref="A99:A100"/>
    <mergeCell ref="B99:B100"/>
    <mergeCell ref="C99:C100"/>
    <mergeCell ref="I99:I100"/>
    <mergeCell ref="J99:J100"/>
    <mergeCell ref="K99:K100"/>
    <mergeCell ref="L99:L100"/>
    <mergeCell ref="M99:M100"/>
    <mergeCell ref="N99:N100"/>
    <mergeCell ref="O99:O100"/>
    <mergeCell ref="P99:P100"/>
    <mergeCell ref="Q99:Q100"/>
    <mergeCell ref="R99:R100"/>
    <mergeCell ref="S99:S100"/>
    <mergeCell ref="A101:A102"/>
    <mergeCell ref="B101:B102"/>
    <mergeCell ref="C101:C102"/>
    <mergeCell ref="I101:I102"/>
    <mergeCell ref="J101:J102"/>
    <mergeCell ref="K101:K102"/>
    <mergeCell ref="L101:L102"/>
    <mergeCell ref="M101:M102"/>
    <mergeCell ref="N101:N102"/>
    <mergeCell ref="O101:O102"/>
    <mergeCell ref="P101:P102"/>
    <mergeCell ref="Q101:Q102"/>
    <mergeCell ref="R101:R102"/>
    <mergeCell ref="S101:S102"/>
    <mergeCell ref="A103:A104"/>
    <mergeCell ref="B103:B104"/>
    <mergeCell ref="C103:C104"/>
    <mergeCell ref="I103:I104"/>
    <mergeCell ref="J103:J104"/>
    <mergeCell ref="K103:K104"/>
    <mergeCell ref="L103:L104"/>
    <mergeCell ref="M103:M104"/>
    <mergeCell ref="N103:N104"/>
    <mergeCell ref="O103:O104"/>
    <mergeCell ref="P103:P104"/>
    <mergeCell ref="Q103:Q104"/>
    <mergeCell ref="R103:R104"/>
    <mergeCell ref="S103:S104"/>
    <mergeCell ref="A105:A106"/>
    <mergeCell ref="B105:B106"/>
    <mergeCell ref="C105:C106"/>
    <mergeCell ref="I105:I106"/>
    <mergeCell ref="J105:J106"/>
    <mergeCell ref="K105:K106"/>
    <mergeCell ref="L105:L106"/>
    <mergeCell ref="M105:M106"/>
    <mergeCell ref="N105:N106"/>
    <mergeCell ref="O105:O106"/>
    <mergeCell ref="P105:P106"/>
    <mergeCell ref="Q105:Q106"/>
    <mergeCell ref="R105:R106"/>
    <mergeCell ref="S105:S106"/>
    <mergeCell ref="A107:A108"/>
    <mergeCell ref="B107:B108"/>
    <mergeCell ref="C107:C108"/>
    <mergeCell ref="I107:I108"/>
    <mergeCell ref="J107:J108"/>
    <mergeCell ref="K107:K108"/>
    <mergeCell ref="L107:L108"/>
    <mergeCell ref="M107:M108"/>
    <mergeCell ref="N107:N108"/>
    <mergeCell ref="O107:O108"/>
    <mergeCell ref="P107:P108"/>
    <mergeCell ref="Q107:Q108"/>
    <mergeCell ref="R107:R108"/>
    <mergeCell ref="S107:S108"/>
    <mergeCell ref="A123:A124"/>
    <mergeCell ref="B123:B124"/>
    <mergeCell ref="C123:C124"/>
    <mergeCell ref="I123:I124"/>
    <mergeCell ref="J123:J124"/>
    <mergeCell ref="K123:K124"/>
    <mergeCell ref="L123:L124"/>
    <mergeCell ref="M123:M124"/>
    <mergeCell ref="N123:N124"/>
    <mergeCell ref="O123:O124"/>
    <mergeCell ref="P123:P124"/>
    <mergeCell ref="Q123:Q124"/>
    <mergeCell ref="R123:R124"/>
    <mergeCell ref="S123:S124"/>
    <mergeCell ref="A125:A126"/>
    <mergeCell ref="B125:B126"/>
    <mergeCell ref="C125:C126"/>
    <mergeCell ref="I125:I126"/>
    <mergeCell ref="J125:J126"/>
    <mergeCell ref="K125:K126"/>
    <mergeCell ref="L125:L126"/>
    <mergeCell ref="M125:M126"/>
    <mergeCell ref="N125:N126"/>
    <mergeCell ref="O125:O126"/>
    <mergeCell ref="P125:P126"/>
    <mergeCell ref="Q125:Q126"/>
    <mergeCell ref="R125:R126"/>
    <mergeCell ref="S125:S126"/>
    <mergeCell ref="A127:A128"/>
    <mergeCell ref="B127:B128"/>
    <mergeCell ref="C127:C128"/>
    <mergeCell ref="I127:I128"/>
    <mergeCell ref="J127:J128"/>
    <mergeCell ref="K127:K128"/>
    <mergeCell ref="L127:L128"/>
    <mergeCell ref="M127:M128"/>
    <mergeCell ref="N127:N128"/>
    <mergeCell ref="O127:O128"/>
    <mergeCell ref="P127:P128"/>
    <mergeCell ref="Q127:Q128"/>
    <mergeCell ref="R127:R128"/>
    <mergeCell ref="S127:S128"/>
    <mergeCell ref="A130:A131"/>
    <mergeCell ref="B130:B131"/>
    <mergeCell ref="C130:C131"/>
    <mergeCell ref="I130:I131"/>
    <mergeCell ref="J130:J131"/>
    <mergeCell ref="K130:K131"/>
    <mergeCell ref="L130:L131"/>
    <mergeCell ref="M130:M131"/>
    <mergeCell ref="N130:N131"/>
    <mergeCell ref="O130:O131"/>
    <mergeCell ref="P130:P131"/>
    <mergeCell ref="Q130:Q131"/>
    <mergeCell ref="R130:R131"/>
    <mergeCell ref="S130:S131"/>
    <mergeCell ref="A133:A134"/>
    <mergeCell ref="B133:B134"/>
    <mergeCell ref="C133:C134"/>
    <mergeCell ref="I133:I134"/>
    <mergeCell ref="J133:J134"/>
    <mergeCell ref="K133:K134"/>
    <mergeCell ref="L133:L134"/>
    <mergeCell ref="M133:M134"/>
    <mergeCell ref="N133:N134"/>
    <mergeCell ref="O133:O134"/>
    <mergeCell ref="P133:P134"/>
    <mergeCell ref="Q133:Q134"/>
    <mergeCell ref="R133:R134"/>
    <mergeCell ref="S133:S134"/>
    <mergeCell ref="A135:A136"/>
    <mergeCell ref="B135:B136"/>
    <mergeCell ref="C135:C136"/>
    <mergeCell ref="I135:I136"/>
    <mergeCell ref="J135:J136"/>
    <mergeCell ref="K135:K136"/>
    <mergeCell ref="L135:L136"/>
    <mergeCell ref="M135:M136"/>
    <mergeCell ref="N135:N136"/>
    <mergeCell ref="O135:O136"/>
    <mergeCell ref="P135:P136"/>
    <mergeCell ref="Q135:Q136"/>
    <mergeCell ref="R135:R136"/>
    <mergeCell ref="S135:S136"/>
    <mergeCell ref="A137:A138"/>
    <mergeCell ref="B137:B138"/>
    <mergeCell ref="C137:C138"/>
    <mergeCell ref="I137:I138"/>
    <mergeCell ref="J137:J138"/>
    <mergeCell ref="K137:K138"/>
    <mergeCell ref="L137:L138"/>
    <mergeCell ref="M137:M138"/>
    <mergeCell ref="N137:N138"/>
    <mergeCell ref="O137:O138"/>
    <mergeCell ref="P137:P138"/>
    <mergeCell ref="Q137:Q138"/>
    <mergeCell ref="R137:R138"/>
    <mergeCell ref="S137:S138"/>
    <mergeCell ref="A139:A140"/>
    <mergeCell ref="B139:B140"/>
    <mergeCell ref="C139:C140"/>
    <mergeCell ref="I139:I140"/>
    <mergeCell ref="J139:J140"/>
    <mergeCell ref="K139:K140"/>
    <mergeCell ref="L139:L140"/>
    <mergeCell ref="M139:M140"/>
    <mergeCell ref="N139:N140"/>
    <mergeCell ref="O139:O140"/>
    <mergeCell ref="P139:P140"/>
    <mergeCell ref="Q139:Q140"/>
    <mergeCell ref="R139:R140"/>
    <mergeCell ref="S139:S140"/>
    <mergeCell ref="A141:A142"/>
    <mergeCell ref="B141:B142"/>
    <mergeCell ref="C141:C142"/>
    <mergeCell ref="I141:I142"/>
    <mergeCell ref="J141:J142"/>
    <mergeCell ref="K141:K142"/>
    <mergeCell ref="L141:L142"/>
    <mergeCell ref="M141:M142"/>
    <mergeCell ref="N141:N142"/>
    <mergeCell ref="O141:O142"/>
    <mergeCell ref="P141:P142"/>
    <mergeCell ref="Q141:Q142"/>
    <mergeCell ref="R141:R142"/>
    <mergeCell ref="S141:S142"/>
    <mergeCell ref="A143:A144"/>
    <mergeCell ref="B143:B144"/>
    <mergeCell ref="C143:C144"/>
    <mergeCell ref="I143:I144"/>
    <mergeCell ref="J143:J144"/>
    <mergeCell ref="K143:K144"/>
    <mergeCell ref="L143:L144"/>
    <mergeCell ref="M143:M144"/>
    <mergeCell ref="N143:N144"/>
    <mergeCell ref="O143:O144"/>
    <mergeCell ref="P143:P144"/>
    <mergeCell ref="Q143:Q144"/>
    <mergeCell ref="R143:R144"/>
    <mergeCell ref="S143:S144"/>
    <mergeCell ref="A145:A146"/>
    <mergeCell ref="B145:B146"/>
    <mergeCell ref="C145:C146"/>
    <mergeCell ref="I145:I146"/>
    <mergeCell ref="J145:J146"/>
    <mergeCell ref="K145:K146"/>
    <mergeCell ref="L145:L146"/>
    <mergeCell ref="M145:M146"/>
    <mergeCell ref="N145:N146"/>
    <mergeCell ref="O145:O146"/>
    <mergeCell ref="P145:P146"/>
    <mergeCell ref="Q145:Q146"/>
    <mergeCell ref="R145:R146"/>
    <mergeCell ref="S145:S146"/>
    <mergeCell ref="A150:A151"/>
    <mergeCell ref="B150:B151"/>
    <mergeCell ref="C150:C151"/>
    <mergeCell ref="I150:I151"/>
    <mergeCell ref="J150:J151"/>
    <mergeCell ref="K150:K151"/>
    <mergeCell ref="L150:L151"/>
    <mergeCell ref="M150:M151"/>
    <mergeCell ref="N150:N151"/>
    <mergeCell ref="O150:O151"/>
    <mergeCell ref="P150:P151"/>
    <mergeCell ref="Q150:Q151"/>
    <mergeCell ref="R150:R151"/>
    <mergeCell ref="S150:S151"/>
    <mergeCell ref="A152:A153"/>
    <mergeCell ref="B152:B153"/>
    <mergeCell ref="C152:C153"/>
    <mergeCell ref="I152:I153"/>
    <mergeCell ref="J152:J153"/>
    <mergeCell ref="K152:K153"/>
    <mergeCell ref="L152:L153"/>
    <mergeCell ref="M152:M153"/>
    <mergeCell ref="N152:N153"/>
    <mergeCell ref="O152:O153"/>
    <mergeCell ref="P152:P153"/>
    <mergeCell ref="Q152:Q153"/>
    <mergeCell ref="R152:R153"/>
    <mergeCell ref="S152:S153"/>
    <mergeCell ref="A161:A162"/>
    <mergeCell ref="B161:B162"/>
    <mergeCell ref="C161:C162"/>
    <mergeCell ref="I161:I162"/>
    <mergeCell ref="J161:J162"/>
    <mergeCell ref="K161:K162"/>
    <mergeCell ref="L161:L162"/>
    <mergeCell ref="M161:M162"/>
    <mergeCell ref="N161:N162"/>
    <mergeCell ref="O161:O162"/>
    <mergeCell ref="P161:P162"/>
    <mergeCell ref="Q161:Q162"/>
    <mergeCell ref="R161:R162"/>
    <mergeCell ref="S161:S162"/>
    <mergeCell ref="Q163:Q165"/>
    <mergeCell ref="Q166:Q167"/>
    <mergeCell ref="A168:A169"/>
    <mergeCell ref="B168:B169"/>
    <mergeCell ref="C168:C169"/>
    <mergeCell ref="I168:I169"/>
    <mergeCell ref="J168:J169"/>
    <mergeCell ref="K168:K169"/>
    <mergeCell ref="L168:L169"/>
    <mergeCell ref="M168:M169"/>
    <mergeCell ref="N168:N169"/>
    <mergeCell ref="O168:O169"/>
    <mergeCell ref="P168:P169"/>
    <mergeCell ref="Q168:Q169"/>
    <mergeCell ref="R168:R169"/>
    <mergeCell ref="S168:S169"/>
    <mergeCell ref="A170:A171"/>
    <mergeCell ref="B170:B171"/>
    <mergeCell ref="C170:C171"/>
    <mergeCell ref="I170:I171"/>
    <mergeCell ref="J170:J171"/>
    <mergeCell ref="K170:K171"/>
    <mergeCell ref="L170:L171"/>
    <mergeCell ref="M170:M171"/>
    <mergeCell ref="N170:N171"/>
    <mergeCell ref="O170:O171"/>
    <mergeCell ref="P170:P171"/>
    <mergeCell ref="Q170:Q171"/>
    <mergeCell ref="R170:R171"/>
    <mergeCell ref="S170:S171"/>
    <mergeCell ref="A172:A173"/>
    <mergeCell ref="B172:B173"/>
    <mergeCell ref="C172:C173"/>
    <mergeCell ref="I172:I173"/>
    <mergeCell ref="J172:J173"/>
    <mergeCell ref="K172:K173"/>
    <mergeCell ref="L172:L173"/>
    <mergeCell ref="M172:M173"/>
    <mergeCell ref="N172:N173"/>
    <mergeCell ref="O172:O173"/>
    <mergeCell ref="P172:P173"/>
    <mergeCell ref="Q172:Q173"/>
    <mergeCell ref="R172:R173"/>
    <mergeCell ref="S172:S173"/>
    <mergeCell ref="A174:A175"/>
    <mergeCell ref="B174:B175"/>
    <mergeCell ref="C174:C175"/>
    <mergeCell ref="I174:I175"/>
    <mergeCell ref="J174:J175"/>
    <mergeCell ref="K174:K175"/>
    <mergeCell ref="L174:L175"/>
    <mergeCell ref="M174:M175"/>
    <mergeCell ref="N174:N175"/>
    <mergeCell ref="O174:O175"/>
    <mergeCell ref="P174:P175"/>
    <mergeCell ref="Q174:Q175"/>
    <mergeCell ref="R174:R175"/>
    <mergeCell ref="S174:S175"/>
    <mergeCell ref="A176:A177"/>
    <mergeCell ref="B176:B177"/>
    <mergeCell ref="C176:C177"/>
    <mergeCell ref="I176:I177"/>
    <mergeCell ref="J176:J177"/>
    <mergeCell ref="K176:K177"/>
    <mergeCell ref="L176:L177"/>
    <mergeCell ref="M176:M177"/>
    <mergeCell ref="N176:N177"/>
    <mergeCell ref="O176:O177"/>
    <mergeCell ref="P176:P177"/>
    <mergeCell ref="Q176:Q177"/>
    <mergeCell ref="R176:R177"/>
    <mergeCell ref="S176:S177"/>
    <mergeCell ref="A178:A179"/>
    <mergeCell ref="B178:B179"/>
    <mergeCell ref="C178:C179"/>
    <mergeCell ref="I178:I179"/>
    <mergeCell ref="J178:J179"/>
    <mergeCell ref="K178:K179"/>
    <mergeCell ref="L178:L179"/>
    <mergeCell ref="M178:M179"/>
    <mergeCell ref="N178:N179"/>
    <mergeCell ref="O178:O179"/>
    <mergeCell ref="P178:P179"/>
    <mergeCell ref="Q178:Q179"/>
    <mergeCell ref="R178:R179"/>
    <mergeCell ref="S178:S179"/>
    <mergeCell ref="A185:A186"/>
    <mergeCell ref="B185:B186"/>
    <mergeCell ref="C185:C186"/>
    <mergeCell ref="I185:I186"/>
    <mergeCell ref="J185:J186"/>
    <mergeCell ref="K185:K186"/>
    <mergeCell ref="L185:L186"/>
    <mergeCell ref="M185:M186"/>
    <mergeCell ref="N185:N186"/>
    <mergeCell ref="O185:O186"/>
    <mergeCell ref="P185:P186"/>
    <mergeCell ref="Q185:Q186"/>
    <mergeCell ref="R185:R186"/>
    <mergeCell ref="S185:S186"/>
    <mergeCell ref="A187:A188"/>
    <mergeCell ref="B187:B188"/>
    <mergeCell ref="C187:C188"/>
    <mergeCell ref="I187:I188"/>
    <mergeCell ref="J187:J188"/>
    <mergeCell ref="K187:K188"/>
    <mergeCell ref="L187:L188"/>
    <mergeCell ref="M187:M188"/>
    <mergeCell ref="N187:N188"/>
    <mergeCell ref="O187:O188"/>
    <mergeCell ref="P187:P188"/>
    <mergeCell ref="Q187:Q188"/>
    <mergeCell ref="R187:R188"/>
    <mergeCell ref="S187:S188"/>
    <mergeCell ref="A189:A190"/>
    <mergeCell ref="B189:B190"/>
    <mergeCell ref="C189:C190"/>
    <mergeCell ref="I189:I190"/>
    <mergeCell ref="J189:J190"/>
    <mergeCell ref="K189:K190"/>
    <mergeCell ref="L189:L190"/>
    <mergeCell ref="M189:M190"/>
    <mergeCell ref="N189:N190"/>
    <mergeCell ref="O189:O190"/>
    <mergeCell ref="P189:P190"/>
    <mergeCell ref="Q189:Q190"/>
    <mergeCell ref="R189:R190"/>
    <mergeCell ref="S189:S190"/>
    <mergeCell ref="F200:G200"/>
  </mergeCells>
  <hyperlinks>
    <hyperlink ref="R5" r:id="rId1" display="http://hoco.i234.me:8000/sharing/sNZRr3fRn"/>
    <hyperlink ref="R6" r:id="rId2" display="http://hoco.i234.me:8000/sharing/lvPYWc2jK"/>
    <hyperlink ref="R10" r:id="rId3" display="http://gofile.me/649X4/YnLPowi3z"/>
    <hyperlink ref="R12" r:id="rId4" display="http://gofile.me/649X4/GpiR1G2df"/>
    <hyperlink ref="R14" r:id="rId5" display="http://gofile.me/649X4/hHleggMEF"/>
    <hyperlink ref="R16" r:id="rId6" display="http://gofile.me/649X4/3w2Zbpruf"/>
    <hyperlink ref="R18" r:id="rId7" display="http://gofile.me/649X4/mskdmNlba"/>
    <hyperlink ref="R19" r:id="rId8" display="http://gofile.me/649X4/Z1r8DJUvJ"/>
    <hyperlink ref="R20" r:id="rId9" display="http://gofile.me/649X4/QgGyAHsWJ"/>
    <hyperlink ref="R21" r:id="rId10" display="http://gofile.me/649X4/KzEoCFGSK"/>
    <hyperlink ref="R22" r:id="rId11" display="http://gofile.me/649X4/TTkX61W2n"/>
    <hyperlink ref="R23" r:id="rId12" display="http://gofile.me/649X4/uT2FPKWKU"/>
    <hyperlink ref="R25" r:id="rId13" display="http://gofile.me/649X4/VVZANAITg"/>
    <hyperlink ref="R27" r:id="rId14" display="http://gofile.me/649X4/47TpJyq79"/>
    <hyperlink ref="R29" r:id="rId15" display="http://gofile.me/649X4/2JmZ41xHB"/>
    <hyperlink ref="R31" r:id="rId16" display="http://gofile.me/649X4/krD6GeIhn"/>
    <hyperlink ref="R33" r:id="rId17" display="http://gofile.me/649X4/r8CPZvrOw"/>
    <hyperlink ref="R35" r:id="rId18" display="http://gofile.me/649X4/pp0RG5Udq"/>
    <hyperlink ref="R36" r:id="rId19" display="http://gofile.me/649X4/pp0RG5Udq"/>
    <hyperlink ref="R37" r:id="rId20" display="http://gofile.me/649X4/DFnEAdxfK"/>
    <hyperlink ref="R39" r:id="rId21" display="http://gofile.me/649X4/Kt4h0cLvg"/>
    <hyperlink ref="R40" r:id="rId22" display="http://gofile.me/649X4/Kt4h0cLvg"/>
    <hyperlink ref="R41" r:id="rId23" display="http://gofile.me/649X4/yh8shi7zr"/>
    <hyperlink ref="R43" r:id="rId24" display="http://gofile.me/649X4/1bCN6yNl1"/>
    <hyperlink ref="R44" r:id="rId25" display="http://gofile.me/649X4/1bCN6yNl1"/>
    <hyperlink ref="R45" r:id="rId26" display="http://gofile.me/649X4/SalYxwIJY"/>
    <hyperlink ref="R47" r:id="rId27" display="http://gofile.me/649X4/cjJxdF8lS"/>
    <hyperlink ref="R48" r:id="rId28" display="http://gofile.me/649X4/cjJxdF8lS"/>
    <hyperlink ref="R49" r:id="rId29" display="http://gofile.me/649X4/pjgwiJJ4T"/>
    <hyperlink ref="R51" r:id="rId30" display="http://gofile.me/649X4/imeUDX1Ma"/>
    <hyperlink ref="R52" r:id="rId31" display="http://gofile.me/649X4/imeUDX1Ma"/>
    <hyperlink ref="R53" r:id="rId32" display="http://gofile.me/649X4/9m1XzPnHS"/>
    <hyperlink ref="R54" r:id="rId33" display="http://gofile.me/649X4/OVH5WY0SY"/>
    <hyperlink ref="R55" r:id="rId34" display="http://gofile.me/649X4/WbHyMIN89"/>
    <hyperlink ref="R56" r:id="rId35" display="http://hoco.i234.me:8000/sharing/NFPcCt3Gu"/>
    <hyperlink ref="S56" r:id="rId36" display="http://gofile.me/649X4/njc0p84x0"/>
    <hyperlink ref="R57" r:id="rId37" display="http://hoco.i234.me:8000/sharing/XOJCdZIKO"/>
    <hyperlink ref="S57" r:id="rId38" display="http://gofile.me/649X4/njc0p84x0"/>
    <hyperlink ref="R59" r:id="rId39" display="http://hoco.i234.me:8000/sharing/yv5KqajG3"/>
    <hyperlink ref="S59" r:id="rId40" display="http://gofile.me/649X4/njc0p84x0"/>
    <hyperlink ref="R61" r:id="rId41" display="http://hoco.i234.me:8000/sharing/BnKscCOsO"/>
    <hyperlink ref="S61" r:id="rId42" display="http://gofile.me/649X4/0Acdqa779"/>
    <hyperlink ref="R63" r:id="rId43" display="http://hoco.i234.me:8000/sharing/lvbojUFD8"/>
    <hyperlink ref="S63" r:id="rId44" display="http://gofile.me/649X4/0Acdqa779"/>
    <hyperlink ref="R65" r:id="rId45" display="http://hoco.i234.me:8000/sharing/xUEFQ1gZX"/>
    <hyperlink ref="S65" r:id="rId46" display="http://gofile.me/649X4/0Acdqa779"/>
    <hyperlink ref="R67" r:id="rId47" display="http://hoco.i234.me:8000/sharing/ktt9mz6t2"/>
    <hyperlink ref="S67" r:id="rId48" display="http://gofile.me/649X4/0Acdqa779"/>
    <hyperlink ref="R69" r:id="rId49" display="http://hoco.i234.me:8000/sharing/qapxVBVgY"/>
    <hyperlink ref="S69" r:id="rId50" display="http://gofile.me/649X4/0Acdqa779"/>
    <hyperlink ref="R71" r:id="rId51" display="http://hoco.i234.me:8000/sharing/NeB1fGSd6"/>
    <hyperlink ref="S71" r:id="rId52" display="http://gofile.me/649X4/Fd43WmWvS"/>
    <hyperlink ref="R73" r:id="rId53" display="http://hoco.i234.me:8000/sharing/RFjD4e0Rl"/>
    <hyperlink ref="S73" r:id="rId54" display="http://gofile.me/649X4/Fd43WmWvS"/>
    <hyperlink ref="R74" r:id="rId55" display="http://hoco.i234.me:8000/sharing/tgGUw9WnF"/>
    <hyperlink ref="S74" r:id="rId56" display="http://gofile.me/649X4/Fd43WmWvS"/>
    <hyperlink ref="R78" r:id="rId57" display="http://gofile.me/649X4/q1kzSXuTR"/>
    <hyperlink ref="R79" r:id="rId58" display="http://gofile.me/649X4/oF2jYF4Cj"/>
    <hyperlink ref="R80" r:id="rId59" display="http://gofile.me/649X4/4pDNXIbA5"/>
    <hyperlink ref="R81" r:id="rId60" display="http://gofile.me/649X4/yp8gRmj9e"/>
    <hyperlink ref="R82" r:id="rId61" display="http://gofile.me/649X4/DZAxm8B66"/>
    <hyperlink ref="R83" r:id="rId62" display="http://gofile.me/649X4/4vyzUc70z"/>
    <hyperlink ref="R84" r:id="rId63" display="http://gofile.me/649X4/r408q2GcF"/>
    <hyperlink ref="R85" r:id="rId64" display="http://gofile.me/649X4/Y1hAnIMQy"/>
    <hyperlink ref="R86" r:id="rId65" display="http://gofile.me/649X4/AZ2A7W3RN"/>
    <hyperlink ref="R87" r:id="rId66" display="http://gofile.me/649X4/Gzb3NNMFW"/>
    <hyperlink ref="R88" r:id="rId67" display="http://gofile.me/649X4/lAtZC63b4"/>
    <hyperlink ref="R89" r:id="rId68" display="http://gofile.me/649X4/uoR6Mr59t"/>
    <hyperlink ref="R91" r:id="rId69" display="http://gofile.me/649X4/Zd7qurxuT"/>
    <hyperlink ref="R93" r:id="rId70" display="http://gofile.me/649X4/k2fWNFJ1s"/>
    <hyperlink ref="R95" r:id="rId71" display="http://gofile.me/649X4/BTMQzFW8V"/>
    <hyperlink ref="R97" r:id="rId72" display="http://gofile.me/649X4/PCtU802Of"/>
    <hyperlink ref="R99" r:id="rId73" display="http://gofile.me/649X4/uoR6Mr59t"/>
    <hyperlink ref="R101" r:id="rId74" display="http://gofile.me/649X4/Zd7qurxuT"/>
    <hyperlink ref="R103" r:id="rId75" display="http://gofile.me/649X4/k2fWNFJ1s"/>
    <hyperlink ref="R105" r:id="rId76" display="http://gofile.me/649X4/BTMQzFW8V"/>
    <hyperlink ref="R107" r:id="rId77" display="http://gofile.me/649X4/PCtU802Of"/>
    <hyperlink ref="R109" r:id="rId78" display="http://gofile.me/649X4/tCenZCLYN"/>
    <hyperlink ref="R110" r:id="rId79" display="http://gofile.me/649X4/l5cAM9nQk"/>
    <hyperlink ref="R111" r:id="rId80" display="http://gofile.me/649X4/9mQWEXKC7"/>
    <hyperlink ref="R112" r:id="rId81" display="http://gofile.me/649X4/7eJgCQgwJ"/>
    <hyperlink ref="R113" r:id="rId82" display="http://gofile.me/649X4/puGyWKwLy"/>
    <hyperlink ref="R114" r:id="rId83" display="http://gofile.me/649X4/tCenZCLYN"/>
    <hyperlink ref="R115" r:id="rId84" display="http://gofile.me/649X4/l5cAM9nQk"/>
    <hyperlink ref="R116" r:id="rId85" display="http://gofile.me/649X4/9mQWEXKC7"/>
    <hyperlink ref="R117" r:id="rId86" display="http://gofile.me/649X4/7eJgCQgwJ"/>
    <hyperlink ref="R118" r:id="rId87" display="http://gofile.me/649X4/puGyWKwLy"/>
    <hyperlink ref="R119" r:id="rId88" display="http://gofile.me/649X4/xocjW8MF5"/>
    <hyperlink ref="R120" r:id="rId89" display="http://gofile.me/649X4/hzii58BF6"/>
    <hyperlink ref="R121" r:id="rId90" display="http://gofile.me/649X4/dKGYshKaC"/>
    <hyperlink ref="R122" r:id="rId91" display="http://gofile.me/649X4/G83fZdDnO"/>
    <hyperlink ref="R123" r:id="rId92" display="http://gofile.me/649X4/deEbTEDwO"/>
    <hyperlink ref="R125" r:id="rId93" display="http://gofile.me/649X4/pllsosoJ1"/>
    <hyperlink ref="R127" r:id="rId94" display="http://gofile.me/649X4/XBtg0TGTE"/>
    <hyperlink ref="R129" r:id="rId95" display="http://gofile.me/649X4/EfMnVTM4t"/>
    <hyperlink ref="R130" r:id="rId96" display="http://gofile.me/649X4/4MUqJ7D8R"/>
    <hyperlink ref="R132" r:id="rId97" display="http://gofile.me/649X4/sP6woHVgZ"/>
    <hyperlink ref="R133" r:id="rId98" display="http://gofile.me/649X4/rIKPqbCUD"/>
    <hyperlink ref="R135" r:id="rId99" display="http://gofile.me/649X4/kmPXWTUwB"/>
    <hyperlink ref="R137" r:id="rId100" display="http://gofile.me/649X4/EfMnVTM4t"/>
    <hyperlink ref="R139" r:id="rId101" display="http://gofile.me/649X4/4MUqJ7D8R"/>
    <hyperlink ref="R141" r:id="rId102" display="http://gofile.me/649X4/sP6woHVgZ"/>
    <hyperlink ref="R143" r:id="rId103" display="http://gofile.me/649X4/rIKPqbCUD"/>
    <hyperlink ref="R145" r:id="rId104" display="http://gofile.me/649X4/kmPXWTUwB"/>
    <hyperlink ref="R147" r:id="rId105" display="http://gofile.me/649X4/D0srRikvd"/>
    <hyperlink ref="R148" r:id="rId106" display="http://gofile.me/649X4/gDC7SYmip"/>
    <hyperlink ref="R149" r:id="rId107" display="http://gofile.me/649X4/o8Cqw3Qti"/>
    <hyperlink ref="R150" r:id="rId108" display="http://gofile.me/649X4/EaTbApLAd"/>
    <hyperlink ref="R152" r:id="rId109" display="http://gofile.me/649X4/jHlMOO34e"/>
    <hyperlink ref="S152" r:id="rId110" display="http://gofile.me/649X4/EvEX6Sr1s"/>
    <hyperlink ref="R154" r:id="rId111" display="http://gofile.me/649X4/BW2zQkInv"/>
    <hyperlink ref="S154" r:id="rId112" display="http://gofile.me/649X4/EvEX6Sr1s"/>
    <hyperlink ref="R155" r:id="rId113" display="http://gofile.me/649X4/W2xpwSCo7"/>
    <hyperlink ref="R156" r:id="rId114" display="http://gofile.me/649X4/EkOciVtJZ"/>
    <hyperlink ref="R157" r:id="rId115" display="http://gofile.me/649X4/1bw82ZQEd"/>
    <hyperlink ref="R158" r:id="rId116" display="http://gofile.me/649X4/1gLqqFrME"/>
    <hyperlink ref="R159" r:id="rId117" display="http://gofile.me/649X4/Gy9ZMhXr4"/>
    <hyperlink ref="R160" r:id="rId118" display="http://hoco.i234.me:8000/sharing/AJaOPgW07"/>
    <hyperlink ref="S160" r:id="rId119" display="http://gofile.me/649X4/jaHiUNbYa"/>
    <hyperlink ref="R161" r:id="rId120" display="http://hoco.i234.me:8000/sharing/rJzUObUYl"/>
    <hyperlink ref="S161" r:id="rId121" display="http://gofile.me/649X4/jaHiUNbYa"/>
    <hyperlink ref="R163" r:id="rId122" display="http://gofile.me/649X4/EWrgnl2R2"/>
    <hyperlink ref="S163" r:id="rId123" display="http://gofile.me/649X4/xyiFPo9vd"/>
    <hyperlink ref="R164" r:id="rId124" display="http://hoco.i234.me:8000/sharing/o4oDiqkbq"/>
    <hyperlink ref="S164" r:id="rId125" display="http://gofile.me/649X4/xyiFPo9vd"/>
    <hyperlink ref="R165" r:id="rId126" display="http://hoco.i234.me:8000/sharing/G8ks8neDx"/>
    <hyperlink ref="S165" r:id="rId127" display="http://gofile.me/649X4/xyiFPo9vd"/>
    <hyperlink ref="R166" r:id="rId128" display="http://gofile.me/649X4/EWrgnl2R2"/>
    <hyperlink ref="S166" r:id="rId129" display="http://gofile.me/649X4/xyiFPo9vd"/>
    <hyperlink ref="R167" r:id="rId130" display="http://hoco.i234.me:8000/sharing/G8ks8neDx"/>
    <hyperlink ref="S167" r:id="rId131" display="http://gofile.me/649X4/xyiFPo9vd"/>
    <hyperlink ref="R168" r:id="rId132" display="http://hoco.i234.me:8000/sharing/RksaSe3bT"/>
    <hyperlink ref="S168" r:id="rId133" display="http://gofile.me/649X4/lBZs0kMOA"/>
    <hyperlink ref="R170" r:id="rId134" display="http://hoco.i234.me:8000/sharing/JJkmgqzrd"/>
    <hyperlink ref="S170" r:id="rId135" display="http://gofile.me/649X4/lBZs0kMOA"/>
    <hyperlink ref="R172" r:id="rId136" display="http://hoco.i234.me:8000/sharing/5HN7y6gSc"/>
    <hyperlink ref="S172" r:id="rId137" display="http://gofile.me/649X4/lBZs0kMOA"/>
    <hyperlink ref="R174" r:id="rId138" display="http://hoco.i234.me:8000/sharing/Jj6BGUeYK"/>
    <hyperlink ref="S174" r:id="rId139" display="http://gofile.me/649X4/lBZs0kMOA"/>
    <hyperlink ref="R176" r:id="rId140" display="http://hoco.i234.me:8000/sharing/9sBA7UgCM"/>
    <hyperlink ref="S176" r:id="rId141" display="http://gofile.me/649X4/lBZs0kMOA"/>
    <hyperlink ref="R178" r:id="rId142" display="http://hoco.i234.me:8000/sharing/9sBA7UgCM"/>
    <hyperlink ref="S178" r:id="rId143" display="http://gofile.me/649X4/lBZs0kMOA"/>
    <hyperlink ref="R180" r:id="rId144" display="http://hoco.i234.me:8000/sharing/bR0axzZPE"/>
    <hyperlink ref="R181" r:id="rId145" display="http://hoco.i234.me:8000/sharing/4lqLNjX3R"/>
    <hyperlink ref="R182" r:id="rId146" display="http://hoco.i234.me:8000/sharing/HjSrrfcDt"/>
    <hyperlink ref="R183" r:id="rId147" display="http://hoco.i234.me:8000/sharing/9RBlLWOiG"/>
    <hyperlink ref="R184" r:id="rId148" display="http://hoco.i234.me:8000/sharing/gNxmPODyF"/>
    <hyperlink ref="R185" r:id="rId149" display="http://hoco.i234.me:8000/sharing/6lsjjo1EE"/>
    <hyperlink ref="R187" r:id="rId150" display="http://hoco.i234.me:8000/sharing/EsGyedwdM"/>
    <hyperlink ref="R189" r:id="rId151" display="http://hoco.i234.me:8000/sharing/qcrlzgCaS"/>
    <hyperlink ref="R191" r:id="rId152" display="http://hoco.i234.me:8000/sharing/AoCbnpWuv"/>
    <hyperlink ref="R192" r:id="rId153" display="http://hoco.i234.me:8000/sharing/wIhU8HQNd"/>
    <hyperlink ref="R193" r:id="rId154" display="http://hoco.i234.me:8000/sharing/TVJM8lYXN"/>
    <hyperlink ref="R194" r:id="rId155" display="http://hoco.i234.me:8000/sharing/AoCbnpWuv"/>
    <hyperlink ref="R195" r:id="rId156" display="http://hoco.i234.me:8000/sharing/wIhU8HQNd"/>
    <hyperlink ref="R196" r:id="rId157" display="http://hoco.i234.me:8000/sharing/TVJM8lYXN"/>
    <hyperlink ref="R197" r:id="rId158" display="http://hoco.i234.me:8000/sharing/AoCbnpWuv"/>
    <hyperlink ref="R198" r:id="rId159" display="http://hoco.i234.me:8000/sharing/wIhU8HQNd"/>
    <hyperlink ref="R199" r:id="rId160" display="http://hoco.i234.me:8000/sharing/TVJM8lYXN"/>
  </hyperlinks>
  <printOptions headings="false" gridLines="false" gridLinesSet="true" horizontalCentered="false" verticalCentered="false"/>
  <pageMargins left="0.279861111111111" right="0.240277777777778" top="0.196527777777778" bottom="0.196527777777778" header="0.511811023622047" footer="0.196527777777778"/>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17" manualBreakCount="17">
    <brk id="13" man="true" max="16383" min="0"/>
    <brk id="22" man="true" max="16383" min="0"/>
    <brk id="35" man="true" max="16383" min="0"/>
    <brk id="44" man="true" max="16383" min="0"/>
    <brk id="64" man="true" max="16383" min="0"/>
    <brk id="78" man="true" max="16383" min="0"/>
    <brk id="85" man="true" max="16383" min="0"/>
    <brk id="96" man="true" max="16383" min="0"/>
    <brk id="116" man="true" max="16383" min="0"/>
    <brk id="124" man="true" max="16383" min="0"/>
    <brk id="136" man="true" max="16383" min="0"/>
    <brk id="148" man="true" max="16383" min="0"/>
    <brk id="156" man="true" max="16383" min="0"/>
    <brk id="162" man="true" max="16383" min="0"/>
    <brk id="169" man="true" max="16383" min="0"/>
    <brk id="181" man="true" max="16383" min="0"/>
    <brk id="199" man="true" max="16383" min="0"/>
  </rowBreaks>
  <drawing r:id="rId16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276"/>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114" width="46"/>
    <col collapsed="false" customWidth="true" hidden="false" outlineLevel="0" max="3" min="2" style="34" width="18"/>
    <col collapsed="false" customWidth="true" hidden="false" outlineLevel="0" max="4" min="4" style="39" width="20"/>
    <col collapsed="false" customWidth="true" hidden="false" outlineLevel="0" max="5" min="5" style="115"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9" min="9" style="115" width="6.63"/>
    <col collapsed="false" customWidth="true" hidden="false" outlineLevel="0" max="10" min="10" style="115" width="6.75"/>
    <col collapsed="false" customWidth="true" hidden="false" outlineLevel="0" max="11" min="11" style="39" width="11.2"/>
    <col collapsed="false" customWidth="true" hidden="false" outlineLevel="0" max="12" min="12" style="39" width="7"/>
    <col collapsed="false" customWidth="true" hidden="false" outlineLevel="0" max="13" min="13" style="39" width="10.7"/>
    <col collapsed="false" customWidth="true" hidden="false" outlineLevel="0" max="14" min="14" style="39" width="6.88"/>
    <col collapsed="false" customWidth="true" hidden="false" outlineLevel="0" max="15" min="15" style="39" width="11.75"/>
    <col collapsed="false" customWidth="true" hidden="false" outlineLevel="0" max="16" min="16" style="116" width="6.51"/>
    <col collapsed="false" customWidth="true" hidden="false" outlineLevel="0" max="17" min="17" style="39" width="70"/>
    <col collapsed="false" customWidth="true" hidden="false" outlineLevel="0" max="18" min="18" style="34" width="10.13"/>
    <col collapsed="false" customWidth="true" hidden="false" outlineLevel="0" max="19" min="19" style="34" width="9.88"/>
    <col collapsed="false" customWidth="true" hidden="false" outlineLevel="0" max="20" min="20" style="42" width="7.37"/>
    <col collapsed="false" customWidth="true" hidden="false" outlineLevel="0" max="28" min="21" style="34" width="9"/>
    <col collapsed="false" customWidth="false" hidden="false" outlineLevel="0" max="98" min="29"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634</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c r="T3" s="48"/>
    </row>
    <row r="4" s="118" customFormat="true" ht="27" hidden="false" customHeight="true" outlineLevel="1" collapsed="false">
      <c r="A4" s="49" t="s">
        <v>635</v>
      </c>
      <c r="B4" s="49"/>
      <c r="C4" s="49"/>
      <c r="D4" s="49"/>
      <c r="E4" s="49"/>
      <c r="F4" s="49"/>
      <c r="G4" s="49"/>
      <c r="H4" s="49"/>
      <c r="I4" s="49"/>
      <c r="J4" s="49"/>
      <c r="K4" s="49"/>
      <c r="L4" s="49"/>
      <c r="M4" s="49"/>
      <c r="N4" s="49"/>
      <c r="O4" s="49"/>
      <c r="P4" s="49"/>
      <c r="Q4" s="49"/>
      <c r="R4" s="49"/>
      <c r="S4" s="49"/>
      <c r="T4" s="49"/>
    </row>
    <row r="5" s="34" customFormat="true" ht="115" hidden="false" customHeight="true" outlineLevel="2" collapsed="false">
      <c r="A5" s="51" t="s">
        <v>636</v>
      </c>
      <c r="B5" s="57"/>
      <c r="C5" s="57"/>
      <c r="D5" s="53" t="s">
        <v>637</v>
      </c>
      <c r="E5" s="53" t="s">
        <v>638</v>
      </c>
      <c r="F5" s="54" t="n">
        <v>120.69</v>
      </c>
      <c r="G5" s="55"/>
      <c r="H5" s="56" t="str">
        <f aca="false">IF(ISBLANK(G5),"",IF(ISNUMBER(F5),ROUND(F5*G5,2),"Укажите цену"))</f>
        <v/>
      </c>
      <c r="I5" s="57" t="n">
        <v>29</v>
      </c>
      <c r="J5" s="57" t="n">
        <v>10.12</v>
      </c>
      <c r="K5" s="57" t="s">
        <v>639</v>
      </c>
      <c r="L5" s="57" t="n">
        <v>46</v>
      </c>
      <c r="M5" s="57" t="s">
        <v>640</v>
      </c>
      <c r="N5" s="57" t="n">
        <v>276</v>
      </c>
      <c r="O5" s="57" t="s">
        <v>641</v>
      </c>
      <c r="P5" s="58" t="n">
        <v>0.074</v>
      </c>
      <c r="Q5" s="119" t="s">
        <v>642</v>
      </c>
      <c r="R5" s="120" t="s">
        <v>643</v>
      </c>
      <c r="S5" s="60" t="s">
        <v>96</v>
      </c>
      <c r="T5" s="61"/>
    </row>
    <row r="6" s="34" customFormat="true" ht="115" hidden="false" customHeight="true" outlineLevel="2" collapsed="false">
      <c r="A6" s="51" t="s">
        <v>644</v>
      </c>
      <c r="B6" s="57"/>
      <c r="C6" s="57"/>
      <c r="D6" s="53" t="s">
        <v>645</v>
      </c>
      <c r="E6" s="53" t="s">
        <v>638</v>
      </c>
      <c r="F6" s="54" t="n">
        <v>120.69</v>
      </c>
      <c r="G6" s="55"/>
      <c r="H6" s="56" t="str">
        <f aca="false">IF(ISBLANK(G6),"",IF(ISNUMBER(F6),ROUND(F6*G6,2),"Укажите цену"))</f>
        <v/>
      </c>
      <c r="I6" s="57" t="n">
        <v>28</v>
      </c>
      <c r="J6" s="57" t="n">
        <v>9.7</v>
      </c>
      <c r="K6" s="57" t="s">
        <v>639</v>
      </c>
      <c r="L6" s="57" t="n">
        <v>46</v>
      </c>
      <c r="M6" s="57" t="s">
        <v>640</v>
      </c>
      <c r="N6" s="57" t="n">
        <v>276</v>
      </c>
      <c r="O6" s="57" t="s">
        <v>641</v>
      </c>
      <c r="P6" s="58" t="n">
        <v>0.074</v>
      </c>
      <c r="Q6" s="119" t="s">
        <v>646</v>
      </c>
      <c r="R6" s="120" t="s">
        <v>647</v>
      </c>
      <c r="S6" s="60" t="s">
        <v>96</v>
      </c>
      <c r="T6" s="61"/>
    </row>
    <row r="7" s="42" customFormat="true" ht="5.25" hidden="false" customHeight="true" outlineLevel="2" collapsed="false">
      <c r="A7" s="78"/>
      <c r="B7" s="78"/>
      <c r="C7" s="78"/>
      <c r="D7" s="78"/>
      <c r="E7" s="78"/>
      <c r="F7" s="78"/>
      <c r="G7" s="78"/>
      <c r="H7" s="78"/>
      <c r="I7" s="78"/>
      <c r="J7" s="78"/>
      <c r="K7" s="78"/>
      <c r="L7" s="78"/>
      <c r="M7" s="78"/>
      <c r="N7" s="78"/>
      <c r="O7" s="78"/>
      <c r="P7" s="78"/>
      <c r="Q7" s="78"/>
      <c r="R7" s="78"/>
      <c r="S7" s="26"/>
      <c r="T7" s="61"/>
    </row>
    <row r="8" s="79" customFormat="true" ht="27" hidden="false" customHeight="true" outlineLevel="1" collapsed="false">
      <c r="A8" s="49" t="s">
        <v>8</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row>
    <row r="9" s="70" customFormat="true" ht="115" hidden="false" customHeight="true" outlineLevel="2" collapsed="false">
      <c r="A9" s="51" t="s">
        <v>648</v>
      </c>
      <c r="B9" s="57"/>
      <c r="C9" s="57"/>
      <c r="D9" s="53" t="s">
        <v>649</v>
      </c>
      <c r="E9" s="53" t="s">
        <v>89</v>
      </c>
      <c r="F9" s="54" t="n">
        <v>171.25</v>
      </c>
      <c r="G9" s="55"/>
      <c r="H9" s="56" t="str">
        <f aca="false">IF(ISBLANK(G9),"",IF(ISNUMBER(F9),ROUND(F9*G9,2),"Укажите цену"))</f>
        <v/>
      </c>
      <c r="I9" s="57" t="n">
        <v>10</v>
      </c>
      <c r="J9" s="57" t="n">
        <v>4.1</v>
      </c>
      <c r="K9" s="57" t="s">
        <v>650</v>
      </c>
      <c r="L9" s="57" t="n">
        <v>33</v>
      </c>
      <c r="M9" s="57" t="s">
        <v>651</v>
      </c>
      <c r="N9" s="57" t="n">
        <v>264</v>
      </c>
      <c r="O9" s="57" t="s">
        <v>652</v>
      </c>
      <c r="P9" s="58" t="n">
        <v>0.035</v>
      </c>
      <c r="Q9" s="68" t="s">
        <v>653</v>
      </c>
      <c r="R9" s="69" t="s">
        <v>654</v>
      </c>
      <c r="S9" s="71" t="s">
        <v>96</v>
      </c>
      <c r="T9" s="61"/>
    </row>
    <row r="10" s="42" customFormat="true" ht="5.25" hidden="false" customHeight="true" outlineLevel="2" collapsed="false">
      <c r="A10" s="78"/>
      <c r="B10" s="78"/>
      <c r="C10" s="78"/>
      <c r="D10" s="78"/>
      <c r="E10" s="78"/>
      <c r="F10" s="78"/>
      <c r="G10" s="78"/>
      <c r="H10" s="78"/>
      <c r="I10" s="78"/>
      <c r="J10" s="78"/>
      <c r="K10" s="78"/>
      <c r="L10" s="78"/>
      <c r="M10" s="78"/>
      <c r="N10" s="78"/>
      <c r="O10" s="78"/>
      <c r="P10" s="78"/>
      <c r="Q10" s="78"/>
      <c r="R10" s="78"/>
      <c r="S10" s="26"/>
      <c r="T10" s="61"/>
    </row>
    <row r="11" s="79" customFormat="true" ht="27" hidden="false" customHeight="true" outlineLevel="1" collapsed="false">
      <c r="A11" s="49" t="s">
        <v>655</v>
      </c>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49"/>
      <c r="DO11" s="49"/>
      <c r="DP11" s="49"/>
      <c r="DQ11" s="49"/>
      <c r="DR11" s="49"/>
      <c r="DS11" s="49"/>
      <c r="DT11" s="49"/>
      <c r="DU11" s="49"/>
      <c r="DV11" s="49"/>
      <c r="DW11" s="49"/>
      <c r="DX11" s="49"/>
      <c r="DY11" s="49"/>
      <c r="DZ11" s="49"/>
      <c r="EA11" s="49"/>
      <c r="EB11" s="49"/>
      <c r="EC11" s="49"/>
      <c r="ED11" s="49"/>
      <c r="EE11" s="49"/>
      <c r="EF11" s="49"/>
      <c r="EG11" s="49"/>
      <c r="EH11" s="49"/>
      <c r="EI11" s="49"/>
      <c r="EJ11" s="49"/>
      <c r="EK11" s="49"/>
      <c r="EL11" s="49"/>
      <c r="EM11" s="49"/>
      <c r="EN11" s="49"/>
      <c r="EO11" s="49"/>
      <c r="EP11" s="49"/>
      <c r="EQ11" s="49"/>
      <c r="ER11" s="49"/>
      <c r="ES11" s="49"/>
      <c r="ET11" s="49"/>
      <c r="EU11" s="49"/>
      <c r="EV11" s="49"/>
      <c r="EW11" s="49"/>
      <c r="EX11" s="49"/>
      <c r="EY11" s="49"/>
      <c r="EZ11" s="49"/>
      <c r="FA11" s="49"/>
      <c r="FB11" s="49"/>
      <c r="FC11" s="49"/>
      <c r="FD11" s="49"/>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c r="GG11" s="49"/>
      <c r="GH11" s="49"/>
      <c r="GI11" s="49"/>
      <c r="GJ11" s="49"/>
      <c r="GK11" s="49"/>
      <c r="GL11" s="49"/>
      <c r="GM11" s="49"/>
      <c r="GN11" s="49"/>
      <c r="GO11" s="49"/>
      <c r="GP11" s="49"/>
      <c r="GQ11" s="49"/>
      <c r="GR11" s="49"/>
      <c r="GS11" s="49"/>
      <c r="GT11" s="49"/>
      <c r="GU11" s="49"/>
      <c r="GV11" s="49"/>
      <c r="GW11" s="49"/>
      <c r="GX11" s="49"/>
      <c r="GY11" s="49"/>
      <c r="GZ11" s="49"/>
      <c r="HA11" s="49"/>
      <c r="HB11" s="49"/>
      <c r="HC11" s="49"/>
      <c r="HD11" s="49"/>
      <c r="HE11" s="49"/>
      <c r="HF11" s="49"/>
      <c r="HG11" s="49"/>
      <c r="HH11" s="49"/>
      <c r="HI11" s="49"/>
      <c r="HJ11" s="49"/>
      <c r="HK11" s="49"/>
      <c r="HL11" s="49"/>
      <c r="HM11" s="49"/>
      <c r="HN11" s="49"/>
      <c r="HO11" s="49"/>
      <c r="HP11" s="49"/>
      <c r="HQ11" s="49"/>
      <c r="HR11" s="49"/>
      <c r="HS11" s="49"/>
      <c r="HT11" s="49"/>
      <c r="HU11" s="49"/>
      <c r="HV11" s="49"/>
      <c r="HW11" s="49"/>
      <c r="HX11" s="49"/>
      <c r="HY11" s="49"/>
      <c r="HZ11" s="49"/>
      <c r="IA11" s="49"/>
    </row>
    <row r="12" s="34" customFormat="true" ht="115" hidden="false" customHeight="true" outlineLevel="2" collapsed="false">
      <c r="A12" s="51" t="s">
        <v>656</v>
      </c>
      <c r="B12" s="57"/>
      <c r="C12" s="57"/>
      <c r="D12" s="53" t="s">
        <v>657</v>
      </c>
      <c r="E12" s="53" t="s">
        <v>217</v>
      </c>
      <c r="F12" s="54" t="n">
        <v>89.7</v>
      </c>
      <c r="G12" s="55"/>
      <c r="H12" s="56" t="str">
        <f aca="false">IF(ISBLANK(G12),"",IF(ISNUMBER(F12),ROUND(F12*G12,2),"Укажите цену"))</f>
        <v/>
      </c>
      <c r="I12" s="57" t="n">
        <v>8</v>
      </c>
      <c r="J12" s="57" t="n">
        <v>14.15</v>
      </c>
      <c r="K12" s="57" t="s">
        <v>658</v>
      </c>
      <c r="L12" s="57" t="n">
        <v>250</v>
      </c>
      <c r="M12" s="57" t="s">
        <v>640</v>
      </c>
      <c r="N12" s="57" t="n">
        <v>1500</v>
      </c>
      <c r="O12" s="57" t="s">
        <v>641</v>
      </c>
      <c r="P12" s="58" t="n">
        <v>0.074</v>
      </c>
      <c r="Q12" s="68" t="s">
        <v>659</v>
      </c>
      <c r="R12" s="121" t="s">
        <v>660</v>
      </c>
      <c r="S12" s="60" t="s">
        <v>96</v>
      </c>
      <c r="T12" s="61"/>
    </row>
    <row r="13" s="34" customFormat="true" ht="115" hidden="false" customHeight="true" outlineLevel="2" collapsed="false">
      <c r="A13" s="51" t="s">
        <v>661</v>
      </c>
      <c r="B13" s="57"/>
      <c r="C13" s="57"/>
      <c r="D13" s="53" t="s">
        <v>662</v>
      </c>
      <c r="E13" s="53" t="s">
        <v>217</v>
      </c>
      <c r="F13" s="54" t="n">
        <v>58.71</v>
      </c>
      <c r="G13" s="55"/>
      <c r="H13" s="56" t="str">
        <f aca="false">IF(ISBLANK(G13),"",IF(ISNUMBER(F13),ROUND(F13*G13,2),"Укажите цену"))</f>
        <v/>
      </c>
      <c r="I13" s="57" t="n">
        <v>5</v>
      </c>
      <c r="J13" s="57" t="n">
        <v>10.25</v>
      </c>
      <c r="K13" s="57" t="s">
        <v>658</v>
      </c>
      <c r="L13" s="57" t="n">
        <v>250</v>
      </c>
      <c r="M13" s="57" t="s">
        <v>640</v>
      </c>
      <c r="N13" s="57" t="n">
        <v>1500</v>
      </c>
      <c r="O13" s="57" t="s">
        <v>641</v>
      </c>
      <c r="P13" s="58" t="n">
        <v>0.074</v>
      </c>
      <c r="Q13" s="68" t="s">
        <v>663</v>
      </c>
      <c r="R13" s="121" t="s">
        <v>664</v>
      </c>
      <c r="S13" s="60" t="s">
        <v>96</v>
      </c>
      <c r="T13" s="61"/>
    </row>
    <row r="14" s="34" customFormat="true" ht="115" hidden="false" customHeight="true" outlineLevel="2" collapsed="false">
      <c r="A14" s="51" t="s">
        <v>665</v>
      </c>
      <c r="B14" s="57"/>
      <c r="C14" s="57"/>
      <c r="D14" s="53" t="s">
        <v>666</v>
      </c>
      <c r="E14" s="53" t="s">
        <v>217</v>
      </c>
      <c r="F14" s="54" t="n">
        <v>34.25</v>
      </c>
      <c r="G14" s="55"/>
      <c r="H14" s="56" t="str">
        <f aca="false">IF(ISBLANK(G14),"",IF(ISNUMBER(F14),ROUND(F14*G14,2),"Укажите цену"))</f>
        <v/>
      </c>
      <c r="I14" s="57" t="n">
        <v>10</v>
      </c>
      <c r="J14" s="57" t="n">
        <v>16.4</v>
      </c>
      <c r="K14" s="57" t="s">
        <v>658</v>
      </c>
      <c r="L14" s="57" t="n">
        <v>250</v>
      </c>
      <c r="M14" s="57" t="s">
        <v>640</v>
      </c>
      <c r="N14" s="57" t="n">
        <v>1500</v>
      </c>
      <c r="O14" s="57" t="s">
        <v>641</v>
      </c>
      <c r="P14" s="58" t="n">
        <v>0.074</v>
      </c>
      <c r="Q14" s="68" t="s">
        <v>667</v>
      </c>
      <c r="R14" s="121" t="s">
        <v>668</v>
      </c>
      <c r="S14" s="60" t="s">
        <v>96</v>
      </c>
      <c r="T14" s="61"/>
    </row>
    <row r="15" s="34" customFormat="true" ht="115" hidden="false" customHeight="true" outlineLevel="2" collapsed="false">
      <c r="A15" s="51" t="s">
        <v>669</v>
      </c>
      <c r="B15" s="57"/>
      <c r="C15" s="57"/>
      <c r="D15" s="53" t="s">
        <v>670</v>
      </c>
      <c r="E15" s="53" t="s">
        <v>217</v>
      </c>
      <c r="F15" s="54" t="n">
        <v>26.1</v>
      </c>
      <c r="G15" s="55"/>
      <c r="H15" s="56" t="str">
        <f aca="false">IF(ISBLANK(G15),"",IF(ISNUMBER(F15),ROUND(F15*G15,2),"Укажите цену"))</f>
        <v/>
      </c>
      <c r="I15" s="57" t="n">
        <v>8</v>
      </c>
      <c r="J15" s="57" t="n">
        <v>14.45</v>
      </c>
      <c r="K15" s="57" t="s">
        <v>658</v>
      </c>
      <c r="L15" s="57" t="n">
        <v>250</v>
      </c>
      <c r="M15" s="57" t="s">
        <v>640</v>
      </c>
      <c r="N15" s="57" t="n">
        <v>1500</v>
      </c>
      <c r="O15" s="57" t="s">
        <v>641</v>
      </c>
      <c r="P15" s="58" t="n">
        <v>0.074</v>
      </c>
      <c r="Q15" s="68" t="s">
        <v>671</v>
      </c>
      <c r="R15" s="121" t="s">
        <v>672</v>
      </c>
      <c r="S15" s="60" t="s">
        <v>96</v>
      </c>
      <c r="T15" s="61"/>
    </row>
    <row r="16" s="34" customFormat="true" ht="115" hidden="false" customHeight="true" outlineLevel="2" collapsed="false">
      <c r="A16" s="51" t="s">
        <v>673</v>
      </c>
      <c r="B16" s="57"/>
      <c r="C16" s="57"/>
      <c r="D16" s="53" t="s">
        <v>674</v>
      </c>
      <c r="E16" s="53" t="s">
        <v>217</v>
      </c>
      <c r="F16" s="54" t="n">
        <v>138.63</v>
      </c>
      <c r="G16" s="55"/>
      <c r="H16" s="56" t="str">
        <f aca="false">IF(ISBLANK(G16),"",IF(ISNUMBER(F16),ROUND(F16*G16,2),"Укажите цену"))</f>
        <v/>
      </c>
      <c r="I16" s="57" t="n">
        <v>9</v>
      </c>
      <c r="J16" s="57" t="n">
        <v>15.29</v>
      </c>
      <c r="K16" s="57" t="s">
        <v>658</v>
      </c>
      <c r="L16" s="57" t="n">
        <v>250</v>
      </c>
      <c r="M16" s="57" t="s">
        <v>640</v>
      </c>
      <c r="N16" s="57" t="n">
        <v>1500</v>
      </c>
      <c r="O16" s="57" t="s">
        <v>641</v>
      </c>
      <c r="P16" s="58" t="n">
        <v>0.074</v>
      </c>
      <c r="Q16" s="68" t="s">
        <v>675</v>
      </c>
      <c r="R16" s="121" t="s">
        <v>676</v>
      </c>
      <c r="S16" s="60" t="s">
        <v>96</v>
      </c>
      <c r="T16" s="61"/>
    </row>
    <row r="17" s="62" customFormat="true" ht="115" hidden="false" customHeight="true" outlineLevel="2" collapsed="false">
      <c r="A17" s="51" t="s">
        <v>677</v>
      </c>
      <c r="B17" s="57"/>
      <c r="C17" s="57"/>
      <c r="D17" s="53" t="s">
        <v>678</v>
      </c>
      <c r="E17" s="53" t="s">
        <v>89</v>
      </c>
      <c r="F17" s="54" t="n">
        <v>68.5</v>
      </c>
      <c r="G17" s="55"/>
      <c r="H17" s="56" t="str">
        <f aca="false">IF(ISBLANK(G17),"",IF(ISNUMBER(F17),ROUND(F17*G17,2),"Укажите цену"))</f>
        <v/>
      </c>
      <c r="I17" s="57" t="n">
        <v>16</v>
      </c>
      <c r="J17" s="26" t="n">
        <v>8.99</v>
      </c>
      <c r="K17" s="57" t="s">
        <v>679</v>
      </c>
      <c r="L17" s="57" t="n">
        <v>70</v>
      </c>
      <c r="M17" s="57" t="s">
        <v>640</v>
      </c>
      <c r="N17" s="57" t="n">
        <v>420</v>
      </c>
      <c r="O17" s="57" t="s">
        <v>641</v>
      </c>
      <c r="P17" s="58" t="n">
        <v>0.074</v>
      </c>
      <c r="Q17" s="59" t="s">
        <v>680</v>
      </c>
      <c r="R17" s="77" t="s">
        <v>681</v>
      </c>
      <c r="S17" s="60" t="s">
        <v>96</v>
      </c>
      <c r="T17" s="61"/>
      <c r="U17" s="87"/>
      <c r="V17" s="61"/>
      <c r="W17" s="61"/>
      <c r="X17" s="61"/>
      <c r="Y17" s="61"/>
      <c r="Z17" s="61"/>
    </row>
    <row r="18" s="62" customFormat="true" ht="115" hidden="false" customHeight="true" outlineLevel="2" collapsed="false">
      <c r="A18" s="51" t="s">
        <v>682</v>
      </c>
      <c r="B18" s="57"/>
      <c r="C18" s="57"/>
      <c r="D18" s="53" t="s">
        <v>683</v>
      </c>
      <c r="E18" s="53" t="s">
        <v>89</v>
      </c>
      <c r="F18" s="54" t="n">
        <v>68.5</v>
      </c>
      <c r="G18" s="55"/>
      <c r="H18" s="56" t="str">
        <f aca="false">IF(ISBLANK(G18),"",IF(ISNUMBER(F18),ROUND(F18*G18,2),"Укажите цену"))</f>
        <v/>
      </c>
      <c r="I18" s="57" t="n">
        <v>17</v>
      </c>
      <c r="J18" s="26" t="n">
        <v>9.49</v>
      </c>
      <c r="K18" s="57" t="s">
        <v>684</v>
      </c>
      <c r="L18" s="57" t="n">
        <v>70</v>
      </c>
      <c r="M18" s="57" t="s">
        <v>640</v>
      </c>
      <c r="N18" s="57" t="n">
        <v>420</v>
      </c>
      <c r="O18" s="57" t="s">
        <v>641</v>
      </c>
      <c r="P18" s="58" t="n">
        <v>0.074</v>
      </c>
      <c r="Q18" s="59" t="s">
        <v>685</v>
      </c>
      <c r="R18" s="77" t="s">
        <v>686</v>
      </c>
      <c r="S18" s="60" t="s">
        <v>96</v>
      </c>
      <c r="T18" s="61"/>
      <c r="U18" s="87"/>
      <c r="V18" s="61"/>
      <c r="W18" s="61"/>
      <c r="X18" s="61"/>
      <c r="Y18" s="61"/>
      <c r="Z18" s="61"/>
    </row>
    <row r="19" s="36" customFormat="true" ht="110" hidden="false" customHeight="true" outlineLevel="2" collapsed="false">
      <c r="A19" s="51" t="s">
        <v>687</v>
      </c>
      <c r="B19" s="75"/>
      <c r="C19" s="75"/>
      <c r="D19" s="53" t="s">
        <v>688</v>
      </c>
      <c r="E19" s="53" t="s">
        <v>689</v>
      </c>
      <c r="F19" s="54" t="n">
        <v>81.55</v>
      </c>
      <c r="G19" s="55"/>
      <c r="H19" s="56" t="str">
        <f aca="false">IF(ISBLANK(G19),"",IF(ISNUMBER(F19),ROUND(F19*G19,2),"Укажите цену"))</f>
        <v/>
      </c>
      <c r="I19" s="57" t="n">
        <v>17</v>
      </c>
      <c r="J19" s="76" t="n">
        <v>12.1</v>
      </c>
      <c r="K19" s="57" t="s">
        <v>690</v>
      </c>
      <c r="L19" s="57" t="n">
        <v>100</v>
      </c>
      <c r="M19" s="57" t="s">
        <v>640</v>
      </c>
      <c r="N19" s="57" t="n">
        <v>600</v>
      </c>
      <c r="O19" s="57" t="s">
        <v>641</v>
      </c>
      <c r="P19" s="58" t="n">
        <v>0.074</v>
      </c>
      <c r="Q19" s="68" t="s">
        <v>691</v>
      </c>
      <c r="R19" s="60" t="s">
        <v>692</v>
      </c>
      <c r="S19" s="60" t="s">
        <v>96</v>
      </c>
      <c r="T19" s="61"/>
      <c r="U19" s="34"/>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c r="CG19" s="107"/>
      <c r="CH19" s="107"/>
      <c r="CI19" s="107"/>
      <c r="CJ19" s="107"/>
      <c r="CK19" s="107"/>
      <c r="CL19" s="107"/>
      <c r="CM19" s="107"/>
      <c r="CN19" s="107"/>
      <c r="CO19" s="107"/>
      <c r="CP19" s="107"/>
      <c r="CQ19" s="107"/>
      <c r="CR19" s="107"/>
      <c r="CS19" s="107"/>
      <c r="CT19" s="107"/>
      <c r="CU19" s="107"/>
      <c r="CV19" s="107"/>
      <c r="CW19" s="107"/>
      <c r="CX19" s="107"/>
      <c r="CY19" s="107"/>
      <c r="CZ19" s="107"/>
      <c r="DA19" s="107"/>
      <c r="DB19" s="107"/>
      <c r="DC19" s="107"/>
      <c r="DD19" s="107"/>
      <c r="DE19" s="107"/>
      <c r="DF19" s="107"/>
      <c r="DG19" s="107"/>
      <c r="DH19" s="107"/>
      <c r="DI19" s="107"/>
      <c r="DJ19" s="107"/>
      <c r="DK19" s="107"/>
      <c r="DL19" s="107"/>
      <c r="DM19" s="107"/>
      <c r="DN19" s="107"/>
      <c r="DO19" s="107"/>
      <c r="DP19" s="107"/>
      <c r="DQ19" s="107"/>
      <c r="DR19" s="107"/>
      <c r="DS19" s="107"/>
      <c r="DT19" s="107"/>
      <c r="DU19" s="107"/>
      <c r="DV19" s="107"/>
      <c r="DW19" s="107"/>
      <c r="DX19" s="107"/>
      <c r="DY19" s="107"/>
      <c r="DZ19" s="107"/>
      <c r="EA19" s="107"/>
      <c r="EB19" s="107"/>
      <c r="EC19" s="107"/>
      <c r="ED19" s="107"/>
      <c r="EE19" s="107"/>
      <c r="EF19" s="107"/>
      <c r="EG19" s="107"/>
      <c r="EH19" s="107"/>
      <c r="EI19" s="107"/>
      <c r="EJ19" s="107"/>
      <c r="EK19" s="107"/>
      <c r="EL19" s="107"/>
      <c r="EM19" s="107"/>
      <c r="EN19" s="107"/>
      <c r="EO19" s="107"/>
      <c r="EP19" s="107"/>
      <c r="EQ19" s="107"/>
      <c r="ER19" s="107"/>
      <c r="ES19" s="107"/>
      <c r="ET19" s="107"/>
      <c r="EU19" s="107"/>
      <c r="EV19" s="107"/>
      <c r="EW19" s="107"/>
      <c r="EX19" s="107"/>
      <c r="EY19" s="107"/>
      <c r="EZ19" s="107"/>
      <c r="FA19" s="107"/>
      <c r="FB19" s="107"/>
      <c r="FC19" s="107"/>
      <c r="FD19" s="107"/>
      <c r="FE19" s="107"/>
      <c r="FF19" s="107"/>
      <c r="FG19" s="107"/>
      <c r="FH19" s="107"/>
      <c r="FI19" s="107"/>
      <c r="FJ19" s="107"/>
      <c r="FK19" s="107"/>
      <c r="FL19" s="107"/>
      <c r="FM19" s="107"/>
      <c r="FN19" s="107"/>
      <c r="FO19" s="107"/>
      <c r="FP19" s="107"/>
      <c r="FQ19" s="107"/>
      <c r="FR19" s="107"/>
      <c r="FS19" s="107"/>
      <c r="FT19" s="107"/>
      <c r="FU19" s="107"/>
      <c r="FV19" s="107"/>
      <c r="FW19" s="107"/>
      <c r="FX19" s="107"/>
      <c r="FY19" s="107"/>
      <c r="FZ19" s="107"/>
      <c r="GA19" s="107"/>
      <c r="GB19" s="107"/>
      <c r="GC19" s="107"/>
      <c r="GD19" s="107"/>
      <c r="GE19" s="107"/>
      <c r="GF19" s="107"/>
      <c r="GG19" s="107"/>
      <c r="GH19" s="107"/>
      <c r="GI19" s="107"/>
      <c r="GJ19" s="107"/>
      <c r="GK19" s="107"/>
      <c r="GL19" s="107"/>
      <c r="GM19" s="107"/>
      <c r="GN19" s="107"/>
      <c r="GO19" s="107"/>
      <c r="GP19" s="107"/>
      <c r="GQ19" s="107"/>
      <c r="GR19" s="107"/>
      <c r="GS19" s="107"/>
      <c r="GT19" s="107"/>
      <c r="GU19" s="107"/>
      <c r="GV19" s="107"/>
      <c r="GW19" s="107"/>
      <c r="GX19" s="107"/>
      <c r="GY19" s="107"/>
      <c r="GZ19" s="107"/>
      <c r="HA19" s="107"/>
      <c r="HB19" s="107"/>
      <c r="HC19" s="107"/>
      <c r="HD19" s="107"/>
      <c r="HE19" s="107"/>
      <c r="HF19" s="107"/>
      <c r="HG19" s="107"/>
      <c r="HH19" s="107"/>
      <c r="HI19" s="107"/>
      <c r="HJ19" s="107"/>
      <c r="HK19" s="107"/>
      <c r="HL19" s="107"/>
      <c r="HM19" s="107"/>
      <c r="HN19" s="107"/>
      <c r="HO19" s="107"/>
      <c r="HP19" s="107"/>
      <c r="HQ19" s="107"/>
      <c r="HR19" s="107"/>
      <c r="HS19" s="107"/>
      <c r="HT19" s="107"/>
      <c r="HU19" s="107"/>
      <c r="HV19" s="107"/>
      <c r="HW19" s="107"/>
      <c r="HX19" s="107"/>
      <c r="HY19" s="107"/>
      <c r="HZ19" s="107"/>
      <c r="IA19" s="106"/>
    </row>
    <row r="20" s="42" customFormat="true" ht="5.25" hidden="false" customHeight="true" outlineLevel="2" collapsed="false">
      <c r="A20" s="78"/>
      <c r="B20" s="78"/>
      <c r="C20" s="78"/>
      <c r="D20" s="78"/>
      <c r="E20" s="78"/>
      <c r="F20" s="78"/>
      <c r="G20" s="78"/>
      <c r="H20" s="78"/>
      <c r="I20" s="78"/>
      <c r="J20" s="78"/>
      <c r="K20" s="78"/>
      <c r="L20" s="78"/>
      <c r="M20" s="78"/>
      <c r="N20" s="78"/>
      <c r="O20" s="78"/>
      <c r="P20" s="78"/>
      <c r="Q20" s="78"/>
      <c r="R20" s="78"/>
      <c r="S20" s="26"/>
      <c r="T20" s="61"/>
    </row>
    <row r="21" s="50" customFormat="true" ht="27" hidden="false" customHeight="true" outlineLevel="1" collapsed="false">
      <c r="A21" s="49" t="s">
        <v>12</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49"/>
      <c r="DV21" s="49"/>
      <c r="DW21" s="49"/>
      <c r="DX21" s="49"/>
      <c r="DY21" s="49"/>
      <c r="DZ21" s="49"/>
      <c r="EA21" s="49"/>
      <c r="EB21" s="49"/>
      <c r="EC21" s="49"/>
      <c r="ED21" s="49"/>
      <c r="EE21" s="49"/>
      <c r="EF21" s="49"/>
      <c r="EG21" s="49"/>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c r="GQ21" s="49"/>
      <c r="GR21" s="49"/>
      <c r="GS21" s="49"/>
      <c r="GT21" s="49"/>
      <c r="GU21" s="49"/>
      <c r="GV21" s="49"/>
      <c r="GW21" s="49"/>
      <c r="GX21" s="49"/>
      <c r="GY21" s="49"/>
      <c r="GZ21" s="49"/>
      <c r="HA21" s="49"/>
      <c r="HB21" s="49"/>
      <c r="HC21" s="49"/>
      <c r="HD21" s="49"/>
      <c r="HE21" s="49"/>
      <c r="HF21" s="49"/>
      <c r="HG21" s="49"/>
      <c r="HH21" s="49"/>
      <c r="HI21" s="49"/>
      <c r="HJ21" s="49"/>
      <c r="HK21" s="49"/>
      <c r="HL21" s="49"/>
      <c r="HM21" s="49"/>
      <c r="HN21" s="49"/>
      <c r="HO21" s="49"/>
      <c r="HP21" s="49"/>
      <c r="HQ21" s="49"/>
      <c r="HR21" s="49"/>
      <c r="HS21" s="49"/>
      <c r="HT21" s="49"/>
      <c r="HU21" s="49"/>
      <c r="HV21" s="49"/>
      <c r="HW21" s="49"/>
      <c r="HX21" s="49"/>
      <c r="HY21" s="49"/>
      <c r="HZ21" s="49"/>
      <c r="IA21" s="49"/>
      <c r="IB21" s="49"/>
      <c r="IC21" s="49"/>
      <c r="ID21" s="49"/>
      <c r="IE21" s="49"/>
      <c r="IF21" s="49"/>
      <c r="IG21" s="49"/>
      <c r="IH21" s="49"/>
      <c r="II21" s="49"/>
      <c r="IJ21" s="49"/>
      <c r="IK21" s="49"/>
      <c r="IL21" s="49"/>
      <c r="IM21" s="49"/>
      <c r="IN21" s="49"/>
      <c r="IO21" s="49"/>
      <c r="IP21" s="49"/>
      <c r="IQ21" s="49"/>
      <c r="IR21" s="49"/>
      <c r="IS21" s="49"/>
      <c r="IT21" s="49"/>
      <c r="IU21" s="49"/>
      <c r="IV21" s="49"/>
      <c r="IW21" s="49"/>
    </row>
    <row r="22" s="62" customFormat="true" ht="115" hidden="false" customHeight="true" outlineLevel="2" collapsed="false">
      <c r="A22" s="51" t="s">
        <v>693</v>
      </c>
      <c r="B22" s="57"/>
      <c r="C22" s="57"/>
      <c r="D22" s="53" t="s">
        <v>694</v>
      </c>
      <c r="E22" s="53" t="s">
        <v>89</v>
      </c>
      <c r="F22" s="54" t="n">
        <v>73.39</v>
      </c>
      <c r="G22" s="55"/>
      <c r="H22" s="56" t="str">
        <f aca="false">IF(ISBLANK(G22),"",IF(ISNUMBER(F22),ROUND(F22*G22,2),"Укажите цену"))</f>
        <v/>
      </c>
      <c r="I22" s="57" t="n">
        <v>41</v>
      </c>
      <c r="J22" s="57" t="n">
        <v>13.5</v>
      </c>
      <c r="K22" s="57" t="s">
        <v>695</v>
      </c>
      <c r="L22" s="57" t="s">
        <v>91</v>
      </c>
      <c r="M22" s="57" t="s">
        <v>92</v>
      </c>
      <c r="N22" s="57" t="n">
        <v>300</v>
      </c>
      <c r="O22" s="57" t="s">
        <v>696</v>
      </c>
      <c r="P22" s="58" t="n">
        <v>0.095</v>
      </c>
      <c r="Q22" s="59" t="s">
        <v>697</v>
      </c>
      <c r="R22" s="77" t="s">
        <v>698</v>
      </c>
      <c r="S22" s="73" t="s">
        <v>96</v>
      </c>
      <c r="T22" s="61"/>
      <c r="U22" s="87"/>
      <c r="V22" s="61"/>
      <c r="W22" s="61"/>
      <c r="X22" s="61"/>
      <c r="Y22" s="61"/>
      <c r="Z22" s="61"/>
    </row>
    <row r="23" s="62" customFormat="true" ht="115" hidden="false" customHeight="true" outlineLevel="2" collapsed="false">
      <c r="A23" s="51" t="s">
        <v>699</v>
      </c>
      <c r="B23" s="57"/>
      <c r="C23" s="57"/>
      <c r="D23" s="53" t="s">
        <v>700</v>
      </c>
      <c r="E23" s="53" t="s">
        <v>89</v>
      </c>
      <c r="F23" s="54" t="n">
        <v>97.86</v>
      </c>
      <c r="G23" s="55"/>
      <c r="H23" s="56" t="str">
        <f aca="false">IF(ISBLANK(G23),"",IF(ISNUMBER(F23),ROUND(F23*G23,2),"Укажите цену"))</f>
        <v/>
      </c>
      <c r="I23" s="57" t="n">
        <v>86</v>
      </c>
      <c r="J23" s="57" t="n">
        <v>15.58</v>
      </c>
      <c r="K23" s="57" t="s">
        <v>701</v>
      </c>
      <c r="L23" s="57" t="s">
        <v>91</v>
      </c>
      <c r="M23" s="57" t="s">
        <v>92</v>
      </c>
      <c r="N23" s="57" t="n">
        <v>170</v>
      </c>
      <c r="O23" s="57" t="s">
        <v>696</v>
      </c>
      <c r="P23" s="58" t="n">
        <v>0.095</v>
      </c>
      <c r="Q23" s="59" t="s">
        <v>702</v>
      </c>
      <c r="R23" s="77" t="s">
        <v>698</v>
      </c>
      <c r="S23" s="73" t="s">
        <v>96</v>
      </c>
      <c r="T23" s="61"/>
      <c r="U23" s="87"/>
      <c r="V23" s="61"/>
      <c r="W23" s="61"/>
      <c r="X23" s="61"/>
      <c r="Y23" s="61"/>
      <c r="Z23" s="61"/>
    </row>
    <row r="24" s="62" customFormat="true" ht="115" hidden="false" customHeight="true" outlineLevel="2" collapsed="false">
      <c r="A24" s="51" t="s">
        <v>703</v>
      </c>
      <c r="B24" s="57"/>
      <c r="C24" s="57"/>
      <c r="D24" s="53" t="s">
        <v>704</v>
      </c>
      <c r="E24" s="53" t="s">
        <v>89</v>
      </c>
      <c r="F24" s="54" t="n">
        <v>146.78</v>
      </c>
      <c r="G24" s="55"/>
      <c r="H24" s="56" t="str">
        <f aca="false">IF(ISBLANK(G24),"",IF(ISNUMBER(F24),ROUND(F24*G24,2),"Укажите цену"))</f>
        <v/>
      </c>
      <c r="I24" s="57" t="n">
        <v>132</v>
      </c>
      <c r="J24" s="57" t="n">
        <v>18</v>
      </c>
      <c r="K24" s="57" t="s">
        <v>705</v>
      </c>
      <c r="L24" s="57" t="s">
        <v>91</v>
      </c>
      <c r="M24" s="57" t="s">
        <v>92</v>
      </c>
      <c r="N24" s="57" t="n">
        <v>130</v>
      </c>
      <c r="O24" s="57" t="s">
        <v>696</v>
      </c>
      <c r="P24" s="58" t="n">
        <v>0.095</v>
      </c>
      <c r="Q24" s="59" t="s">
        <v>706</v>
      </c>
      <c r="R24" s="77" t="s">
        <v>698</v>
      </c>
      <c r="S24" s="73" t="s">
        <v>96</v>
      </c>
      <c r="T24" s="61"/>
      <c r="U24" s="87"/>
      <c r="V24" s="61"/>
      <c r="W24" s="61"/>
      <c r="X24" s="61"/>
      <c r="Y24" s="61"/>
      <c r="Z24" s="61"/>
    </row>
    <row r="25" s="62" customFormat="true" ht="115" hidden="false" customHeight="true" outlineLevel="2" collapsed="false">
      <c r="A25" s="51" t="s">
        <v>707</v>
      </c>
      <c r="B25" s="57"/>
      <c r="C25" s="57"/>
      <c r="D25" s="53" t="s">
        <v>708</v>
      </c>
      <c r="E25" s="53" t="s">
        <v>89</v>
      </c>
      <c r="F25" s="54" t="n">
        <v>212.02</v>
      </c>
      <c r="G25" s="55"/>
      <c r="H25" s="56" t="str">
        <f aca="false">IF(ISBLANK(G25),"",IF(ISNUMBER(F25),ROUND(F25*G25,2),"Укажите цену"))</f>
        <v/>
      </c>
      <c r="I25" s="57" t="n">
        <v>199</v>
      </c>
      <c r="J25" s="57" t="n">
        <v>18.85</v>
      </c>
      <c r="K25" s="57" t="s">
        <v>709</v>
      </c>
      <c r="L25" s="57" t="s">
        <v>91</v>
      </c>
      <c r="M25" s="57" t="s">
        <v>92</v>
      </c>
      <c r="N25" s="57" t="n">
        <v>90</v>
      </c>
      <c r="O25" s="57" t="s">
        <v>696</v>
      </c>
      <c r="P25" s="58" t="n">
        <v>0.095</v>
      </c>
      <c r="Q25" s="59" t="s">
        <v>710</v>
      </c>
      <c r="R25" s="77" t="s">
        <v>698</v>
      </c>
      <c r="S25" s="73" t="s">
        <v>96</v>
      </c>
      <c r="T25" s="61"/>
      <c r="U25" s="87"/>
      <c r="V25" s="61"/>
      <c r="W25" s="61"/>
      <c r="X25" s="61"/>
      <c r="Y25" s="61"/>
      <c r="Z25" s="61"/>
    </row>
    <row r="26" s="62" customFormat="true" ht="115" hidden="false" customHeight="true" outlineLevel="2" collapsed="false">
      <c r="A26" s="51" t="s">
        <v>711</v>
      </c>
      <c r="B26" s="57"/>
      <c r="C26" s="57"/>
      <c r="D26" s="53" t="s">
        <v>712</v>
      </c>
      <c r="E26" s="53" t="s">
        <v>89</v>
      </c>
      <c r="F26" s="54" t="n">
        <v>244.64</v>
      </c>
      <c r="G26" s="55"/>
      <c r="H26" s="56" t="str">
        <f aca="false">IF(ISBLANK(G26),"",IF(ISNUMBER(F26),ROUND(F26*G26,2),"Укажите цену"))</f>
        <v/>
      </c>
      <c r="I26" s="57" t="n">
        <v>240</v>
      </c>
      <c r="J26" s="57" t="n">
        <v>21.65</v>
      </c>
      <c r="K26" s="57" t="s">
        <v>713</v>
      </c>
      <c r="L26" s="57" t="s">
        <v>91</v>
      </c>
      <c r="M26" s="57" t="s">
        <v>92</v>
      </c>
      <c r="N26" s="57" t="n">
        <v>85</v>
      </c>
      <c r="O26" s="57" t="s">
        <v>696</v>
      </c>
      <c r="P26" s="58" t="n">
        <v>0.095</v>
      </c>
      <c r="Q26" s="59" t="s">
        <v>714</v>
      </c>
      <c r="R26" s="77" t="s">
        <v>698</v>
      </c>
      <c r="S26" s="73" t="s">
        <v>96</v>
      </c>
      <c r="T26" s="61"/>
      <c r="U26" s="87"/>
      <c r="V26" s="61"/>
      <c r="W26" s="61"/>
      <c r="X26" s="61"/>
      <c r="Y26" s="61"/>
      <c r="Z26" s="61"/>
    </row>
    <row r="27" customFormat="false" ht="30" hidden="false" customHeight="true" outlineLevel="1" collapsed="false">
      <c r="F27" s="109" t="s">
        <v>633</v>
      </c>
      <c r="G27" s="109"/>
      <c r="H27" s="109" t="n">
        <f aca="false">IF(COUNTIFS(H5:H26,"Укажите цену")&gt;0,"Укажите цены",SUM(H5:H26))</f>
        <v>0</v>
      </c>
    </row>
    <row r="28" customFormat="false" ht="50.1" hidden="false" customHeight="true" outlineLevel="0" collapsed="false">
      <c r="A28" s="122"/>
      <c r="D28" s="53"/>
      <c r="E28" s="53"/>
      <c r="I28" s="41"/>
      <c r="J28" s="41"/>
      <c r="K28" s="34"/>
      <c r="L28" s="34"/>
      <c r="M28" s="34"/>
      <c r="N28" s="34"/>
      <c r="O28" s="34"/>
      <c r="P28" s="123"/>
      <c r="Q28" s="34"/>
      <c r="T28" s="61"/>
    </row>
    <row r="29" customFormat="false" ht="50.1" hidden="false" customHeight="true" outlineLevel="0" collapsed="false">
      <c r="A29" s="122"/>
      <c r="D29" s="53"/>
      <c r="E29" s="53"/>
      <c r="I29" s="41"/>
      <c r="J29" s="41"/>
      <c r="K29" s="34"/>
      <c r="L29" s="34"/>
      <c r="M29" s="34"/>
      <c r="N29" s="34"/>
      <c r="O29" s="34"/>
      <c r="P29" s="123"/>
      <c r="Q29" s="34"/>
      <c r="T29" s="61"/>
    </row>
    <row r="30" customFormat="false" ht="50.1" hidden="false" customHeight="true" outlineLevel="0" collapsed="false">
      <c r="A30" s="122"/>
      <c r="D30" s="53"/>
      <c r="E30" s="53"/>
      <c r="I30" s="41"/>
      <c r="J30" s="41"/>
      <c r="K30" s="34"/>
      <c r="L30" s="34"/>
      <c r="M30" s="34"/>
      <c r="N30" s="34"/>
      <c r="O30" s="34"/>
      <c r="P30" s="123"/>
      <c r="Q30" s="34"/>
      <c r="T30" s="61"/>
    </row>
    <row r="31" customFormat="false" ht="50.1" hidden="false" customHeight="true" outlineLevel="0" collapsed="false">
      <c r="T31" s="61"/>
    </row>
    <row r="32" customFormat="false" ht="50.1" hidden="false" customHeight="true" outlineLevel="0" collapsed="false">
      <c r="T32" s="61"/>
    </row>
    <row r="33" customFormat="false" ht="50.1" hidden="false" customHeight="true" outlineLevel="0" collapsed="false">
      <c r="T33" s="61"/>
    </row>
    <row r="34" customFormat="false" ht="50.1" hidden="false" customHeight="true" outlineLevel="0" collapsed="false">
      <c r="T34" s="61"/>
    </row>
    <row r="35" customFormat="false" ht="50.1" hidden="false" customHeight="true" outlineLevel="0" collapsed="false">
      <c r="T35" s="61"/>
    </row>
    <row r="36" customFormat="false" ht="50.1" hidden="false" customHeight="true" outlineLevel="0" collapsed="false">
      <c r="T36" s="61"/>
    </row>
    <row r="37" customFormat="false" ht="50.1" hidden="false" customHeight="true" outlineLevel="0" collapsed="false">
      <c r="T37" s="61"/>
    </row>
    <row r="38" customFormat="false" ht="50.1" hidden="false" customHeight="true" outlineLevel="0" collapsed="false">
      <c r="T38" s="61"/>
    </row>
    <row r="39" customFormat="false" ht="50.1" hidden="false" customHeight="true" outlineLevel="0" collapsed="false">
      <c r="T39" s="61"/>
    </row>
    <row r="40" customFormat="false" ht="50.1" hidden="false" customHeight="true" outlineLevel="0" collapsed="false">
      <c r="T40" s="61"/>
    </row>
    <row r="41" customFormat="false" ht="50.1" hidden="false" customHeight="true" outlineLevel="0" collapsed="false">
      <c r="T41" s="61"/>
    </row>
    <row r="42" customFormat="false" ht="50.1" hidden="false" customHeight="true" outlineLevel="0" collapsed="false">
      <c r="T42" s="61"/>
    </row>
    <row r="43" customFormat="false" ht="50.1" hidden="false" customHeight="true" outlineLevel="0" collapsed="false">
      <c r="T43" s="61"/>
    </row>
    <row r="44" customFormat="false" ht="50.1" hidden="false" customHeight="true" outlineLevel="0" collapsed="false">
      <c r="T44" s="61"/>
    </row>
    <row r="45" customFormat="false" ht="50.1" hidden="false" customHeight="true" outlineLevel="0" collapsed="false">
      <c r="T45" s="61"/>
    </row>
    <row r="46" customFormat="false" ht="50.1" hidden="false" customHeight="true" outlineLevel="0" collapsed="false">
      <c r="T46" s="61"/>
    </row>
    <row r="47" customFormat="false" ht="50.1" hidden="false" customHeight="true" outlineLevel="0" collapsed="false">
      <c r="T47" s="61"/>
    </row>
    <row r="48" customFormat="false" ht="50.1" hidden="false" customHeight="true" outlineLevel="0" collapsed="false">
      <c r="T48" s="61"/>
    </row>
    <row r="49" customFormat="false" ht="50.1" hidden="false" customHeight="true" outlineLevel="0" collapsed="false">
      <c r="T49" s="61"/>
    </row>
    <row r="50" customFormat="false" ht="50.1" hidden="false" customHeight="true" outlineLevel="0" collapsed="false">
      <c r="T50" s="61"/>
    </row>
    <row r="51" customFormat="false" ht="50.1" hidden="false" customHeight="true" outlineLevel="0" collapsed="false">
      <c r="T51" s="61"/>
    </row>
    <row r="52" customFormat="false" ht="50.1" hidden="false" customHeight="true" outlineLevel="0" collapsed="false">
      <c r="T52" s="61"/>
    </row>
    <row r="53" customFormat="false" ht="50.1" hidden="false" customHeight="true" outlineLevel="0" collapsed="false">
      <c r="T53" s="61"/>
    </row>
    <row r="54" customFormat="false" ht="50.1" hidden="false" customHeight="true" outlineLevel="0" collapsed="false">
      <c r="T54" s="61"/>
    </row>
    <row r="55" customFormat="false" ht="50.1" hidden="false" customHeight="true" outlineLevel="0" collapsed="false">
      <c r="T55" s="61"/>
    </row>
    <row r="56" customFormat="false" ht="50.1" hidden="false" customHeight="true" outlineLevel="0" collapsed="false">
      <c r="T56" s="61"/>
    </row>
    <row r="57" customFormat="false" ht="50.1" hidden="false" customHeight="true" outlineLevel="0" collapsed="false">
      <c r="T57" s="61"/>
    </row>
    <row r="58" customFormat="false" ht="50.1" hidden="false" customHeight="true" outlineLevel="0" collapsed="false">
      <c r="T58" s="61"/>
    </row>
    <row r="59" customFormat="false" ht="50.1" hidden="false" customHeight="true" outlineLevel="0" collapsed="false">
      <c r="T59" s="61"/>
    </row>
    <row r="60" customFormat="false" ht="50.1" hidden="false" customHeight="true" outlineLevel="0" collapsed="false">
      <c r="T60" s="61"/>
    </row>
    <row r="61" customFormat="false" ht="50.1" hidden="false" customHeight="true" outlineLevel="0" collapsed="false">
      <c r="T61" s="61"/>
    </row>
    <row r="62" customFormat="false" ht="50.1" hidden="false" customHeight="true" outlineLevel="0" collapsed="false">
      <c r="T62" s="61"/>
    </row>
    <row r="63" customFormat="false" ht="50.1" hidden="false" customHeight="true" outlineLevel="0" collapsed="false">
      <c r="T63" s="61"/>
    </row>
    <row r="64" customFormat="false" ht="50.1" hidden="false" customHeight="true" outlineLevel="0" collapsed="false">
      <c r="T64" s="61"/>
    </row>
    <row r="65" customFormat="false" ht="50.1" hidden="false" customHeight="true" outlineLevel="0" collapsed="false">
      <c r="T65" s="61"/>
    </row>
    <row r="66" customFormat="false" ht="50.1" hidden="false" customHeight="true" outlineLevel="0" collapsed="false">
      <c r="T66" s="61"/>
    </row>
    <row r="67" customFormat="false" ht="50.1" hidden="false" customHeight="true" outlineLevel="0" collapsed="false">
      <c r="T67" s="61"/>
    </row>
    <row r="68" customFormat="false" ht="50.1" hidden="false" customHeight="true" outlineLevel="0" collapsed="false">
      <c r="T68" s="61"/>
    </row>
    <row r="69" customFormat="false" ht="50.1" hidden="false" customHeight="true" outlineLevel="0" collapsed="false">
      <c r="T69" s="61"/>
    </row>
    <row r="70" customFormat="false" ht="50.1" hidden="false" customHeight="true" outlineLevel="0" collapsed="false">
      <c r="T70" s="61"/>
    </row>
    <row r="71" customFormat="false" ht="50.1" hidden="false" customHeight="true" outlineLevel="0" collapsed="false">
      <c r="T71" s="61"/>
    </row>
    <row r="72" customFormat="false" ht="50.1" hidden="false" customHeight="true" outlineLevel="0" collapsed="false">
      <c r="T72" s="61"/>
    </row>
    <row r="73" customFormat="false" ht="50.1" hidden="false" customHeight="true" outlineLevel="0" collapsed="false">
      <c r="T73" s="61"/>
    </row>
    <row r="74" customFormat="false" ht="50.1" hidden="false" customHeight="true" outlineLevel="0" collapsed="false">
      <c r="T74" s="61"/>
    </row>
    <row r="75" customFormat="false" ht="50.1" hidden="false" customHeight="true" outlineLevel="0" collapsed="false">
      <c r="T75" s="61"/>
    </row>
    <row r="76" customFormat="false" ht="50.1" hidden="false" customHeight="true" outlineLevel="0" collapsed="false">
      <c r="T76" s="61"/>
    </row>
    <row r="77" customFormat="false" ht="50.1" hidden="false" customHeight="true" outlineLevel="0" collapsed="false">
      <c r="T77" s="61"/>
    </row>
    <row r="78" customFormat="false" ht="50.1" hidden="false" customHeight="true" outlineLevel="0" collapsed="false">
      <c r="T78" s="61"/>
    </row>
    <row r="79" customFormat="false" ht="50.1" hidden="false" customHeight="true" outlineLevel="0" collapsed="false">
      <c r="T79" s="61"/>
    </row>
    <row r="80" customFormat="false" ht="50.1" hidden="false" customHeight="true" outlineLevel="0" collapsed="false">
      <c r="T80" s="61"/>
    </row>
    <row r="81" customFormat="false" ht="50.1" hidden="false" customHeight="true" outlineLevel="0" collapsed="false">
      <c r="T81" s="61"/>
    </row>
    <row r="82" customFormat="false" ht="50.1" hidden="false" customHeight="true" outlineLevel="0" collapsed="false">
      <c r="T82" s="61"/>
    </row>
    <row r="83" customFormat="false" ht="50.1" hidden="false" customHeight="true" outlineLevel="0" collapsed="false">
      <c r="T83" s="61"/>
    </row>
    <row r="84" customFormat="false" ht="50.1" hidden="false" customHeight="true" outlineLevel="0" collapsed="false">
      <c r="T84" s="61"/>
    </row>
    <row r="85" customFormat="false" ht="50.1" hidden="false" customHeight="true" outlineLevel="0" collapsed="false">
      <c r="T85" s="61"/>
    </row>
    <row r="86" customFormat="false" ht="50.1" hidden="false" customHeight="true" outlineLevel="0" collapsed="false">
      <c r="T86" s="61"/>
    </row>
    <row r="87" customFormat="false" ht="50.1" hidden="false" customHeight="true" outlineLevel="0" collapsed="false">
      <c r="T87" s="61"/>
    </row>
    <row r="88" customFormat="false" ht="50.1" hidden="false" customHeight="true" outlineLevel="0" collapsed="false">
      <c r="T88" s="61"/>
    </row>
    <row r="89" customFormat="false" ht="50.1" hidden="false" customHeight="true" outlineLevel="0" collapsed="false">
      <c r="T89" s="61"/>
    </row>
    <row r="90" customFormat="false" ht="50.1" hidden="false" customHeight="true" outlineLevel="0" collapsed="false">
      <c r="T90" s="61"/>
    </row>
    <row r="91" customFormat="false" ht="50.1" hidden="false" customHeight="true" outlineLevel="0" collapsed="false">
      <c r="T91" s="61"/>
    </row>
    <row r="92" customFormat="false" ht="50.1" hidden="false" customHeight="true" outlineLevel="0" collapsed="false">
      <c r="T92" s="61"/>
    </row>
    <row r="93" customFormat="false" ht="50.1" hidden="false" customHeight="true" outlineLevel="0" collapsed="false">
      <c r="T93" s="61"/>
    </row>
    <row r="94" customFormat="false" ht="50.1" hidden="false" customHeight="true" outlineLevel="0" collapsed="false">
      <c r="T94" s="61"/>
    </row>
    <row r="95" customFormat="false" ht="50.1" hidden="false" customHeight="true" outlineLevel="0" collapsed="false">
      <c r="T95" s="61"/>
    </row>
    <row r="96" customFormat="false" ht="50.1" hidden="false" customHeight="true" outlineLevel="0" collapsed="false">
      <c r="T96" s="61"/>
    </row>
    <row r="97" customFormat="false" ht="50.1" hidden="false" customHeight="true" outlineLevel="0" collapsed="false">
      <c r="T97" s="61"/>
    </row>
    <row r="98" customFormat="false" ht="50.1" hidden="false" customHeight="true" outlineLevel="0" collapsed="false">
      <c r="T98" s="61"/>
    </row>
    <row r="99" customFormat="false" ht="50.1" hidden="false" customHeight="true" outlineLevel="0" collapsed="false">
      <c r="T99" s="61"/>
    </row>
    <row r="100" customFormat="false" ht="50.1" hidden="false" customHeight="true" outlineLevel="0" collapsed="false">
      <c r="T100" s="61"/>
    </row>
    <row r="101" customFormat="false" ht="50.1" hidden="false" customHeight="true" outlineLevel="0" collapsed="false">
      <c r="T101" s="61"/>
    </row>
    <row r="102" customFormat="false" ht="50.1" hidden="false" customHeight="true" outlineLevel="0" collapsed="false">
      <c r="T102" s="61"/>
    </row>
    <row r="103" customFormat="false" ht="50.1" hidden="false" customHeight="true" outlineLevel="0" collapsed="false">
      <c r="T103" s="61"/>
    </row>
    <row r="104" customFormat="false" ht="50.1" hidden="false" customHeight="true" outlineLevel="0" collapsed="false">
      <c r="T104" s="61"/>
    </row>
    <row r="105" customFormat="false" ht="50.1" hidden="false" customHeight="true" outlineLevel="0" collapsed="false">
      <c r="T105" s="61"/>
    </row>
    <row r="106" customFormat="false" ht="50.1" hidden="false" customHeight="true" outlineLevel="0" collapsed="false">
      <c r="T106" s="61"/>
    </row>
    <row r="107" customFormat="false" ht="50.1" hidden="false" customHeight="true" outlineLevel="0" collapsed="false">
      <c r="T107" s="61"/>
    </row>
    <row r="108" customFormat="false" ht="50.1" hidden="false" customHeight="true" outlineLevel="0" collapsed="false">
      <c r="T108" s="61"/>
    </row>
    <row r="109" customFormat="false" ht="50.1" hidden="false" customHeight="true" outlineLevel="0" collapsed="false">
      <c r="T109" s="61"/>
    </row>
    <row r="110" customFormat="false" ht="50.1" hidden="false" customHeight="true" outlineLevel="0" collapsed="false">
      <c r="T110" s="61"/>
    </row>
    <row r="111" customFormat="false" ht="50.1" hidden="false" customHeight="true" outlineLevel="0" collapsed="false">
      <c r="T111" s="61"/>
    </row>
    <row r="112" customFormat="false" ht="50.1" hidden="false" customHeight="true" outlineLevel="0" collapsed="false">
      <c r="T112" s="61"/>
    </row>
    <row r="113" customFormat="false" ht="50.1" hidden="false" customHeight="true" outlineLevel="0" collapsed="false">
      <c r="T113" s="61"/>
    </row>
    <row r="114" customFormat="false" ht="50.1" hidden="false" customHeight="true" outlineLevel="0" collapsed="false">
      <c r="T114" s="61"/>
    </row>
    <row r="115" customFormat="false" ht="50.1" hidden="false" customHeight="true" outlineLevel="0" collapsed="false">
      <c r="T115" s="61"/>
    </row>
    <row r="116" customFormat="false" ht="50.1" hidden="false" customHeight="true" outlineLevel="0" collapsed="false">
      <c r="T116" s="61"/>
    </row>
    <row r="117" customFormat="false" ht="50.1" hidden="false" customHeight="true" outlineLevel="0" collapsed="false">
      <c r="T117" s="61"/>
    </row>
    <row r="118" customFormat="false" ht="50.1" hidden="false" customHeight="true" outlineLevel="0" collapsed="false">
      <c r="T118" s="61"/>
    </row>
    <row r="119" customFormat="false" ht="50.1" hidden="false" customHeight="true" outlineLevel="0" collapsed="false">
      <c r="T119" s="61"/>
    </row>
    <row r="120" customFormat="false" ht="50.1" hidden="false" customHeight="true" outlineLevel="0" collapsed="false">
      <c r="T120" s="61"/>
    </row>
    <row r="121" customFormat="false" ht="50.1" hidden="false" customHeight="true" outlineLevel="0" collapsed="false">
      <c r="T121" s="61"/>
    </row>
    <row r="122" customFormat="false" ht="50.1" hidden="false" customHeight="true" outlineLevel="0" collapsed="false">
      <c r="T122" s="61"/>
    </row>
    <row r="123" customFormat="false" ht="50.1" hidden="false" customHeight="true" outlineLevel="0" collapsed="false">
      <c r="T123" s="61"/>
    </row>
    <row r="124" customFormat="false" ht="50.1" hidden="false" customHeight="true" outlineLevel="0" collapsed="false">
      <c r="T124" s="61"/>
    </row>
    <row r="125" customFormat="false" ht="50.1" hidden="false" customHeight="true" outlineLevel="0" collapsed="false">
      <c r="T125" s="61"/>
    </row>
    <row r="126" customFormat="false" ht="50.1" hidden="false" customHeight="true" outlineLevel="0" collapsed="false">
      <c r="T126" s="61"/>
    </row>
    <row r="127" customFormat="false" ht="50.1" hidden="false" customHeight="true" outlineLevel="0" collapsed="false">
      <c r="T127" s="61"/>
    </row>
    <row r="128" customFormat="false" ht="50.1" hidden="false" customHeight="true" outlineLevel="0" collapsed="false">
      <c r="T128" s="61"/>
    </row>
    <row r="129" customFormat="false" ht="50.1" hidden="false" customHeight="true" outlineLevel="0" collapsed="false">
      <c r="T129" s="61"/>
    </row>
    <row r="130" customFormat="false" ht="50.1" hidden="false" customHeight="true" outlineLevel="0" collapsed="false">
      <c r="T130" s="61"/>
    </row>
    <row r="131" customFormat="false" ht="50.1" hidden="false" customHeight="true" outlineLevel="0" collapsed="false">
      <c r="T131" s="61"/>
    </row>
    <row r="132" customFormat="false" ht="50.1" hidden="false" customHeight="true" outlineLevel="0" collapsed="false">
      <c r="T132" s="61"/>
    </row>
    <row r="133" customFormat="false" ht="50.1" hidden="false" customHeight="true" outlineLevel="0" collapsed="false">
      <c r="T133" s="61"/>
    </row>
    <row r="134" customFormat="false" ht="50.1" hidden="false" customHeight="true" outlineLevel="0" collapsed="false">
      <c r="T134" s="61"/>
    </row>
    <row r="135" customFormat="false" ht="50.1" hidden="false" customHeight="true" outlineLevel="0" collapsed="false">
      <c r="T135" s="61"/>
    </row>
    <row r="136" customFormat="false" ht="50.1" hidden="false" customHeight="true" outlineLevel="0" collapsed="false">
      <c r="T136" s="61"/>
    </row>
    <row r="137" customFormat="false" ht="50.1" hidden="false" customHeight="true" outlineLevel="0" collapsed="false">
      <c r="T137" s="61"/>
    </row>
    <row r="138" customFormat="false" ht="50.1" hidden="false" customHeight="true" outlineLevel="0" collapsed="false">
      <c r="T138" s="61"/>
    </row>
    <row r="139" customFormat="false" ht="50.1" hidden="false" customHeight="true" outlineLevel="0" collapsed="false">
      <c r="T139" s="61"/>
    </row>
    <row r="140" customFormat="false" ht="50.1" hidden="false" customHeight="true" outlineLevel="0" collapsed="false">
      <c r="T140" s="61"/>
    </row>
    <row r="141" customFormat="false" ht="50.1" hidden="false" customHeight="true" outlineLevel="0" collapsed="false">
      <c r="T141" s="61"/>
    </row>
    <row r="142" customFormat="false" ht="50.1" hidden="false" customHeight="true" outlineLevel="0" collapsed="false">
      <c r="T142" s="61"/>
    </row>
    <row r="143" customFormat="false" ht="50.1" hidden="false" customHeight="true" outlineLevel="0" collapsed="false">
      <c r="T143" s="61"/>
    </row>
    <row r="144" customFormat="false" ht="50.1" hidden="false" customHeight="true" outlineLevel="0" collapsed="false">
      <c r="T144" s="61"/>
    </row>
    <row r="145" customFormat="false" ht="50.1" hidden="false" customHeight="true" outlineLevel="0" collapsed="false">
      <c r="T145" s="61"/>
    </row>
    <row r="146" customFormat="false" ht="50.1" hidden="false" customHeight="true" outlineLevel="0" collapsed="false">
      <c r="T146" s="61"/>
    </row>
    <row r="147" customFormat="false" ht="50.1" hidden="false" customHeight="true" outlineLevel="0" collapsed="false">
      <c r="T147" s="61"/>
    </row>
    <row r="148" customFormat="false" ht="50.1" hidden="false" customHeight="true" outlineLevel="0" collapsed="false">
      <c r="T148" s="61"/>
    </row>
    <row r="149" customFormat="false" ht="50.1" hidden="false" customHeight="true" outlineLevel="0" collapsed="false">
      <c r="T149" s="61"/>
    </row>
    <row r="150" customFormat="false" ht="50.1" hidden="false" customHeight="true" outlineLevel="0" collapsed="false">
      <c r="T150" s="61"/>
    </row>
    <row r="151" customFormat="false" ht="50.1" hidden="false" customHeight="true" outlineLevel="0" collapsed="false">
      <c r="T151" s="61"/>
    </row>
    <row r="152" customFormat="false" ht="50.1" hidden="false" customHeight="true" outlineLevel="0" collapsed="false">
      <c r="T152" s="61"/>
    </row>
    <row r="153" customFormat="false" ht="50.1" hidden="false" customHeight="true" outlineLevel="0" collapsed="false">
      <c r="T153" s="61"/>
    </row>
    <row r="154" customFormat="false" ht="50.1" hidden="false" customHeight="true" outlineLevel="0" collapsed="false">
      <c r="T154" s="61"/>
    </row>
    <row r="155" customFormat="false" ht="50.1" hidden="false" customHeight="true" outlineLevel="0" collapsed="false">
      <c r="T155" s="61"/>
    </row>
    <row r="156" customFormat="false" ht="50.1" hidden="false" customHeight="true" outlineLevel="0" collapsed="false">
      <c r="T156" s="61"/>
    </row>
    <row r="157" customFormat="false" ht="50.1" hidden="false" customHeight="true" outlineLevel="0" collapsed="false">
      <c r="T157" s="61"/>
    </row>
    <row r="158" customFormat="false" ht="50.1" hidden="false" customHeight="true" outlineLevel="0" collapsed="false">
      <c r="T158" s="61"/>
    </row>
    <row r="159" customFormat="false" ht="50.1" hidden="false" customHeight="true" outlineLevel="0" collapsed="false">
      <c r="T159" s="61"/>
    </row>
    <row r="160" customFormat="false" ht="50.1" hidden="false" customHeight="true" outlineLevel="0" collapsed="false">
      <c r="T160" s="61"/>
    </row>
    <row r="161" customFormat="false" ht="50.1" hidden="false" customHeight="true" outlineLevel="0" collapsed="false">
      <c r="T161" s="61"/>
    </row>
    <row r="162" customFormat="false" ht="50.1" hidden="false" customHeight="true" outlineLevel="0" collapsed="false">
      <c r="T162" s="61"/>
    </row>
    <row r="163" customFormat="false" ht="50.1" hidden="false" customHeight="true" outlineLevel="0" collapsed="false">
      <c r="T163" s="61"/>
    </row>
    <row r="164" customFormat="false" ht="50.1" hidden="false" customHeight="true" outlineLevel="0" collapsed="false">
      <c r="T164" s="61"/>
    </row>
    <row r="165" customFormat="false" ht="50.1" hidden="false" customHeight="true" outlineLevel="0" collapsed="false">
      <c r="T165" s="61"/>
    </row>
    <row r="166" customFormat="false" ht="50.1" hidden="false" customHeight="true" outlineLevel="0" collapsed="false">
      <c r="T166" s="61"/>
    </row>
    <row r="167" customFormat="false" ht="50.1" hidden="false" customHeight="true" outlineLevel="0" collapsed="false">
      <c r="T167" s="61"/>
    </row>
    <row r="168" customFormat="false" ht="50.1" hidden="false" customHeight="true" outlineLevel="0" collapsed="false">
      <c r="T168" s="61"/>
    </row>
    <row r="169" customFormat="false" ht="50.1" hidden="false" customHeight="true" outlineLevel="0" collapsed="false">
      <c r="T169" s="61"/>
    </row>
    <row r="170" customFormat="false" ht="50.1" hidden="false" customHeight="true" outlineLevel="0" collapsed="false">
      <c r="T170" s="61"/>
    </row>
    <row r="171" customFormat="false" ht="50.1" hidden="false" customHeight="true" outlineLevel="0" collapsed="false">
      <c r="T171" s="61"/>
    </row>
    <row r="172" customFormat="false" ht="50.1" hidden="false" customHeight="true" outlineLevel="0" collapsed="false">
      <c r="T172" s="61"/>
    </row>
    <row r="173" customFormat="false" ht="50.1" hidden="false" customHeight="true" outlineLevel="0" collapsed="false">
      <c r="T173" s="61"/>
    </row>
    <row r="174" customFormat="false" ht="50.1" hidden="false" customHeight="true" outlineLevel="0" collapsed="false">
      <c r="T174" s="61"/>
    </row>
    <row r="175" customFormat="false" ht="50.1" hidden="false" customHeight="true" outlineLevel="0" collapsed="false">
      <c r="T175" s="61"/>
    </row>
    <row r="176" customFormat="false" ht="50.1" hidden="false" customHeight="true" outlineLevel="0" collapsed="false">
      <c r="T176" s="61"/>
    </row>
    <row r="177" customFormat="false" ht="50.1" hidden="false" customHeight="true" outlineLevel="0" collapsed="false">
      <c r="T177" s="61"/>
    </row>
    <row r="178" customFormat="false" ht="50.1" hidden="false" customHeight="true" outlineLevel="0" collapsed="false">
      <c r="T178" s="61"/>
    </row>
    <row r="179" customFormat="false" ht="50.1" hidden="false" customHeight="true" outlineLevel="0" collapsed="false">
      <c r="T179" s="61"/>
    </row>
    <row r="180" customFormat="false" ht="50.1" hidden="false" customHeight="true" outlineLevel="0" collapsed="false">
      <c r="T180" s="61"/>
    </row>
    <row r="181" customFormat="false" ht="50.1" hidden="false" customHeight="true" outlineLevel="0" collapsed="false">
      <c r="T181" s="61"/>
    </row>
    <row r="182" customFormat="false" ht="50.1" hidden="false" customHeight="true" outlineLevel="0" collapsed="false">
      <c r="T182" s="61"/>
    </row>
    <row r="183" customFormat="false" ht="50.1" hidden="false" customHeight="true" outlineLevel="0" collapsed="false">
      <c r="T183" s="61"/>
    </row>
    <row r="184" customFormat="false" ht="50.1" hidden="false" customHeight="true" outlineLevel="0" collapsed="false">
      <c r="T184" s="61"/>
    </row>
    <row r="185" customFormat="false" ht="50.1" hidden="false" customHeight="true" outlineLevel="0" collapsed="false">
      <c r="T185" s="61"/>
    </row>
    <row r="186" customFormat="false" ht="50.1" hidden="false" customHeight="true" outlineLevel="0" collapsed="false">
      <c r="T186" s="61"/>
    </row>
    <row r="187" customFormat="false" ht="50.1" hidden="false" customHeight="true" outlineLevel="0" collapsed="false">
      <c r="T187" s="61"/>
    </row>
    <row r="188" customFormat="false" ht="50.1" hidden="false" customHeight="true" outlineLevel="0" collapsed="false">
      <c r="T188" s="61"/>
    </row>
    <row r="189" customFormat="false" ht="50.1" hidden="false" customHeight="true" outlineLevel="0" collapsed="false">
      <c r="T189" s="61"/>
    </row>
    <row r="190" customFormat="false" ht="50.1" hidden="false" customHeight="true" outlineLevel="0" collapsed="false">
      <c r="T190" s="61"/>
    </row>
    <row r="191" customFormat="false" ht="50.1" hidden="false" customHeight="true" outlineLevel="0" collapsed="false">
      <c r="T191" s="61"/>
    </row>
    <row r="192" customFormat="false" ht="50.1" hidden="false" customHeight="true" outlineLevel="0" collapsed="false">
      <c r="T192" s="61"/>
    </row>
    <row r="193" customFormat="false" ht="50.1" hidden="false" customHeight="true" outlineLevel="0" collapsed="false">
      <c r="T193" s="61"/>
    </row>
    <row r="194" customFormat="false" ht="50.1" hidden="false" customHeight="true" outlineLevel="0" collapsed="false">
      <c r="T194" s="61"/>
    </row>
    <row r="195" customFormat="false" ht="50.1" hidden="false" customHeight="true" outlineLevel="0" collapsed="false">
      <c r="T195" s="61"/>
    </row>
    <row r="196" customFormat="false" ht="50.1" hidden="false" customHeight="true" outlineLevel="0" collapsed="false">
      <c r="T196" s="61"/>
    </row>
    <row r="197" customFormat="false" ht="50.1" hidden="false" customHeight="true" outlineLevel="0" collapsed="false">
      <c r="T197" s="61"/>
    </row>
    <row r="198" customFormat="false" ht="50.1" hidden="false" customHeight="true" outlineLevel="0" collapsed="false">
      <c r="T198" s="61"/>
    </row>
    <row r="199" customFormat="false" ht="50.1" hidden="false" customHeight="true" outlineLevel="0" collapsed="false">
      <c r="T199" s="61"/>
    </row>
    <row r="200" customFormat="false" ht="50.1" hidden="false" customHeight="true" outlineLevel="0" collapsed="false">
      <c r="T200" s="61"/>
    </row>
    <row r="201" customFormat="false" ht="50.1" hidden="false" customHeight="true" outlineLevel="0" collapsed="false">
      <c r="T201" s="61"/>
    </row>
    <row r="202" customFormat="false" ht="50.1" hidden="false" customHeight="true" outlineLevel="0" collapsed="false">
      <c r="T202" s="61"/>
    </row>
    <row r="203" customFormat="false" ht="50.1" hidden="false" customHeight="true" outlineLevel="0" collapsed="false">
      <c r="T203" s="61"/>
    </row>
    <row r="204" customFormat="false" ht="50.1" hidden="false" customHeight="true" outlineLevel="0" collapsed="false">
      <c r="T204" s="61"/>
    </row>
    <row r="205" customFormat="false" ht="50.1" hidden="false" customHeight="true" outlineLevel="0" collapsed="false">
      <c r="T205" s="61"/>
    </row>
    <row r="206" customFormat="false" ht="50.1" hidden="false" customHeight="true" outlineLevel="0" collapsed="false">
      <c r="T206" s="61"/>
    </row>
    <row r="207" customFormat="false" ht="50.1" hidden="false" customHeight="true" outlineLevel="0" collapsed="false">
      <c r="T207" s="61"/>
    </row>
    <row r="208" customFormat="false" ht="50.1" hidden="false" customHeight="true" outlineLevel="0" collapsed="false">
      <c r="T208" s="61"/>
    </row>
    <row r="209" customFormat="false" ht="50.1" hidden="false" customHeight="true" outlineLevel="0" collapsed="false">
      <c r="T209" s="61"/>
    </row>
    <row r="210" customFormat="false" ht="50.1" hidden="false" customHeight="true" outlineLevel="0" collapsed="false">
      <c r="T210" s="61"/>
    </row>
    <row r="211" customFormat="false" ht="50.1" hidden="false" customHeight="true" outlineLevel="0" collapsed="false">
      <c r="T211" s="61"/>
    </row>
    <row r="212" customFormat="false" ht="50.1" hidden="false" customHeight="true" outlineLevel="0" collapsed="false">
      <c r="T212" s="61"/>
    </row>
    <row r="213" customFormat="false" ht="50.1" hidden="false" customHeight="true" outlineLevel="0" collapsed="false">
      <c r="T213" s="61"/>
    </row>
    <row r="214" customFormat="false" ht="50.1" hidden="false" customHeight="true" outlineLevel="0" collapsed="false">
      <c r="T214" s="61"/>
    </row>
    <row r="215" customFormat="false" ht="50.1" hidden="false" customHeight="true" outlineLevel="0" collapsed="false">
      <c r="T215" s="61"/>
    </row>
    <row r="216" customFormat="false" ht="50.1" hidden="false" customHeight="true" outlineLevel="0" collapsed="false">
      <c r="T216" s="61"/>
    </row>
    <row r="217" customFormat="false" ht="50.1" hidden="false" customHeight="true" outlineLevel="0" collapsed="false">
      <c r="T217" s="61"/>
    </row>
    <row r="218" customFormat="false" ht="50.1" hidden="false" customHeight="true" outlineLevel="0" collapsed="false">
      <c r="T218" s="61"/>
    </row>
    <row r="219" customFormat="false" ht="50.1" hidden="false" customHeight="true" outlineLevel="0" collapsed="false">
      <c r="T219" s="61"/>
    </row>
    <row r="220" customFormat="false" ht="50.1" hidden="false" customHeight="true" outlineLevel="0" collapsed="false">
      <c r="T220" s="61"/>
    </row>
    <row r="221" customFormat="false" ht="50.1" hidden="false" customHeight="true" outlineLevel="0" collapsed="false">
      <c r="T221" s="61"/>
    </row>
    <row r="222" customFormat="false" ht="50.1" hidden="false" customHeight="true" outlineLevel="0" collapsed="false">
      <c r="T222" s="61"/>
    </row>
    <row r="223" customFormat="false" ht="50.1" hidden="false" customHeight="true" outlineLevel="0" collapsed="false">
      <c r="T223" s="61"/>
    </row>
    <row r="224" customFormat="false" ht="50.1" hidden="false" customHeight="true" outlineLevel="0" collapsed="false">
      <c r="T224" s="61"/>
    </row>
    <row r="225" customFormat="false" ht="50.1" hidden="false" customHeight="true" outlineLevel="0" collapsed="false">
      <c r="T225" s="61"/>
    </row>
    <row r="226" customFormat="false" ht="50.1" hidden="false" customHeight="true" outlineLevel="0" collapsed="false">
      <c r="T226" s="61"/>
    </row>
    <row r="227" customFormat="false" ht="50.1" hidden="false" customHeight="true" outlineLevel="0" collapsed="false">
      <c r="T227" s="61"/>
    </row>
    <row r="228" customFormat="false" ht="50.1" hidden="false" customHeight="true" outlineLevel="0" collapsed="false">
      <c r="T228" s="61"/>
    </row>
    <row r="229" customFormat="false" ht="50.1" hidden="false" customHeight="true" outlineLevel="0" collapsed="false">
      <c r="T229" s="61"/>
    </row>
    <row r="230" customFormat="false" ht="50.1" hidden="false" customHeight="true" outlineLevel="0" collapsed="false">
      <c r="T230" s="61"/>
    </row>
    <row r="231" customFormat="false" ht="50.1" hidden="false" customHeight="true" outlineLevel="0" collapsed="false">
      <c r="T231" s="61"/>
    </row>
    <row r="232" customFormat="false" ht="50.1" hidden="false" customHeight="true" outlineLevel="0" collapsed="false">
      <c r="T232" s="61"/>
    </row>
    <row r="233" customFormat="false" ht="50.1" hidden="false" customHeight="true" outlineLevel="0" collapsed="false">
      <c r="T233" s="61"/>
    </row>
    <row r="234" customFormat="false" ht="50.1" hidden="false" customHeight="true" outlineLevel="0" collapsed="false">
      <c r="T234" s="61"/>
    </row>
    <row r="235" customFormat="false" ht="50.1" hidden="false" customHeight="true" outlineLevel="0" collapsed="false">
      <c r="T235" s="61"/>
    </row>
    <row r="236" customFormat="false" ht="50.1" hidden="false" customHeight="true" outlineLevel="0" collapsed="false">
      <c r="T236" s="61"/>
    </row>
    <row r="237" customFormat="false" ht="50.1" hidden="false" customHeight="true" outlineLevel="0" collapsed="false">
      <c r="T237" s="61"/>
    </row>
    <row r="238" customFormat="false" ht="50.1" hidden="false" customHeight="true" outlineLevel="0" collapsed="false">
      <c r="T238" s="61"/>
    </row>
    <row r="239" customFormat="false" ht="50.1" hidden="false" customHeight="true" outlineLevel="0" collapsed="false">
      <c r="T239" s="61"/>
    </row>
    <row r="240" customFormat="false" ht="50.1" hidden="false" customHeight="true" outlineLevel="0" collapsed="false">
      <c r="T240" s="61"/>
    </row>
    <row r="241" customFormat="false" ht="50.1" hidden="false" customHeight="true" outlineLevel="0" collapsed="false">
      <c r="T241" s="61"/>
    </row>
    <row r="242" customFormat="false" ht="50.1" hidden="false" customHeight="true" outlineLevel="0" collapsed="false">
      <c r="T242" s="61"/>
    </row>
    <row r="243" customFormat="false" ht="50.1" hidden="false" customHeight="true" outlineLevel="0" collapsed="false">
      <c r="T243" s="61"/>
    </row>
    <row r="244" customFormat="false" ht="50.1" hidden="false" customHeight="true" outlineLevel="0" collapsed="false">
      <c r="T244" s="61"/>
    </row>
    <row r="245" customFormat="false" ht="50.1" hidden="false" customHeight="true" outlineLevel="0" collapsed="false">
      <c r="T245" s="61"/>
    </row>
    <row r="246" customFormat="false" ht="50.1" hidden="false" customHeight="true" outlineLevel="0" collapsed="false">
      <c r="T246" s="61"/>
    </row>
    <row r="247" customFormat="false" ht="50.1" hidden="false" customHeight="true" outlineLevel="0" collapsed="false">
      <c r="T247" s="61"/>
    </row>
    <row r="248" customFormat="false" ht="50.1" hidden="false" customHeight="true" outlineLevel="0" collapsed="false">
      <c r="T248" s="61"/>
    </row>
    <row r="249" customFormat="false" ht="50.1" hidden="false" customHeight="true" outlineLevel="0" collapsed="false">
      <c r="T249" s="61"/>
    </row>
    <row r="250" customFormat="false" ht="50.1" hidden="false" customHeight="true" outlineLevel="0" collapsed="false">
      <c r="T250" s="61"/>
    </row>
    <row r="251" customFormat="false" ht="50.1" hidden="false" customHeight="true" outlineLevel="0" collapsed="false">
      <c r="T251" s="61"/>
    </row>
    <row r="252" customFormat="false" ht="50.1" hidden="false" customHeight="true" outlineLevel="0" collapsed="false">
      <c r="T252" s="61"/>
    </row>
    <row r="253" customFormat="false" ht="50.1" hidden="false" customHeight="true" outlineLevel="0" collapsed="false">
      <c r="T253" s="61"/>
    </row>
    <row r="254" customFormat="false" ht="50.1" hidden="false" customHeight="true" outlineLevel="0" collapsed="false">
      <c r="T254" s="61"/>
    </row>
    <row r="255" customFormat="false" ht="50.1" hidden="false" customHeight="true" outlineLevel="0" collapsed="false">
      <c r="T255" s="61"/>
    </row>
    <row r="256" customFormat="false" ht="50.1" hidden="false" customHeight="true" outlineLevel="0" collapsed="false">
      <c r="T256" s="61"/>
    </row>
    <row r="257" customFormat="false" ht="50.1" hidden="false" customHeight="true" outlineLevel="0" collapsed="false">
      <c r="T257" s="61"/>
    </row>
    <row r="258" customFormat="false" ht="50.1" hidden="false" customHeight="true" outlineLevel="0" collapsed="false">
      <c r="T258" s="61"/>
    </row>
    <row r="259" customFormat="false" ht="50.1" hidden="false" customHeight="true" outlineLevel="0" collapsed="false">
      <c r="T259" s="61"/>
    </row>
    <row r="260" customFormat="false" ht="50.1" hidden="false" customHeight="true" outlineLevel="0" collapsed="false">
      <c r="T260" s="61"/>
    </row>
    <row r="261" customFormat="false" ht="50.1" hidden="false" customHeight="true" outlineLevel="0" collapsed="false">
      <c r="T261" s="61"/>
    </row>
    <row r="262" customFormat="false" ht="50.1" hidden="false" customHeight="true" outlineLevel="0" collapsed="false">
      <c r="T262" s="61"/>
    </row>
    <row r="263" customFormat="false" ht="50.1" hidden="false" customHeight="true" outlineLevel="0" collapsed="false">
      <c r="T263" s="61"/>
    </row>
    <row r="264" customFormat="false" ht="50.1" hidden="false" customHeight="true" outlineLevel="0" collapsed="false">
      <c r="T264" s="61"/>
    </row>
    <row r="265" customFormat="false" ht="50.1" hidden="false" customHeight="true" outlineLevel="0" collapsed="false">
      <c r="T265" s="61"/>
    </row>
    <row r="266" customFormat="false" ht="50.1" hidden="false" customHeight="true" outlineLevel="0" collapsed="false">
      <c r="T266" s="61"/>
    </row>
    <row r="267" customFormat="false" ht="50.1" hidden="false" customHeight="true" outlineLevel="0" collapsed="false">
      <c r="T267" s="61"/>
    </row>
    <row r="268" customFormat="false" ht="50.1" hidden="false" customHeight="true" outlineLevel="0" collapsed="false">
      <c r="T268" s="61"/>
    </row>
    <row r="269" customFormat="false" ht="50.1" hidden="false" customHeight="true" outlineLevel="0" collapsed="false">
      <c r="T269" s="61"/>
    </row>
    <row r="270" customFormat="false" ht="50.1" hidden="false" customHeight="true" outlineLevel="0" collapsed="false">
      <c r="T270" s="61"/>
    </row>
    <row r="271" customFormat="false" ht="50.1" hidden="false" customHeight="true" outlineLevel="0" collapsed="false">
      <c r="T271" s="61"/>
    </row>
    <row r="272" customFormat="false" ht="50.1" hidden="false" customHeight="true" outlineLevel="0" collapsed="false">
      <c r="T272" s="61"/>
    </row>
    <row r="273" customFormat="false" ht="50.1" hidden="false" customHeight="true" outlineLevel="0" collapsed="false">
      <c r="T273" s="61"/>
    </row>
    <row r="274" customFormat="false" ht="50.1" hidden="false" customHeight="true" outlineLevel="0" collapsed="false">
      <c r="T274" s="61"/>
    </row>
    <row r="275" customFormat="false" ht="50.1" hidden="false" customHeight="true" outlineLevel="0" collapsed="false">
      <c r="T275" s="61"/>
    </row>
    <row r="276" customFormat="false" ht="50.1" hidden="false" customHeight="true" outlineLevel="0" collapsed="false">
      <c r="T276" s="61"/>
    </row>
  </sheetData>
  <mergeCells count="10">
    <mergeCell ref="A1:R1"/>
    <mergeCell ref="A2:H2"/>
    <mergeCell ref="A4:H4"/>
    <mergeCell ref="A7:R7"/>
    <mergeCell ref="A8:H8"/>
    <mergeCell ref="A10:R10"/>
    <mergeCell ref="A11:H11"/>
    <mergeCell ref="A20:R20"/>
    <mergeCell ref="A21:H21"/>
    <mergeCell ref="F27:G27"/>
  </mergeCells>
  <hyperlinks>
    <hyperlink ref="R5" r:id="rId1" display="http://gofile.me/649X4/Xv5ueykaV"/>
    <hyperlink ref="R6" r:id="rId2" display="http://gofile.me/649X4/oj87vk7ss"/>
    <hyperlink ref="R9" r:id="rId3" display="http://gofile.me/649X4/mZkbp1Lcw"/>
    <hyperlink ref="R12" r:id="rId4" display="http://gofile.me/649X4/7k5Grtsa6"/>
    <hyperlink ref="R13" r:id="rId5" display="http://gofile.me/649X4/sbeE8JJIC"/>
    <hyperlink ref="R14" r:id="rId6" display="http://gofile.me/649X4/3z0RPvqoR"/>
    <hyperlink ref="R15" r:id="rId7" display="http://gofile.me/649X4/gzhPtEieC"/>
    <hyperlink ref="R16" r:id="rId8" display="http://gofile.me/649X4/KEVw3Dq8c"/>
    <hyperlink ref="R17" r:id="rId9" display="http://gofile.me/649X4/wbKbO64BT"/>
    <hyperlink ref="R18" r:id="rId10" display="http://gofile.me/649X4/qlJFOjCG3"/>
    <hyperlink ref="R19" r:id="rId11" display="http://hoco.i234.me:8000/sharing/85xSLAj4n"/>
    <hyperlink ref="R22" r:id="rId12" display="http://gofile.me/649X4/sT4nbqkfm"/>
    <hyperlink ref="S22" r:id="rId13" display="-"/>
    <hyperlink ref="R23" r:id="rId14" display="http://gofile.me/649X4/sT4nbqkfm"/>
    <hyperlink ref="S23" r:id="rId15" display="-"/>
    <hyperlink ref="R24" r:id="rId16" display="http://gofile.me/649X4/sT4nbqkfm"/>
    <hyperlink ref="S24" r:id="rId17" display="-"/>
    <hyperlink ref="R25" r:id="rId18" display="http://gofile.me/649X4/sT4nbqkfm"/>
    <hyperlink ref="S25" r:id="rId19" display="-"/>
    <hyperlink ref="R26" r:id="rId20" display="http://gofile.me/649X4/sT4nbqkfm"/>
    <hyperlink ref="S26" r:id="rId21" display="-"/>
  </hyperlinks>
  <printOptions headings="false" gridLines="false" gridLinesSet="true" horizontalCentered="false" verticalCentered="false"/>
  <pageMargins left="0.314583333333333" right="0.314583333333333" top="0.314583333333333" bottom="0.314583333333333" header="0.511811023622047" footer="0.310416666666667"/>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drawing r:id="rId2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263"/>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33" width="46"/>
    <col collapsed="false" customWidth="true" hidden="false" outlineLevel="0" max="3" min="2" style="34" width="18"/>
    <col collapsed="false" customWidth="true" hidden="false" outlineLevel="0" max="4" min="4" style="39" width="20"/>
    <col collapsed="false" customWidth="true" hidden="false" outlineLevel="0" max="5" min="5" style="39"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10" min="9" style="39" width="6.88"/>
    <col collapsed="false" customWidth="true" hidden="false" outlineLevel="0" max="11" min="11" style="39" width="10.7"/>
    <col collapsed="false" customWidth="true" hidden="false" outlineLevel="0" max="12" min="12" style="39" width="9.7"/>
    <col collapsed="false" customWidth="true" hidden="false" outlineLevel="0" max="13" min="13" style="39" width="10.7"/>
    <col collapsed="false" customWidth="true" hidden="false" outlineLevel="0" max="14" min="14" style="39" width="7"/>
    <col collapsed="false" customWidth="true" hidden="false" outlineLevel="0" max="15" min="15" style="39" width="10.7"/>
    <col collapsed="false" customWidth="true" hidden="false" outlineLevel="0" max="16" min="16" style="105" width="6.63"/>
    <col collapsed="false" customWidth="true" hidden="false" outlineLevel="0" max="17" min="17" style="39" width="70"/>
    <col collapsed="false" customWidth="true" hidden="false" outlineLevel="0" max="19" min="18" style="34" width="9.25"/>
    <col collapsed="false" customWidth="true" hidden="false" outlineLevel="0" max="20" min="20" style="42" width="7.37"/>
    <col collapsed="false" customWidth="true" hidden="false" outlineLevel="0" max="21" min="21" style="34" width="10.13"/>
    <col collapsed="false" customWidth="true" hidden="false" outlineLevel="0" max="27" min="22" style="34" width="9"/>
    <col collapsed="false" customWidth="false" hidden="false" outlineLevel="0" max="98" min="28"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44"/>
    </row>
    <row r="2" s="4" customFormat="true" ht="30" hidden="false" customHeight="true" outlineLevel="0" collapsed="false">
      <c r="A2" s="45" t="s">
        <v>715</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c r="T3" s="48"/>
    </row>
    <row r="4" s="50" customFormat="true" ht="27" hidden="false" customHeight="true" outlineLevel="1" collapsed="false">
      <c r="A4" s="49" t="s">
        <v>716</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62" customFormat="true" ht="115" hidden="false" customHeight="true" outlineLevel="2" collapsed="false">
      <c r="A5" s="51" t="s">
        <v>717</v>
      </c>
      <c r="B5" s="52"/>
      <c r="C5" s="57"/>
      <c r="D5" s="53" t="s">
        <v>718</v>
      </c>
      <c r="E5" s="53" t="s">
        <v>103</v>
      </c>
      <c r="F5" s="54" t="n">
        <v>1060.11</v>
      </c>
      <c r="G5" s="55"/>
      <c r="H5" s="56" t="str">
        <f aca="false">IF(ISBLANK(G5),"",IF(ISNUMBER(F5),ROUND(F5*G5,2),"Укажите цену"))</f>
        <v/>
      </c>
      <c r="I5" s="57" t="n">
        <v>234</v>
      </c>
      <c r="J5" s="57" t="n">
        <v>14.41</v>
      </c>
      <c r="K5" s="57" t="s">
        <v>719</v>
      </c>
      <c r="L5" s="57" t="s">
        <v>91</v>
      </c>
      <c r="M5" s="57" t="s">
        <v>92</v>
      </c>
      <c r="N5" s="57" t="n">
        <v>60</v>
      </c>
      <c r="O5" s="57" t="s">
        <v>720</v>
      </c>
      <c r="P5" s="58" t="n">
        <v>0.025</v>
      </c>
      <c r="Q5" s="124" t="s">
        <v>721</v>
      </c>
      <c r="R5" s="125" t="s">
        <v>722</v>
      </c>
      <c r="S5" s="60" t="s">
        <v>96</v>
      </c>
      <c r="T5" s="87"/>
      <c r="U5" s="61"/>
      <c r="V5" s="61"/>
      <c r="W5" s="61"/>
      <c r="X5" s="61"/>
      <c r="Y5" s="61"/>
      <c r="Z5" s="61"/>
    </row>
    <row r="6" s="62" customFormat="true" ht="115" hidden="false" customHeight="true" outlineLevel="2" collapsed="false">
      <c r="A6" s="51" t="s">
        <v>723</v>
      </c>
      <c r="B6" s="52"/>
      <c r="C6" s="57"/>
      <c r="D6" s="53" t="s">
        <v>724</v>
      </c>
      <c r="E6" s="53" t="s">
        <v>689</v>
      </c>
      <c r="F6" s="54" t="n">
        <v>1092.73</v>
      </c>
      <c r="G6" s="55"/>
      <c r="H6" s="56" t="str">
        <f aca="false">IF(ISBLANK(G6),"",IF(ISNUMBER(F6),ROUND(F6*G6,2),"Укажите цену"))</f>
        <v/>
      </c>
      <c r="I6" s="57" t="n">
        <v>213</v>
      </c>
      <c r="J6" s="26" t="n">
        <v>12.03</v>
      </c>
      <c r="K6" s="57" t="s">
        <v>725</v>
      </c>
      <c r="L6" s="57" t="s">
        <v>91</v>
      </c>
      <c r="M6" s="57" t="s">
        <v>92</v>
      </c>
      <c r="N6" s="57" t="n">
        <v>54</v>
      </c>
      <c r="O6" s="57" t="s">
        <v>720</v>
      </c>
      <c r="P6" s="58" t="n">
        <v>0.025</v>
      </c>
      <c r="Q6" s="124" t="s">
        <v>726</v>
      </c>
      <c r="R6" s="125" t="s">
        <v>727</v>
      </c>
      <c r="S6" s="60" t="s">
        <v>96</v>
      </c>
      <c r="T6" s="87"/>
      <c r="U6" s="61"/>
      <c r="V6" s="61"/>
      <c r="W6" s="61"/>
      <c r="X6" s="61"/>
      <c r="Y6" s="61"/>
      <c r="Z6" s="61"/>
    </row>
    <row r="7" s="62" customFormat="true" ht="115" hidden="false" customHeight="true" outlineLevel="2" collapsed="false">
      <c r="A7" s="51" t="s">
        <v>728</v>
      </c>
      <c r="B7" s="52"/>
      <c r="C7" s="57"/>
      <c r="D7" s="53" t="s">
        <v>729</v>
      </c>
      <c r="E7" s="53" t="s">
        <v>217</v>
      </c>
      <c r="F7" s="54" t="n">
        <v>497.44</v>
      </c>
      <c r="G7" s="55"/>
      <c r="H7" s="56" t="str">
        <f aca="false">IF(ISBLANK(G7),"",IF(ISNUMBER(F7),ROUND(F7*G7,2),"Укажите цену"))</f>
        <v/>
      </c>
      <c r="I7" s="57" t="n">
        <v>262</v>
      </c>
      <c r="J7" s="26" t="n">
        <v>16.18</v>
      </c>
      <c r="K7" s="57" t="s">
        <v>730</v>
      </c>
      <c r="L7" s="57" t="s">
        <v>91</v>
      </c>
      <c r="M7" s="57" t="s">
        <v>92</v>
      </c>
      <c r="N7" s="57" t="n">
        <v>60</v>
      </c>
      <c r="O7" s="57" t="s">
        <v>720</v>
      </c>
      <c r="P7" s="58" t="n">
        <v>0.025</v>
      </c>
      <c r="Q7" s="124" t="s">
        <v>731</v>
      </c>
      <c r="R7" s="125" t="s">
        <v>732</v>
      </c>
      <c r="S7" s="60" t="s">
        <v>96</v>
      </c>
      <c r="T7" s="87"/>
      <c r="U7" s="61"/>
      <c r="V7" s="61"/>
      <c r="W7" s="61"/>
      <c r="X7" s="61"/>
      <c r="Y7" s="61"/>
      <c r="Z7" s="61"/>
    </row>
    <row r="8" s="62" customFormat="true" ht="115" hidden="false" customHeight="true" outlineLevel="2" collapsed="false">
      <c r="A8" s="51" t="s">
        <v>733</v>
      </c>
      <c r="B8" s="52"/>
      <c r="C8" s="57"/>
      <c r="D8" s="53" t="s">
        <v>734</v>
      </c>
      <c r="E8" s="53" t="s">
        <v>217</v>
      </c>
      <c r="F8" s="54" t="n">
        <v>782.85</v>
      </c>
      <c r="G8" s="55"/>
      <c r="H8" s="56" t="str">
        <f aca="false">IF(ISBLANK(G8),"",IF(ISNUMBER(F8),ROUND(F8*G8,2),"Укажите цену"))</f>
        <v/>
      </c>
      <c r="I8" s="57" t="n">
        <v>455</v>
      </c>
      <c r="J8" s="26" t="n">
        <v>19.6</v>
      </c>
      <c r="K8" s="57" t="s">
        <v>735</v>
      </c>
      <c r="L8" s="57" t="s">
        <v>91</v>
      </c>
      <c r="M8" s="57" t="s">
        <v>92</v>
      </c>
      <c r="N8" s="57" t="n">
        <v>42</v>
      </c>
      <c r="O8" s="57" t="s">
        <v>720</v>
      </c>
      <c r="P8" s="58" t="n">
        <v>0.025</v>
      </c>
      <c r="Q8" s="124" t="s">
        <v>736</v>
      </c>
      <c r="R8" s="125" t="s">
        <v>737</v>
      </c>
      <c r="S8" s="60" t="s">
        <v>96</v>
      </c>
      <c r="T8" s="87"/>
      <c r="U8" s="61"/>
      <c r="V8" s="61"/>
      <c r="W8" s="61"/>
      <c r="X8" s="61"/>
      <c r="Y8" s="61"/>
      <c r="Z8" s="61"/>
    </row>
    <row r="9" s="62" customFormat="true" ht="6" hidden="false" customHeight="true" outlineLevel="2" collapsed="false">
      <c r="A9" s="126"/>
      <c r="B9" s="127"/>
      <c r="C9" s="128"/>
      <c r="D9" s="53"/>
      <c r="E9" s="53"/>
      <c r="I9" s="128"/>
      <c r="J9" s="129"/>
      <c r="K9" s="128"/>
      <c r="L9" s="128"/>
      <c r="M9" s="128"/>
      <c r="N9" s="128"/>
      <c r="O9" s="128"/>
      <c r="P9" s="130"/>
      <c r="Q9" s="131"/>
      <c r="R9" s="132"/>
      <c r="S9" s="133"/>
      <c r="T9" s="134"/>
      <c r="U9" s="61"/>
      <c r="V9" s="61"/>
      <c r="W9" s="61"/>
      <c r="X9" s="61"/>
      <c r="Y9" s="61"/>
      <c r="Z9" s="61"/>
    </row>
    <row r="10" s="50" customFormat="true" ht="27" hidden="false" customHeight="true" outlineLevel="1" collapsed="false">
      <c r="A10" s="49" t="s">
        <v>6</v>
      </c>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c r="IW10" s="49"/>
    </row>
    <row r="11" s="62" customFormat="true" ht="115" hidden="false" customHeight="true" outlineLevel="2" collapsed="false">
      <c r="A11" s="51" t="s">
        <v>738</v>
      </c>
      <c r="B11" s="52"/>
      <c r="C11" s="57"/>
      <c r="D11" s="53" t="s">
        <v>739</v>
      </c>
      <c r="E11" s="53" t="s">
        <v>217</v>
      </c>
      <c r="F11" s="54" t="n">
        <v>2152.84</v>
      </c>
      <c r="G11" s="55"/>
      <c r="H11" s="56" t="str">
        <f aca="false">IF(ISBLANK(G11),"",IF(ISNUMBER(F11),ROUND(F11*G11,2),"Укажите цену"))</f>
        <v/>
      </c>
      <c r="I11" s="57" t="n">
        <v>863</v>
      </c>
      <c r="J11" s="57" t="n">
        <v>13.59</v>
      </c>
      <c r="K11" s="57" t="s">
        <v>740</v>
      </c>
      <c r="L11" s="57" t="s">
        <v>91</v>
      </c>
      <c r="M11" s="57" t="s">
        <v>92</v>
      </c>
      <c r="N11" s="57" t="n">
        <v>15</v>
      </c>
      <c r="O11" s="57" t="s">
        <v>741</v>
      </c>
      <c r="P11" s="58" t="n">
        <v>0.038</v>
      </c>
      <c r="Q11" s="124" t="s">
        <v>742</v>
      </c>
      <c r="R11" s="125" t="s">
        <v>743</v>
      </c>
      <c r="S11" s="60" t="s">
        <v>96</v>
      </c>
      <c r="T11" s="87"/>
      <c r="U11" s="61"/>
      <c r="V11" s="61"/>
      <c r="W11" s="61"/>
      <c r="X11" s="61"/>
      <c r="Y11" s="61"/>
      <c r="Z11" s="61"/>
    </row>
    <row r="12" s="62" customFormat="true" ht="115" hidden="false" customHeight="true" outlineLevel="2" collapsed="false">
      <c r="A12" s="51" t="s">
        <v>744</v>
      </c>
      <c r="B12" s="52"/>
      <c r="C12" s="57"/>
      <c r="D12" s="53" t="s">
        <v>745</v>
      </c>
      <c r="E12" s="53" t="s">
        <v>217</v>
      </c>
      <c r="F12" s="54" t="n">
        <v>2739.98</v>
      </c>
      <c r="G12" s="55"/>
      <c r="H12" s="56" t="str">
        <f aca="false">IF(ISBLANK(G12),"",IF(ISNUMBER(F12),ROUND(F12*G12,2),"Укажите цену"))</f>
        <v/>
      </c>
      <c r="I12" s="57" t="n">
        <v>1191</v>
      </c>
      <c r="J12" s="57" t="n">
        <v>15</v>
      </c>
      <c r="K12" s="57" t="s">
        <v>746</v>
      </c>
      <c r="L12" s="57" t="s">
        <v>91</v>
      </c>
      <c r="M12" s="57" t="s">
        <v>92</v>
      </c>
      <c r="N12" s="57" t="n">
        <v>12</v>
      </c>
      <c r="O12" s="57" t="s">
        <v>741</v>
      </c>
      <c r="P12" s="58" t="n">
        <v>0.038</v>
      </c>
      <c r="Q12" s="124" t="s">
        <v>747</v>
      </c>
      <c r="R12" s="125" t="s">
        <v>748</v>
      </c>
      <c r="S12" s="60" t="s">
        <v>96</v>
      </c>
      <c r="T12" s="87"/>
      <c r="U12" s="61"/>
      <c r="V12" s="61"/>
      <c r="W12" s="61"/>
      <c r="X12" s="61"/>
      <c r="Y12" s="61"/>
      <c r="Z12" s="61"/>
    </row>
    <row r="13" s="62" customFormat="true" ht="115" hidden="false" customHeight="true" outlineLevel="2" collapsed="false">
      <c r="A13" s="51" t="s">
        <v>749</v>
      </c>
      <c r="B13" s="52"/>
      <c r="C13" s="57"/>
      <c r="D13" s="53" t="s">
        <v>750</v>
      </c>
      <c r="E13" s="53" t="s">
        <v>217</v>
      </c>
      <c r="F13" s="54" t="n">
        <v>1035.65</v>
      </c>
      <c r="G13" s="55"/>
      <c r="H13" s="56" t="str">
        <f aca="false">IF(ISBLANK(G13),"",IF(ISNUMBER(F13),ROUND(F13*G13,2),"Укажите цену"))</f>
        <v/>
      </c>
      <c r="I13" s="57" t="n">
        <v>227</v>
      </c>
      <c r="J13" s="26" t="n">
        <v>10.04</v>
      </c>
      <c r="K13" s="57" t="s">
        <v>751</v>
      </c>
      <c r="L13" s="57" t="s">
        <v>91</v>
      </c>
      <c r="M13" s="57" t="s">
        <v>92</v>
      </c>
      <c r="N13" s="57" t="n">
        <v>42</v>
      </c>
      <c r="O13" s="57" t="s">
        <v>720</v>
      </c>
      <c r="P13" s="58" t="n">
        <v>0.025</v>
      </c>
      <c r="Q13" s="68" t="s">
        <v>752</v>
      </c>
      <c r="R13" s="93" t="s">
        <v>753</v>
      </c>
      <c r="S13" s="60" t="s">
        <v>96</v>
      </c>
      <c r="T13" s="87"/>
      <c r="U13" s="61"/>
      <c r="V13" s="61"/>
      <c r="W13" s="61"/>
      <c r="X13" s="61"/>
      <c r="Y13" s="61"/>
      <c r="Z13" s="61"/>
    </row>
    <row r="14" s="34" customFormat="true" ht="115" hidden="false" customHeight="true" outlineLevel="2" collapsed="false">
      <c r="A14" s="51" t="s">
        <v>754</v>
      </c>
      <c r="B14" s="57"/>
      <c r="C14" s="57"/>
      <c r="D14" s="53" t="s">
        <v>755</v>
      </c>
      <c r="E14" s="53" t="s">
        <v>756</v>
      </c>
      <c r="F14" s="54" t="n">
        <v>546.37</v>
      </c>
      <c r="G14" s="55"/>
      <c r="H14" s="56" t="str">
        <f aca="false">IF(ISBLANK(G14),"",IF(ISNUMBER(F14),ROUND(F14*G14,2),"Укажите цену"))</f>
        <v/>
      </c>
      <c r="I14" s="57" t="n">
        <v>135</v>
      </c>
      <c r="J14" s="57" t="n">
        <v>8.93</v>
      </c>
      <c r="K14" s="57" t="s">
        <v>757</v>
      </c>
      <c r="L14" s="57" t="s">
        <v>91</v>
      </c>
      <c r="M14" s="57" t="s">
        <v>92</v>
      </c>
      <c r="N14" s="57" t="n">
        <v>62</v>
      </c>
      <c r="O14" s="57" t="s">
        <v>720</v>
      </c>
      <c r="P14" s="58" t="n">
        <v>0.025</v>
      </c>
      <c r="Q14" s="68" t="s">
        <v>758</v>
      </c>
      <c r="R14" s="93" t="s">
        <v>759</v>
      </c>
      <c r="S14" s="60" t="s">
        <v>96</v>
      </c>
      <c r="T14" s="61"/>
    </row>
    <row r="15" s="34" customFormat="true" ht="115" hidden="false" customHeight="true" outlineLevel="2" collapsed="false">
      <c r="A15" s="51" t="s">
        <v>760</v>
      </c>
      <c r="B15" s="57"/>
      <c r="C15" s="57"/>
      <c r="D15" s="53" t="s">
        <v>761</v>
      </c>
      <c r="E15" s="53" t="s">
        <v>217</v>
      </c>
      <c r="F15" s="54" t="n">
        <v>3800.09</v>
      </c>
      <c r="G15" s="55"/>
      <c r="H15" s="56" t="str">
        <f aca="false">IF(ISBLANK(G15),"",IF(ISNUMBER(F15),ROUND(F15*G15,2),"Укажите цену"))</f>
        <v/>
      </c>
      <c r="I15" s="57" t="n">
        <v>1963</v>
      </c>
      <c r="J15" s="57" t="n">
        <v>16.41</v>
      </c>
      <c r="K15" s="57" t="s">
        <v>762</v>
      </c>
      <c r="L15" s="57" t="s">
        <v>91</v>
      </c>
      <c r="M15" s="57" t="s">
        <v>92</v>
      </c>
      <c r="N15" s="57" t="n">
        <v>8</v>
      </c>
      <c r="O15" s="57" t="s">
        <v>763</v>
      </c>
      <c r="P15" s="58" t="n">
        <v>0.03</v>
      </c>
      <c r="Q15" s="68" t="s">
        <v>764</v>
      </c>
      <c r="R15" s="93" t="s">
        <v>765</v>
      </c>
      <c r="S15" s="60" t="s">
        <v>96</v>
      </c>
      <c r="T15" s="61"/>
    </row>
    <row r="16" s="34" customFormat="true" ht="115" hidden="false" customHeight="true" outlineLevel="2" collapsed="false">
      <c r="A16" s="51" t="s">
        <v>766</v>
      </c>
      <c r="B16" s="57"/>
      <c r="C16" s="57"/>
      <c r="D16" s="53" t="s">
        <v>767</v>
      </c>
      <c r="E16" s="53" t="s">
        <v>217</v>
      </c>
      <c r="F16" s="54" t="n">
        <v>521.9</v>
      </c>
      <c r="G16" s="55"/>
      <c r="H16" s="56" t="str">
        <f aca="false">IF(ISBLANK(G16),"",IF(ISNUMBER(F16),ROUND(F16*G16,2),"Укажите цену"))</f>
        <v/>
      </c>
      <c r="I16" s="57" t="n">
        <v>281</v>
      </c>
      <c r="J16" s="57" t="n">
        <v>12.82</v>
      </c>
      <c r="K16" s="57" t="s">
        <v>768</v>
      </c>
      <c r="L16" s="57" t="s">
        <v>91</v>
      </c>
      <c r="M16" s="57" t="s">
        <v>92</v>
      </c>
      <c r="N16" s="57" t="n">
        <v>44</v>
      </c>
      <c r="O16" s="57" t="s">
        <v>720</v>
      </c>
      <c r="P16" s="58" t="n">
        <v>0.025</v>
      </c>
      <c r="Q16" s="119" t="s">
        <v>769</v>
      </c>
      <c r="R16" s="93" t="s">
        <v>770</v>
      </c>
      <c r="S16" s="60" t="s">
        <v>96</v>
      </c>
      <c r="T16" s="61"/>
    </row>
    <row r="17" s="34" customFormat="true" ht="115" hidden="false" customHeight="true" outlineLevel="2" collapsed="false">
      <c r="A17" s="51" t="s">
        <v>771</v>
      </c>
      <c r="B17" s="57"/>
      <c r="C17" s="57"/>
      <c r="D17" s="53" t="s">
        <v>772</v>
      </c>
      <c r="E17" s="53" t="s">
        <v>217</v>
      </c>
      <c r="F17" s="54" t="n">
        <v>815.47</v>
      </c>
      <c r="G17" s="55"/>
      <c r="H17" s="56" t="str">
        <f aca="false">IF(ISBLANK(G17),"",IF(ISNUMBER(F17),ROUND(F17*G17,2),"Укажите цену"))</f>
        <v/>
      </c>
      <c r="I17" s="57" t="n">
        <v>461</v>
      </c>
      <c r="J17" s="57" t="n">
        <v>14.8</v>
      </c>
      <c r="K17" s="57" t="s">
        <v>773</v>
      </c>
      <c r="L17" s="57" t="s">
        <v>91</v>
      </c>
      <c r="M17" s="57" t="s">
        <v>92</v>
      </c>
      <c r="N17" s="57" t="n">
        <v>31</v>
      </c>
      <c r="O17" s="57" t="s">
        <v>720</v>
      </c>
      <c r="P17" s="58" t="n">
        <v>0.025</v>
      </c>
      <c r="Q17" s="119" t="s">
        <v>774</v>
      </c>
      <c r="R17" s="93" t="s">
        <v>775</v>
      </c>
      <c r="S17" s="60" t="s">
        <v>96</v>
      </c>
      <c r="T17" s="61"/>
    </row>
    <row r="18" s="34" customFormat="true" ht="115" hidden="false" customHeight="true" outlineLevel="2" collapsed="false">
      <c r="A18" s="51" t="s">
        <v>776</v>
      </c>
      <c r="B18" s="57"/>
      <c r="C18" s="57"/>
      <c r="D18" s="53" t="s">
        <v>777</v>
      </c>
      <c r="E18" s="53" t="s">
        <v>217</v>
      </c>
      <c r="F18" s="54" t="n">
        <v>685</v>
      </c>
      <c r="G18" s="55"/>
      <c r="H18" s="56" t="str">
        <f aca="false">IF(ISBLANK(G18),"",IF(ISNUMBER(F18),ROUND(F18*G18,2),"Укажите цену"))</f>
        <v/>
      </c>
      <c r="I18" s="57" t="n">
        <v>169</v>
      </c>
      <c r="J18" s="57" t="n">
        <v>12.6</v>
      </c>
      <c r="K18" s="57" t="s">
        <v>778</v>
      </c>
      <c r="L18" s="57" t="s">
        <v>91</v>
      </c>
      <c r="M18" s="57" t="s">
        <v>92</v>
      </c>
      <c r="N18" s="57" t="n">
        <v>72</v>
      </c>
      <c r="O18" s="57" t="s">
        <v>720</v>
      </c>
      <c r="P18" s="58" t="n">
        <v>0.025</v>
      </c>
      <c r="Q18" s="119" t="s">
        <v>779</v>
      </c>
      <c r="R18" s="93" t="s">
        <v>780</v>
      </c>
      <c r="S18" s="60" t="s">
        <v>96</v>
      </c>
      <c r="T18" s="61"/>
    </row>
    <row r="19" s="34" customFormat="true" ht="115" hidden="false" customHeight="true" outlineLevel="2" collapsed="false">
      <c r="A19" s="51" t="s">
        <v>781</v>
      </c>
      <c r="B19" s="57"/>
      <c r="C19" s="57"/>
      <c r="D19" s="53" t="s">
        <v>782</v>
      </c>
      <c r="E19" s="53" t="s">
        <v>217</v>
      </c>
      <c r="F19" s="54" t="n">
        <v>1019.34</v>
      </c>
      <c r="G19" s="55"/>
      <c r="H19" s="56" t="str">
        <f aca="false">IF(ISBLANK(G19),"",IF(ISNUMBER(F19),ROUND(F19*G19,2),"Укажите цену"))</f>
        <v/>
      </c>
      <c r="I19" s="57" t="n">
        <v>236</v>
      </c>
      <c r="J19" s="57" t="n">
        <v>16.07</v>
      </c>
      <c r="K19" s="57" t="s">
        <v>783</v>
      </c>
      <c r="L19" s="57" t="s">
        <v>91</v>
      </c>
      <c r="M19" s="57" t="s">
        <v>92</v>
      </c>
      <c r="N19" s="57" t="n">
        <v>60</v>
      </c>
      <c r="O19" s="57" t="s">
        <v>720</v>
      </c>
      <c r="P19" s="58" t="n">
        <v>0.025</v>
      </c>
      <c r="Q19" s="119" t="s">
        <v>784</v>
      </c>
      <c r="R19" s="93" t="s">
        <v>785</v>
      </c>
      <c r="S19" s="60" t="s">
        <v>96</v>
      </c>
      <c r="T19" s="61"/>
    </row>
    <row r="20" s="34" customFormat="true" ht="60" hidden="false" customHeight="true" outlineLevel="2" collapsed="false">
      <c r="A20" s="63" t="s">
        <v>786</v>
      </c>
      <c r="B20" s="57"/>
      <c r="C20" s="57"/>
      <c r="D20" s="53" t="s">
        <v>787</v>
      </c>
      <c r="E20" s="53" t="s">
        <v>217</v>
      </c>
      <c r="F20" s="54" t="n">
        <v>660.53</v>
      </c>
      <c r="G20" s="55"/>
      <c r="H20" s="56" t="str">
        <f aca="false">IF(ISBLANK(G20),"",IF(ISNUMBER(F20),ROUND(F20*G20,2),"Укажите цену"))</f>
        <v/>
      </c>
      <c r="I20" s="57" t="n">
        <v>262</v>
      </c>
      <c r="J20" s="57" t="n">
        <v>17.7</v>
      </c>
      <c r="K20" s="57" t="s">
        <v>788</v>
      </c>
      <c r="L20" s="57" t="s">
        <v>91</v>
      </c>
      <c r="M20" s="57" t="s">
        <v>92</v>
      </c>
      <c r="N20" s="57" t="n">
        <v>66</v>
      </c>
      <c r="O20" s="57" t="s">
        <v>720</v>
      </c>
      <c r="P20" s="58" t="n">
        <v>0.025</v>
      </c>
      <c r="Q20" s="68" t="s">
        <v>789</v>
      </c>
      <c r="R20" s="93" t="s">
        <v>790</v>
      </c>
      <c r="S20" s="60" t="s">
        <v>791</v>
      </c>
      <c r="T20" s="61"/>
    </row>
    <row r="21" s="34" customFormat="true" ht="60" hidden="false" customHeight="true" outlineLevel="2" collapsed="false">
      <c r="A21" s="63"/>
      <c r="B21" s="57"/>
      <c r="C21" s="57"/>
      <c r="D21" s="53" t="s">
        <v>792</v>
      </c>
      <c r="E21" s="53" t="s">
        <v>103</v>
      </c>
      <c r="F21" s="54" t="n">
        <v>660.53</v>
      </c>
      <c r="G21" s="55"/>
      <c r="H21" s="56" t="str">
        <f aca="false">IF(ISBLANK(G21),"",IF(ISNUMBER(F21),ROUND(F21*G21,2),"Укажите цену"))</f>
        <v/>
      </c>
      <c r="I21" s="57"/>
      <c r="J21" s="57"/>
      <c r="K21" s="57"/>
      <c r="L21" s="57"/>
      <c r="M21" s="57"/>
      <c r="N21" s="57"/>
      <c r="O21" s="57"/>
      <c r="P21" s="58"/>
      <c r="Q21" s="68"/>
      <c r="R21" s="93"/>
      <c r="S21" s="60"/>
      <c r="T21" s="61"/>
    </row>
    <row r="22" s="34" customFormat="true" ht="60" hidden="false" customHeight="true" outlineLevel="2" collapsed="false">
      <c r="A22" s="63" t="s">
        <v>793</v>
      </c>
      <c r="B22" s="57"/>
      <c r="C22" s="57"/>
      <c r="D22" s="53" t="s">
        <v>794</v>
      </c>
      <c r="E22" s="53" t="s">
        <v>217</v>
      </c>
      <c r="F22" s="54" t="n">
        <v>962.26</v>
      </c>
      <c r="G22" s="55"/>
      <c r="H22" s="56" t="str">
        <f aca="false">IF(ISBLANK(G22),"",IF(ISNUMBER(F22),ROUND(F22*G22,2),"Укажите цену"))</f>
        <v/>
      </c>
      <c r="I22" s="57" t="n">
        <v>450</v>
      </c>
      <c r="J22" s="57" t="n">
        <v>19.36</v>
      </c>
      <c r="K22" s="57" t="s">
        <v>795</v>
      </c>
      <c r="L22" s="57" t="s">
        <v>91</v>
      </c>
      <c r="M22" s="57" t="s">
        <v>92</v>
      </c>
      <c r="N22" s="57" t="n">
        <v>42</v>
      </c>
      <c r="O22" s="57" t="s">
        <v>720</v>
      </c>
      <c r="P22" s="58" t="n">
        <v>0.025</v>
      </c>
      <c r="Q22" s="68" t="s">
        <v>796</v>
      </c>
      <c r="R22" s="93" t="s">
        <v>797</v>
      </c>
      <c r="S22" s="60" t="s">
        <v>791</v>
      </c>
      <c r="T22" s="61"/>
    </row>
    <row r="23" s="34" customFormat="true" ht="60" hidden="false" customHeight="true" outlineLevel="2" collapsed="false">
      <c r="A23" s="63"/>
      <c r="B23" s="57"/>
      <c r="C23" s="57"/>
      <c r="D23" s="53" t="s">
        <v>798</v>
      </c>
      <c r="E23" s="53" t="s">
        <v>103</v>
      </c>
      <c r="F23" s="54" t="n">
        <v>962.26</v>
      </c>
      <c r="G23" s="55"/>
      <c r="H23" s="56" t="str">
        <f aca="false">IF(ISBLANK(G23),"",IF(ISNUMBER(F23),ROUND(F23*G23,2),"Укажите цену"))</f>
        <v/>
      </c>
      <c r="I23" s="57"/>
      <c r="J23" s="57"/>
      <c r="K23" s="57"/>
      <c r="L23" s="57"/>
      <c r="M23" s="57"/>
      <c r="N23" s="57"/>
      <c r="O23" s="57"/>
      <c r="P23" s="58"/>
      <c r="Q23" s="68"/>
      <c r="R23" s="93"/>
      <c r="S23" s="60"/>
      <c r="T23" s="61"/>
    </row>
    <row r="24" s="34" customFormat="true" ht="115" hidden="false" customHeight="true" outlineLevel="2" collapsed="false">
      <c r="A24" s="51" t="s">
        <v>799</v>
      </c>
      <c r="B24" s="57"/>
      <c r="C24" s="57"/>
      <c r="D24" s="53" t="s">
        <v>800</v>
      </c>
      <c r="E24" s="53" t="s">
        <v>217</v>
      </c>
      <c r="F24" s="54" t="n">
        <v>1280.29</v>
      </c>
      <c r="G24" s="55"/>
      <c r="H24" s="56" t="str">
        <f aca="false">IF(ISBLANK(G24),"",IF(ISNUMBER(F24),ROUND(F24*G24,2),"Укажите цену"))</f>
        <v/>
      </c>
      <c r="I24" s="57" t="n">
        <v>653</v>
      </c>
      <c r="J24" s="57" t="n">
        <v>20</v>
      </c>
      <c r="K24" s="57" t="s">
        <v>801</v>
      </c>
      <c r="L24" s="57" t="s">
        <v>91</v>
      </c>
      <c r="M24" s="57" t="s">
        <v>92</v>
      </c>
      <c r="N24" s="57" t="n">
        <v>30</v>
      </c>
      <c r="O24" s="57" t="s">
        <v>720</v>
      </c>
      <c r="P24" s="58" t="n">
        <v>0.025</v>
      </c>
      <c r="Q24" s="68" t="s">
        <v>802</v>
      </c>
      <c r="R24" s="93" t="s">
        <v>803</v>
      </c>
      <c r="S24" s="60" t="s">
        <v>791</v>
      </c>
      <c r="T24" s="61"/>
    </row>
    <row r="25" s="34" customFormat="true" ht="115" hidden="false" customHeight="true" outlineLevel="2" collapsed="false">
      <c r="A25" s="51" t="s">
        <v>804</v>
      </c>
      <c r="B25" s="57"/>
      <c r="C25" s="57"/>
      <c r="D25" s="53" t="s">
        <v>805</v>
      </c>
      <c r="E25" s="53" t="s">
        <v>217</v>
      </c>
      <c r="F25" s="54" t="n">
        <v>1891.89</v>
      </c>
      <c r="G25" s="55"/>
      <c r="H25" s="56" t="str">
        <f aca="false">IF(ISBLANK(G25),"",IF(ISNUMBER(F25),ROUND(F25*G25,2),"Укажите цену"))</f>
        <v/>
      </c>
      <c r="I25" s="57" t="n">
        <v>1016</v>
      </c>
      <c r="J25" s="57" t="n">
        <v>18.7</v>
      </c>
      <c r="K25" s="57" t="s">
        <v>806</v>
      </c>
      <c r="L25" s="57" t="s">
        <v>91</v>
      </c>
      <c r="M25" s="57" t="s">
        <v>92</v>
      </c>
      <c r="N25" s="57" t="n">
        <v>18</v>
      </c>
      <c r="O25" s="57" t="s">
        <v>720</v>
      </c>
      <c r="P25" s="58" t="n">
        <v>0.025</v>
      </c>
      <c r="Q25" s="68" t="s">
        <v>807</v>
      </c>
      <c r="R25" s="93" t="s">
        <v>808</v>
      </c>
      <c r="S25" s="60" t="s">
        <v>791</v>
      </c>
      <c r="T25" s="61"/>
    </row>
    <row r="26" s="34" customFormat="true" ht="60" hidden="false" customHeight="true" outlineLevel="2" collapsed="false">
      <c r="A26" s="63" t="s">
        <v>809</v>
      </c>
      <c r="B26" s="57"/>
      <c r="C26" s="57"/>
      <c r="D26" s="53" t="s">
        <v>810</v>
      </c>
      <c r="E26" s="53" t="s">
        <v>217</v>
      </c>
      <c r="F26" s="54" t="n">
        <v>570.83</v>
      </c>
      <c r="G26" s="55"/>
      <c r="H26" s="56" t="str">
        <f aca="false">IF(ISBLANK(G26),"",IF(ISNUMBER(F26),ROUND(F26*G26,2),"Укажите цену"))</f>
        <v/>
      </c>
      <c r="I26" s="57" t="n">
        <v>263</v>
      </c>
      <c r="J26" s="57" t="n">
        <v>17.86</v>
      </c>
      <c r="K26" s="57" t="s">
        <v>811</v>
      </c>
      <c r="L26" s="57" t="s">
        <v>91</v>
      </c>
      <c r="M26" s="57" t="s">
        <v>92</v>
      </c>
      <c r="N26" s="57" t="n">
        <v>66</v>
      </c>
      <c r="O26" s="57" t="s">
        <v>720</v>
      </c>
      <c r="P26" s="58" t="n">
        <v>0.025</v>
      </c>
      <c r="Q26" s="68" t="s">
        <v>812</v>
      </c>
      <c r="R26" s="93" t="s">
        <v>813</v>
      </c>
      <c r="S26" s="60" t="s">
        <v>814</v>
      </c>
      <c r="T26" s="61"/>
    </row>
    <row r="27" s="34" customFormat="true" ht="60" hidden="false" customHeight="true" outlineLevel="2" collapsed="false">
      <c r="A27" s="63"/>
      <c r="B27" s="57"/>
      <c r="C27" s="57"/>
      <c r="D27" s="53" t="s">
        <v>815</v>
      </c>
      <c r="E27" s="53" t="s">
        <v>103</v>
      </c>
      <c r="F27" s="54" t="n">
        <v>570.83</v>
      </c>
      <c r="G27" s="55"/>
      <c r="H27" s="56" t="str">
        <f aca="false">IF(ISBLANK(G27),"",IF(ISNUMBER(F27),ROUND(F27*G27,2),"Укажите цену"))</f>
        <v/>
      </c>
      <c r="I27" s="57"/>
      <c r="J27" s="57"/>
      <c r="K27" s="57"/>
      <c r="L27" s="57"/>
      <c r="M27" s="57"/>
      <c r="N27" s="57"/>
      <c r="O27" s="57"/>
      <c r="P27" s="58"/>
      <c r="Q27" s="68"/>
      <c r="R27" s="93"/>
      <c r="S27" s="60"/>
      <c r="T27" s="61"/>
    </row>
    <row r="28" s="34" customFormat="true" ht="60" hidden="false" customHeight="true" outlineLevel="2" collapsed="false">
      <c r="A28" s="63" t="s">
        <v>816</v>
      </c>
      <c r="B28" s="57"/>
      <c r="C28" s="57"/>
      <c r="D28" s="53" t="s">
        <v>817</v>
      </c>
      <c r="E28" s="53" t="s">
        <v>217</v>
      </c>
      <c r="F28" s="54" t="n">
        <v>888.86</v>
      </c>
      <c r="G28" s="55"/>
      <c r="H28" s="56" t="str">
        <f aca="false">IF(ISBLANK(G28),"",IF(ISNUMBER(F28),ROUND(F28*G28,2),"Укажите цену"))</f>
        <v/>
      </c>
      <c r="I28" s="57" t="n">
        <v>455</v>
      </c>
      <c r="J28" s="57" t="n">
        <v>19.56</v>
      </c>
      <c r="K28" s="57" t="s">
        <v>818</v>
      </c>
      <c r="L28" s="57" t="s">
        <v>91</v>
      </c>
      <c r="M28" s="57" t="s">
        <v>92</v>
      </c>
      <c r="N28" s="57" t="n">
        <v>42</v>
      </c>
      <c r="O28" s="57" t="s">
        <v>720</v>
      </c>
      <c r="P28" s="58" t="n">
        <v>0.025</v>
      </c>
      <c r="Q28" s="68" t="s">
        <v>819</v>
      </c>
      <c r="R28" s="93" t="s">
        <v>820</v>
      </c>
      <c r="S28" s="60" t="s">
        <v>814</v>
      </c>
      <c r="T28" s="61"/>
    </row>
    <row r="29" s="34" customFormat="true" ht="60" hidden="false" customHeight="true" outlineLevel="2" collapsed="false">
      <c r="A29" s="63"/>
      <c r="B29" s="57"/>
      <c r="C29" s="57"/>
      <c r="D29" s="53" t="s">
        <v>821</v>
      </c>
      <c r="E29" s="53" t="s">
        <v>103</v>
      </c>
      <c r="F29" s="54" t="n">
        <v>888.86</v>
      </c>
      <c r="G29" s="55"/>
      <c r="H29" s="56" t="str">
        <f aca="false">IF(ISBLANK(G29),"",IF(ISNUMBER(F29),ROUND(F29*G29,2),"Укажите цену"))</f>
        <v/>
      </c>
      <c r="I29" s="57"/>
      <c r="J29" s="57"/>
      <c r="K29" s="57"/>
      <c r="L29" s="57"/>
      <c r="M29" s="57"/>
      <c r="N29" s="57"/>
      <c r="O29" s="57"/>
      <c r="P29" s="58"/>
      <c r="Q29" s="68"/>
      <c r="R29" s="93"/>
      <c r="S29" s="60"/>
      <c r="T29" s="61"/>
    </row>
    <row r="30" s="34" customFormat="true" ht="115" hidden="false" customHeight="true" outlineLevel="2" collapsed="false">
      <c r="A30" s="51" t="s">
        <v>822</v>
      </c>
      <c r="B30" s="57"/>
      <c r="C30" s="57"/>
      <c r="D30" s="53" t="s">
        <v>823</v>
      </c>
      <c r="E30" s="53" t="s">
        <v>217</v>
      </c>
      <c r="F30" s="54" t="n">
        <v>1198.74</v>
      </c>
      <c r="G30" s="55"/>
      <c r="H30" s="56" t="str">
        <f aca="false">IF(ISBLANK(G30),"",IF(ISNUMBER(F30),ROUND(F30*G30,2),"Укажите цену"))</f>
        <v/>
      </c>
      <c r="I30" s="57" t="n">
        <v>661</v>
      </c>
      <c r="J30" s="57" t="n">
        <v>20.16</v>
      </c>
      <c r="K30" s="57" t="s">
        <v>824</v>
      </c>
      <c r="L30" s="57" t="s">
        <v>91</v>
      </c>
      <c r="M30" s="57" t="s">
        <v>92</v>
      </c>
      <c r="N30" s="57" t="n">
        <v>30</v>
      </c>
      <c r="O30" s="57" t="s">
        <v>720</v>
      </c>
      <c r="P30" s="58" t="n">
        <v>0.025</v>
      </c>
      <c r="Q30" s="68" t="s">
        <v>825</v>
      </c>
      <c r="R30" s="93" t="s">
        <v>826</v>
      </c>
      <c r="S30" s="60" t="s">
        <v>814</v>
      </c>
      <c r="T30" s="61"/>
    </row>
    <row r="31" s="34" customFormat="true" ht="115" hidden="false" customHeight="true" outlineLevel="2" collapsed="false">
      <c r="A31" s="51" t="s">
        <v>827</v>
      </c>
      <c r="B31" s="57"/>
      <c r="C31" s="57"/>
      <c r="D31" s="53" t="s">
        <v>828</v>
      </c>
      <c r="E31" s="53" t="s">
        <v>217</v>
      </c>
      <c r="F31" s="54" t="n">
        <v>1859.27</v>
      </c>
      <c r="G31" s="55"/>
      <c r="H31" s="56" t="str">
        <f aca="false">IF(ISBLANK(G31),"",IF(ISNUMBER(F31),ROUND(F31*G31,2),"Укажите цену"))</f>
        <v/>
      </c>
      <c r="I31" s="57" t="n">
        <v>1033</v>
      </c>
      <c r="J31" s="57" t="n">
        <v>19.1</v>
      </c>
      <c r="K31" s="57" t="s">
        <v>806</v>
      </c>
      <c r="L31" s="57" t="s">
        <v>91</v>
      </c>
      <c r="M31" s="57" t="s">
        <v>92</v>
      </c>
      <c r="N31" s="57" t="n">
        <v>18</v>
      </c>
      <c r="O31" s="57" t="s">
        <v>720</v>
      </c>
      <c r="P31" s="58" t="n">
        <v>0.025</v>
      </c>
      <c r="Q31" s="68" t="s">
        <v>829</v>
      </c>
      <c r="R31" s="93" t="s">
        <v>830</v>
      </c>
      <c r="S31" s="60" t="s">
        <v>814</v>
      </c>
      <c r="T31" s="61"/>
    </row>
    <row r="32" s="34" customFormat="true" ht="60" hidden="false" customHeight="true" outlineLevel="2" collapsed="false">
      <c r="A32" s="63" t="s">
        <v>831</v>
      </c>
      <c r="B32" s="57"/>
      <c r="C32" s="57"/>
      <c r="D32" s="53" t="s">
        <v>832</v>
      </c>
      <c r="E32" s="53" t="s">
        <v>217</v>
      </c>
      <c r="F32" s="54" t="n">
        <v>513.75</v>
      </c>
      <c r="G32" s="55"/>
      <c r="H32" s="56" t="str">
        <f aca="false">IF(ISBLANK(G32),"",IF(ISNUMBER(F32),ROUND(F32*G32,2),"Укажите цену"))</f>
        <v/>
      </c>
      <c r="I32" s="57" t="n">
        <v>261</v>
      </c>
      <c r="J32" s="57" t="n">
        <v>17.63</v>
      </c>
      <c r="K32" s="57" t="s">
        <v>788</v>
      </c>
      <c r="L32" s="57" t="s">
        <v>91</v>
      </c>
      <c r="M32" s="57" t="s">
        <v>92</v>
      </c>
      <c r="N32" s="57" t="n">
        <v>66</v>
      </c>
      <c r="O32" s="57" t="s">
        <v>720</v>
      </c>
      <c r="P32" s="58" t="n">
        <v>0.025</v>
      </c>
      <c r="Q32" s="68" t="s">
        <v>833</v>
      </c>
      <c r="R32" s="93" t="s">
        <v>834</v>
      </c>
      <c r="S32" s="60" t="s">
        <v>835</v>
      </c>
      <c r="T32" s="61"/>
    </row>
    <row r="33" s="34" customFormat="true" ht="60" hidden="false" customHeight="true" outlineLevel="2" collapsed="false">
      <c r="A33" s="63"/>
      <c r="B33" s="57"/>
      <c r="C33" s="57"/>
      <c r="D33" s="53" t="s">
        <v>836</v>
      </c>
      <c r="E33" s="53" t="s">
        <v>103</v>
      </c>
      <c r="F33" s="54" t="n">
        <v>513.75</v>
      </c>
      <c r="G33" s="55"/>
      <c r="H33" s="56" t="str">
        <f aca="false">IF(ISBLANK(G33),"",IF(ISNUMBER(F33),ROUND(F33*G33,2),"Укажите цену"))</f>
        <v/>
      </c>
      <c r="I33" s="57"/>
      <c r="J33" s="57"/>
      <c r="K33" s="57"/>
      <c r="L33" s="57"/>
      <c r="M33" s="57"/>
      <c r="N33" s="57"/>
      <c r="O33" s="57"/>
      <c r="P33" s="58"/>
      <c r="Q33" s="68"/>
      <c r="R33" s="93"/>
      <c r="S33" s="60"/>
      <c r="T33" s="61"/>
    </row>
    <row r="34" s="34" customFormat="true" ht="60" hidden="false" customHeight="true" outlineLevel="2" collapsed="false">
      <c r="A34" s="63" t="s">
        <v>837</v>
      </c>
      <c r="B34" s="57"/>
      <c r="C34" s="57"/>
      <c r="D34" s="53" t="s">
        <v>838</v>
      </c>
      <c r="E34" s="53" t="s">
        <v>217</v>
      </c>
      <c r="F34" s="54" t="n">
        <v>823.63</v>
      </c>
      <c r="G34" s="55"/>
      <c r="H34" s="56" t="str">
        <f aca="false">IF(ISBLANK(G34),"",IF(ISNUMBER(F34),ROUND(F34*G34,2),"Укажите цену"))</f>
        <v/>
      </c>
      <c r="I34" s="57" t="n">
        <v>451</v>
      </c>
      <c r="J34" s="57" t="n">
        <v>19.38</v>
      </c>
      <c r="K34" s="57" t="s">
        <v>795</v>
      </c>
      <c r="L34" s="57" t="s">
        <v>91</v>
      </c>
      <c r="M34" s="57" t="s">
        <v>92</v>
      </c>
      <c r="N34" s="57" t="n">
        <v>42</v>
      </c>
      <c r="O34" s="57" t="s">
        <v>720</v>
      </c>
      <c r="P34" s="58" t="n">
        <v>0.025</v>
      </c>
      <c r="Q34" s="68" t="s">
        <v>839</v>
      </c>
      <c r="R34" s="93" t="s">
        <v>840</v>
      </c>
      <c r="S34" s="60" t="s">
        <v>835</v>
      </c>
      <c r="T34" s="61"/>
    </row>
    <row r="35" s="34" customFormat="true" ht="60" hidden="false" customHeight="true" outlineLevel="2" collapsed="false">
      <c r="A35" s="63"/>
      <c r="B35" s="57"/>
      <c r="C35" s="57"/>
      <c r="D35" s="53" t="s">
        <v>841</v>
      </c>
      <c r="E35" s="53" t="s">
        <v>103</v>
      </c>
      <c r="F35" s="54" t="n">
        <v>823.63</v>
      </c>
      <c r="G35" s="55"/>
      <c r="H35" s="56" t="str">
        <f aca="false">IF(ISBLANK(G35),"",IF(ISNUMBER(F35),ROUND(F35*G35,2),"Укажите цену"))</f>
        <v/>
      </c>
      <c r="I35" s="57"/>
      <c r="J35" s="57"/>
      <c r="K35" s="57"/>
      <c r="L35" s="57"/>
      <c r="M35" s="57"/>
      <c r="N35" s="57"/>
      <c r="O35" s="57"/>
      <c r="P35" s="58"/>
      <c r="Q35" s="68"/>
      <c r="R35" s="93"/>
      <c r="S35" s="60"/>
      <c r="T35" s="61"/>
    </row>
    <row r="36" s="70" customFormat="true" ht="115" hidden="false" customHeight="true" outlineLevel="2" collapsed="false">
      <c r="A36" s="51" t="s">
        <v>842</v>
      </c>
      <c r="B36" s="57"/>
      <c r="C36" s="57"/>
      <c r="D36" s="53" t="s">
        <v>843</v>
      </c>
      <c r="E36" s="53" t="s">
        <v>217</v>
      </c>
      <c r="F36" s="54" t="n">
        <v>627.91</v>
      </c>
      <c r="G36" s="55"/>
      <c r="H36" s="56" t="str">
        <f aca="false">IF(ISBLANK(G36),"",IF(ISNUMBER(F36),ROUND(F36*G36,2),"Укажите цену"))</f>
        <v/>
      </c>
      <c r="I36" s="57" t="n">
        <v>296</v>
      </c>
      <c r="J36" s="57" t="n">
        <v>18.3</v>
      </c>
      <c r="K36" s="57" t="s">
        <v>844</v>
      </c>
      <c r="L36" s="57" t="s">
        <v>91</v>
      </c>
      <c r="M36" s="57" t="s">
        <v>92</v>
      </c>
      <c r="N36" s="57" t="n">
        <v>60</v>
      </c>
      <c r="O36" s="57" t="s">
        <v>720</v>
      </c>
      <c r="P36" s="58" t="n">
        <v>0.025</v>
      </c>
      <c r="Q36" s="68" t="s">
        <v>845</v>
      </c>
      <c r="R36" s="93" t="s">
        <v>846</v>
      </c>
      <c r="S36" s="60" t="s">
        <v>847</v>
      </c>
      <c r="T36" s="61"/>
    </row>
    <row r="37" s="70" customFormat="true" ht="115" hidden="false" customHeight="true" outlineLevel="2" collapsed="false">
      <c r="A37" s="51" t="s">
        <v>848</v>
      </c>
      <c r="B37" s="57"/>
      <c r="C37" s="57"/>
      <c r="D37" s="53" t="s">
        <v>849</v>
      </c>
      <c r="E37" s="53" t="s">
        <v>217</v>
      </c>
      <c r="F37" s="54" t="n">
        <v>945.95</v>
      </c>
      <c r="G37" s="55"/>
      <c r="H37" s="56" t="str">
        <f aca="false">IF(ISBLANK(G37),"",IF(ISNUMBER(F37),ROUND(F37*G37,2),"Укажите цену"))</f>
        <v/>
      </c>
      <c r="I37" s="57" t="n">
        <v>498</v>
      </c>
      <c r="J37" s="57" t="n">
        <v>19.9</v>
      </c>
      <c r="K37" s="57" t="s">
        <v>850</v>
      </c>
      <c r="L37" s="57" t="s">
        <v>91</v>
      </c>
      <c r="M37" s="57" t="s">
        <v>92</v>
      </c>
      <c r="N37" s="57" t="n">
        <v>39</v>
      </c>
      <c r="O37" s="57" t="s">
        <v>720</v>
      </c>
      <c r="P37" s="58" t="n">
        <v>0.025</v>
      </c>
      <c r="Q37" s="68" t="s">
        <v>851</v>
      </c>
      <c r="R37" s="93" t="s">
        <v>852</v>
      </c>
      <c r="S37" s="60" t="s">
        <v>847</v>
      </c>
      <c r="T37" s="61"/>
    </row>
    <row r="38" s="70" customFormat="true" ht="115" hidden="false" customHeight="true" outlineLevel="2" collapsed="false">
      <c r="A38" s="51" t="s">
        <v>853</v>
      </c>
      <c r="B38" s="57"/>
      <c r="C38" s="57"/>
      <c r="D38" s="53" t="s">
        <v>854</v>
      </c>
      <c r="E38" s="53" t="s">
        <v>217</v>
      </c>
      <c r="F38" s="54" t="n">
        <v>2161</v>
      </c>
      <c r="G38" s="55"/>
      <c r="H38" s="56" t="str">
        <f aca="false">IF(ISBLANK(G38),"",IF(ISNUMBER(F38),ROUND(F38*G38,2),"Укажите цену"))</f>
        <v/>
      </c>
      <c r="I38" s="57" t="n">
        <v>893</v>
      </c>
      <c r="J38" s="57" t="n">
        <v>14</v>
      </c>
      <c r="K38" s="57" t="s">
        <v>855</v>
      </c>
      <c r="L38" s="57" t="s">
        <v>91</v>
      </c>
      <c r="M38" s="57" t="s">
        <v>92</v>
      </c>
      <c r="N38" s="57" t="n">
        <v>15</v>
      </c>
      <c r="O38" s="57" t="s">
        <v>856</v>
      </c>
      <c r="P38" s="58" t="n">
        <v>0.029</v>
      </c>
      <c r="Q38" s="68" t="s">
        <v>857</v>
      </c>
      <c r="R38" s="93" t="s">
        <v>858</v>
      </c>
      <c r="S38" s="60" t="s">
        <v>96</v>
      </c>
      <c r="T38" s="61"/>
    </row>
    <row r="39" s="70" customFormat="true" ht="115" hidden="false" customHeight="true" outlineLevel="2" collapsed="false">
      <c r="A39" s="51" t="s">
        <v>859</v>
      </c>
      <c r="B39" s="57"/>
      <c r="C39" s="57"/>
      <c r="D39" s="53" t="s">
        <v>860</v>
      </c>
      <c r="E39" s="53" t="s">
        <v>217</v>
      </c>
      <c r="F39" s="54" t="n">
        <v>2527.96</v>
      </c>
      <c r="G39" s="55"/>
      <c r="H39" s="56" t="str">
        <f aca="false">IF(ISBLANK(G39),"",IF(ISNUMBER(F39),ROUND(F39*G39,2),"Укажите цену"))</f>
        <v/>
      </c>
      <c r="I39" s="57" t="n">
        <v>1083</v>
      </c>
      <c r="J39" s="57" t="n">
        <v>13.6</v>
      </c>
      <c r="K39" s="57" t="s">
        <v>861</v>
      </c>
      <c r="L39" s="57" t="s">
        <v>91</v>
      </c>
      <c r="M39" s="57" t="s">
        <v>92</v>
      </c>
      <c r="N39" s="57" t="n">
        <v>12</v>
      </c>
      <c r="O39" s="57" t="s">
        <v>862</v>
      </c>
      <c r="P39" s="58" t="n">
        <v>0.026</v>
      </c>
      <c r="Q39" s="68" t="s">
        <v>863</v>
      </c>
      <c r="R39" s="93" t="s">
        <v>864</v>
      </c>
      <c r="S39" s="60" t="s">
        <v>865</v>
      </c>
      <c r="T39" s="61"/>
    </row>
    <row r="40" s="70" customFormat="true" ht="115" hidden="false" customHeight="true" outlineLevel="2" collapsed="false">
      <c r="A40" s="51" t="s">
        <v>866</v>
      </c>
      <c r="B40" s="57"/>
      <c r="C40" s="57"/>
      <c r="D40" s="53" t="s">
        <v>867</v>
      </c>
      <c r="E40" s="53" t="s">
        <v>217</v>
      </c>
      <c r="F40" s="54" t="n">
        <v>2894.92</v>
      </c>
      <c r="G40" s="55"/>
      <c r="H40" s="56" t="str">
        <f aca="false">IF(ISBLANK(G40),"",IF(ISNUMBER(F40),ROUND(F40*G40,2),"Укажите цену"))</f>
        <v/>
      </c>
      <c r="I40" s="57" t="n">
        <v>1284</v>
      </c>
      <c r="J40" s="57" t="n">
        <v>14.7</v>
      </c>
      <c r="K40" s="57" t="s">
        <v>868</v>
      </c>
      <c r="L40" s="57" t="s">
        <v>91</v>
      </c>
      <c r="M40" s="57" t="s">
        <v>92</v>
      </c>
      <c r="N40" s="57" t="n">
        <v>11</v>
      </c>
      <c r="O40" s="57" t="s">
        <v>856</v>
      </c>
      <c r="P40" s="58" t="n">
        <v>0.029</v>
      </c>
      <c r="Q40" s="68" t="s">
        <v>869</v>
      </c>
      <c r="R40" s="93" t="s">
        <v>870</v>
      </c>
      <c r="S40" s="60" t="s">
        <v>96</v>
      </c>
      <c r="T40" s="61"/>
    </row>
    <row r="41" s="70" customFormat="true" ht="115" hidden="false" customHeight="true" outlineLevel="2" collapsed="false">
      <c r="A41" s="51" t="s">
        <v>871</v>
      </c>
      <c r="B41" s="57"/>
      <c r="C41" s="57"/>
      <c r="D41" s="53" t="s">
        <v>872</v>
      </c>
      <c r="E41" s="53" t="s">
        <v>217</v>
      </c>
      <c r="F41" s="54" t="n">
        <v>1622.79</v>
      </c>
      <c r="G41" s="55"/>
      <c r="H41" s="56" t="str">
        <f aca="false">IF(ISBLANK(G41),"",IF(ISNUMBER(F41),ROUND(F41*G41,2),"Укажите цену"))</f>
        <v/>
      </c>
      <c r="I41" s="57" t="n">
        <v>737</v>
      </c>
      <c r="J41" s="57" t="n">
        <v>12.2</v>
      </c>
      <c r="K41" s="57" t="s">
        <v>873</v>
      </c>
      <c r="L41" s="57" t="s">
        <v>91</v>
      </c>
      <c r="M41" s="57" t="s">
        <v>92</v>
      </c>
      <c r="N41" s="57" t="n">
        <v>16</v>
      </c>
      <c r="O41" s="57" t="s">
        <v>874</v>
      </c>
      <c r="P41" s="58" t="n">
        <v>0.026</v>
      </c>
      <c r="Q41" s="68" t="s">
        <v>875</v>
      </c>
      <c r="R41" s="93" t="s">
        <v>876</v>
      </c>
      <c r="S41" s="60" t="s">
        <v>877</v>
      </c>
      <c r="T41" s="61"/>
    </row>
    <row r="42" s="70" customFormat="true" ht="115" hidden="false" customHeight="true" outlineLevel="2" collapsed="false">
      <c r="A42" s="51" t="s">
        <v>878</v>
      </c>
      <c r="B42" s="57"/>
      <c r="C42" s="57"/>
      <c r="D42" s="53" t="s">
        <v>879</v>
      </c>
      <c r="E42" s="53" t="s">
        <v>217</v>
      </c>
      <c r="F42" s="54" t="n">
        <v>2209.93</v>
      </c>
      <c r="G42" s="55"/>
      <c r="H42" s="56" t="str">
        <f aca="false">IF(ISBLANK(G42),"",IF(ISNUMBER(F42),ROUND(F42*G42,2),"Укажите цену"))</f>
        <v/>
      </c>
      <c r="I42" s="57" t="n">
        <v>1099</v>
      </c>
      <c r="J42" s="57" t="n">
        <v>14</v>
      </c>
      <c r="K42" s="57" t="s">
        <v>880</v>
      </c>
      <c r="L42" s="57" t="s">
        <v>91</v>
      </c>
      <c r="M42" s="57" t="s">
        <v>92</v>
      </c>
      <c r="N42" s="57" t="n">
        <v>12</v>
      </c>
      <c r="O42" s="57" t="s">
        <v>874</v>
      </c>
      <c r="P42" s="58" t="n">
        <v>0.026</v>
      </c>
      <c r="Q42" s="68" t="s">
        <v>881</v>
      </c>
      <c r="R42" s="93" t="s">
        <v>882</v>
      </c>
      <c r="S42" s="60" t="s">
        <v>877</v>
      </c>
      <c r="T42" s="61"/>
    </row>
    <row r="43" s="70" customFormat="true" ht="115" hidden="false" customHeight="true" outlineLevel="2" collapsed="false">
      <c r="A43" s="51" t="s">
        <v>883</v>
      </c>
      <c r="B43" s="57"/>
      <c r="C43" s="57"/>
      <c r="D43" s="53" t="s">
        <v>884</v>
      </c>
      <c r="E43" s="53" t="s">
        <v>217</v>
      </c>
      <c r="F43" s="54" t="n">
        <v>3416.82</v>
      </c>
      <c r="G43" s="55"/>
      <c r="H43" s="56" t="str">
        <f aca="false">IF(ISBLANK(G43),"",IF(ISNUMBER(F43),ROUND(F43*G43,2),"Укажите цену"))</f>
        <v/>
      </c>
      <c r="I43" s="57" t="n">
        <v>1836</v>
      </c>
      <c r="J43" s="57" t="n">
        <v>17.09</v>
      </c>
      <c r="K43" s="57" t="s">
        <v>885</v>
      </c>
      <c r="L43" s="57" t="s">
        <v>91</v>
      </c>
      <c r="M43" s="57" t="s">
        <v>92</v>
      </c>
      <c r="N43" s="57" t="n">
        <v>9</v>
      </c>
      <c r="O43" s="57" t="s">
        <v>874</v>
      </c>
      <c r="P43" s="58" t="n">
        <v>0.026</v>
      </c>
      <c r="Q43" s="68" t="s">
        <v>886</v>
      </c>
      <c r="R43" s="93" t="s">
        <v>887</v>
      </c>
      <c r="S43" s="60" t="s">
        <v>877</v>
      </c>
      <c r="T43" s="61"/>
    </row>
    <row r="44" s="70" customFormat="true" ht="115" hidden="false" customHeight="true" outlineLevel="2" collapsed="false">
      <c r="A44" s="51" t="s">
        <v>888</v>
      </c>
      <c r="B44" s="57"/>
      <c r="C44" s="57"/>
      <c r="D44" s="53" t="s">
        <v>889</v>
      </c>
      <c r="E44" s="53" t="s">
        <v>89</v>
      </c>
      <c r="F44" s="54" t="n">
        <v>791.01</v>
      </c>
      <c r="G44" s="55"/>
      <c r="H44" s="56" t="str">
        <f aca="false">IF(ISBLANK(G44),"",IF(ISNUMBER(F44),ROUND(F44*G44,2),"Укажите цену"))</f>
        <v/>
      </c>
      <c r="I44" s="57" t="n">
        <v>282</v>
      </c>
      <c r="J44" s="57" t="n">
        <v>19.1</v>
      </c>
      <c r="K44" s="57" t="s">
        <v>890</v>
      </c>
      <c r="L44" s="57" t="s">
        <v>91</v>
      </c>
      <c r="M44" s="57" t="s">
        <v>92</v>
      </c>
      <c r="N44" s="57" t="n">
        <v>66</v>
      </c>
      <c r="O44" s="57" t="s">
        <v>720</v>
      </c>
      <c r="P44" s="58" t="n">
        <v>0.025</v>
      </c>
      <c r="Q44" s="68" t="s">
        <v>891</v>
      </c>
      <c r="R44" s="69" t="s">
        <v>892</v>
      </c>
      <c r="S44" s="71" t="s">
        <v>96</v>
      </c>
      <c r="T44" s="61"/>
    </row>
    <row r="45" s="70" customFormat="true" ht="115" hidden="false" customHeight="true" outlineLevel="2" collapsed="false">
      <c r="A45" s="51" t="s">
        <v>893</v>
      </c>
      <c r="B45" s="57"/>
      <c r="C45" s="57"/>
      <c r="D45" s="53" t="s">
        <v>894</v>
      </c>
      <c r="E45" s="53" t="s">
        <v>217</v>
      </c>
      <c r="F45" s="54" t="n">
        <v>1386.3</v>
      </c>
      <c r="G45" s="55"/>
      <c r="H45" s="56" t="str">
        <f aca="false">IF(ISBLANK(G45),"",IF(ISNUMBER(F45),ROUND(F45*G45,2),"Укажите цену"))</f>
        <v/>
      </c>
      <c r="I45" s="57" t="n">
        <v>676</v>
      </c>
      <c r="J45" s="57" t="n">
        <v>16.8</v>
      </c>
      <c r="K45" s="57" t="s">
        <v>895</v>
      </c>
      <c r="L45" s="57" t="s">
        <v>91</v>
      </c>
      <c r="M45" s="57" t="s">
        <v>92</v>
      </c>
      <c r="N45" s="57" t="n">
        <v>24</v>
      </c>
      <c r="O45" s="57" t="s">
        <v>720</v>
      </c>
      <c r="P45" s="58" t="n">
        <v>0.025</v>
      </c>
      <c r="Q45" s="68" t="s">
        <v>896</v>
      </c>
      <c r="R45" s="93" t="s">
        <v>897</v>
      </c>
      <c r="S45" s="60" t="s">
        <v>96</v>
      </c>
      <c r="T45" s="61"/>
    </row>
    <row r="46" s="70" customFormat="true" ht="60" hidden="false" customHeight="true" outlineLevel="2" collapsed="false">
      <c r="A46" s="63" t="s">
        <v>898</v>
      </c>
      <c r="B46" s="57"/>
      <c r="C46" s="57"/>
      <c r="D46" s="53" t="s">
        <v>899</v>
      </c>
      <c r="E46" s="53" t="s">
        <v>89</v>
      </c>
      <c r="F46" s="54" t="n">
        <v>685</v>
      </c>
      <c r="G46" s="55"/>
      <c r="H46" s="56" t="str">
        <f aca="false">IF(ISBLANK(G46),"",IF(ISNUMBER(F46),ROUND(F46*G46,2),"Укажите цену"))</f>
        <v/>
      </c>
      <c r="I46" s="57" t="n">
        <v>266</v>
      </c>
      <c r="J46" s="57" t="n">
        <v>18</v>
      </c>
      <c r="K46" s="57" t="s">
        <v>900</v>
      </c>
      <c r="L46" s="57" t="s">
        <v>91</v>
      </c>
      <c r="M46" s="57" t="s">
        <v>92</v>
      </c>
      <c r="N46" s="57" t="n">
        <v>66</v>
      </c>
      <c r="O46" s="57" t="s">
        <v>720</v>
      </c>
      <c r="P46" s="58" t="n">
        <v>0.025</v>
      </c>
      <c r="Q46" s="68" t="s">
        <v>901</v>
      </c>
      <c r="R46" s="77" t="s">
        <v>902</v>
      </c>
      <c r="S46" s="60" t="s">
        <v>96</v>
      </c>
      <c r="T46" s="61"/>
    </row>
    <row r="47" s="70" customFormat="true" ht="60" hidden="false" customHeight="true" outlineLevel="2" collapsed="false">
      <c r="A47" s="63"/>
      <c r="B47" s="57"/>
      <c r="C47" s="57"/>
      <c r="D47" s="53" t="s">
        <v>903</v>
      </c>
      <c r="E47" s="53" t="s">
        <v>103</v>
      </c>
      <c r="F47" s="54" t="n">
        <v>685</v>
      </c>
      <c r="G47" s="55"/>
      <c r="H47" s="56" t="str">
        <f aca="false">IF(ISBLANK(G47),"",IF(ISNUMBER(F47),ROUND(F47*G47,2),"Укажите цену"))</f>
        <v/>
      </c>
      <c r="I47" s="57"/>
      <c r="J47" s="57"/>
      <c r="K47" s="57"/>
      <c r="L47" s="57"/>
      <c r="M47" s="57"/>
      <c r="N47" s="57"/>
      <c r="O47" s="57"/>
      <c r="P47" s="58"/>
      <c r="Q47" s="68"/>
      <c r="R47" s="77"/>
      <c r="S47" s="60"/>
      <c r="T47" s="61"/>
    </row>
    <row r="48" s="70" customFormat="true" ht="115" hidden="false" customHeight="true" outlineLevel="2" collapsed="false">
      <c r="A48" s="51" t="s">
        <v>904</v>
      </c>
      <c r="B48" s="57"/>
      <c r="C48" s="57"/>
      <c r="D48" s="53" t="s">
        <v>905</v>
      </c>
      <c r="E48" s="53" t="s">
        <v>89</v>
      </c>
      <c r="F48" s="54" t="n">
        <v>986.72</v>
      </c>
      <c r="G48" s="55"/>
      <c r="H48" s="56" t="str">
        <f aca="false">IF(ISBLANK(G48),"",IF(ISNUMBER(F48),ROUND(F48*G48,2),"Укажите цену"))</f>
        <v/>
      </c>
      <c r="I48" s="57" t="n">
        <v>465</v>
      </c>
      <c r="J48" s="57" t="n">
        <v>20</v>
      </c>
      <c r="K48" s="57" t="s">
        <v>906</v>
      </c>
      <c r="L48" s="57" t="s">
        <v>91</v>
      </c>
      <c r="M48" s="57" t="s">
        <v>92</v>
      </c>
      <c r="N48" s="57" t="n">
        <v>42</v>
      </c>
      <c r="O48" s="57" t="s">
        <v>720</v>
      </c>
      <c r="P48" s="58" t="n">
        <v>0.025</v>
      </c>
      <c r="Q48" s="68" t="s">
        <v>907</v>
      </c>
      <c r="R48" s="77" t="s">
        <v>908</v>
      </c>
      <c r="S48" s="60" t="s">
        <v>96</v>
      </c>
      <c r="T48" s="61"/>
    </row>
    <row r="49" s="70" customFormat="true" ht="115" hidden="false" customHeight="true" outlineLevel="2" collapsed="false">
      <c r="A49" s="51" t="s">
        <v>909</v>
      </c>
      <c r="B49" s="57"/>
      <c r="C49" s="57"/>
      <c r="D49" s="53" t="s">
        <v>910</v>
      </c>
      <c r="E49" s="53" t="s">
        <v>217</v>
      </c>
      <c r="F49" s="54" t="n">
        <v>1296.6</v>
      </c>
      <c r="G49" s="55"/>
      <c r="H49" s="56" t="str">
        <f aca="false">IF(ISBLANK(G49),"",IF(ISNUMBER(F49),ROUND(F49*G49,2),"Укажите цену"))</f>
        <v/>
      </c>
      <c r="I49" s="57" t="n">
        <v>663</v>
      </c>
      <c r="J49" s="57" t="n">
        <v>16.4</v>
      </c>
      <c r="K49" s="57" t="s">
        <v>911</v>
      </c>
      <c r="L49" s="57" t="s">
        <v>91</v>
      </c>
      <c r="M49" s="57" t="s">
        <v>92</v>
      </c>
      <c r="N49" s="57" t="n">
        <v>24</v>
      </c>
      <c r="O49" s="57" t="s">
        <v>720</v>
      </c>
      <c r="P49" s="58" t="n">
        <v>0.025</v>
      </c>
      <c r="Q49" s="68" t="s">
        <v>912</v>
      </c>
      <c r="R49" s="93" t="s">
        <v>913</v>
      </c>
      <c r="S49" s="60" t="s">
        <v>96</v>
      </c>
      <c r="T49" s="61"/>
    </row>
    <row r="50" s="70" customFormat="true" ht="60" hidden="false" customHeight="true" outlineLevel="2" collapsed="false">
      <c r="A50" s="63" t="s">
        <v>914</v>
      </c>
      <c r="B50" s="57"/>
      <c r="C50" s="57"/>
      <c r="D50" s="53" t="s">
        <v>915</v>
      </c>
      <c r="E50" s="53" t="s">
        <v>89</v>
      </c>
      <c r="F50" s="54" t="n">
        <v>538.21</v>
      </c>
      <c r="G50" s="55"/>
      <c r="H50" s="56" t="str">
        <f aca="false">IF(ISBLANK(G50),"",IF(ISNUMBER(F50),ROUND(F50*G50,2),"Укажите цену"))</f>
        <v/>
      </c>
      <c r="I50" s="57" t="n">
        <v>263</v>
      </c>
      <c r="J50" s="57" t="n">
        <v>17.8</v>
      </c>
      <c r="K50" s="57" t="s">
        <v>916</v>
      </c>
      <c r="L50" s="57" t="s">
        <v>91</v>
      </c>
      <c r="M50" s="57" t="s">
        <v>92</v>
      </c>
      <c r="N50" s="57" t="n">
        <v>66</v>
      </c>
      <c r="O50" s="57" t="s">
        <v>720</v>
      </c>
      <c r="P50" s="58" t="n">
        <v>0.025</v>
      </c>
      <c r="Q50" s="68" t="s">
        <v>917</v>
      </c>
      <c r="R50" s="77" t="s">
        <v>918</v>
      </c>
      <c r="S50" s="60" t="s">
        <v>919</v>
      </c>
      <c r="T50" s="61"/>
    </row>
    <row r="51" s="70" customFormat="true" ht="60" hidden="false" customHeight="true" outlineLevel="2" collapsed="false">
      <c r="A51" s="63"/>
      <c r="B51" s="57"/>
      <c r="C51" s="57"/>
      <c r="D51" s="53" t="s">
        <v>920</v>
      </c>
      <c r="E51" s="53" t="s">
        <v>103</v>
      </c>
      <c r="F51" s="54" t="n">
        <v>538.21</v>
      </c>
      <c r="G51" s="55"/>
      <c r="H51" s="56" t="str">
        <f aca="false">IF(ISBLANK(G51),"",IF(ISNUMBER(F51),ROUND(F51*G51,2),"Укажите цену"))</f>
        <v/>
      </c>
      <c r="I51" s="57"/>
      <c r="J51" s="57"/>
      <c r="K51" s="57"/>
      <c r="L51" s="57"/>
      <c r="M51" s="57"/>
      <c r="N51" s="57"/>
      <c r="O51" s="57"/>
      <c r="P51" s="58"/>
      <c r="Q51" s="68"/>
      <c r="R51" s="77"/>
      <c r="S51" s="60"/>
      <c r="T51" s="61"/>
    </row>
    <row r="52" s="70" customFormat="true" ht="115" hidden="false" customHeight="true" outlineLevel="2" collapsed="false">
      <c r="A52" s="51" t="s">
        <v>921</v>
      </c>
      <c r="B52" s="57"/>
      <c r="C52" s="57"/>
      <c r="D52" s="53" t="s">
        <v>922</v>
      </c>
      <c r="E52" s="53" t="s">
        <v>89</v>
      </c>
      <c r="F52" s="54" t="n">
        <v>848.09</v>
      </c>
      <c r="G52" s="55"/>
      <c r="H52" s="56" t="str">
        <f aca="false">IF(ISBLANK(G52),"",IF(ISNUMBER(F52),ROUND(F52*G52,2),"Укажите цену"))</f>
        <v/>
      </c>
      <c r="I52" s="57" t="n">
        <v>455</v>
      </c>
      <c r="J52" s="57" t="n">
        <v>19.6</v>
      </c>
      <c r="K52" s="57" t="s">
        <v>923</v>
      </c>
      <c r="L52" s="57" t="s">
        <v>91</v>
      </c>
      <c r="M52" s="57" t="s">
        <v>92</v>
      </c>
      <c r="N52" s="57" t="n">
        <v>42</v>
      </c>
      <c r="O52" s="57" t="s">
        <v>720</v>
      </c>
      <c r="P52" s="58" t="n">
        <v>0.025</v>
      </c>
      <c r="Q52" s="68" t="s">
        <v>924</v>
      </c>
      <c r="R52" s="77" t="s">
        <v>925</v>
      </c>
      <c r="S52" s="60" t="s">
        <v>96</v>
      </c>
      <c r="T52" s="61"/>
    </row>
    <row r="53" customFormat="false" ht="30" hidden="false" customHeight="true" outlineLevel="1" collapsed="false">
      <c r="F53" s="109" t="s">
        <v>633</v>
      </c>
      <c r="G53" s="109"/>
      <c r="H53" s="109" t="n">
        <f aca="false">IF(COUNTIFS(H5:H52,"Укажите цену")&gt;0,"Укажите цены",SUM(H5:H52))</f>
        <v>0</v>
      </c>
    </row>
    <row r="54" s="4" customFormat="true" ht="5.25" hidden="false" customHeight="true" outlineLevel="0" collapsed="false">
      <c r="A54" s="135"/>
      <c r="B54" s="135"/>
      <c r="C54" s="135"/>
      <c r="D54" s="135"/>
      <c r="E54" s="135"/>
      <c r="F54" s="135"/>
      <c r="G54" s="135"/>
      <c r="H54" s="135"/>
      <c r="I54" s="135"/>
      <c r="J54" s="135"/>
      <c r="K54" s="135"/>
      <c r="L54" s="135"/>
      <c r="M54" s="135"/>
      <c r="N54" s="135"/>
      <c r="O54" s="135"/>
      <c r="P54" s="135"/>
      <c r="Q54" s="135"/>
      <c r="R54" s="135"/>
      <c r="S54" s="136"/>
      <c r="T54" s="61"/>
    </row>
    <row r="55" customFormat="false" ht="50.1" hidden="false" customHeight="true" outlineLevel="0" collapsed="false">
      <c r="T55" s="61"/>
    </row>
    <row r="56" customFormat="false" ht="50.1" hidden="false" customHeight="true" outlineLevel="0" collapsed="false">
      <c r="T56" s="61"/>
    </row>
    <row r="57" customFormat="false" ht="50.1" hidden="false" customHeight="true" outlineLevel="0" collapsed="false">
      <c r="T57" s="61"/>
    </row>
    <row r="58" customFormat="false" ht="50.1" hidden="false" customHeight="true" outlineLevel="0" collapsed="false">
      <c r="T58" s="61"/>
    </row>
    <row r="59" customFormat="false" ht="50.1" hidden="false" customHeight="true" outlineLevel="0" collapsed="false">
      <c r="T59" s="61"/>
    </row>
    <row r="60" customFormat="false" ht="50.1" hidden="false" customHeight="true" outlineLevel="0" collapsed="false">
      <c r="T60" s="61"/>
    </row>
    <row r="61" customFormat="false" ht="50.1" hidden="false" customHeight="true" outlineLevel="0" collapsed="false">
      <c r="T61" s="61"/>
    </row>
    <row r="62" customFormat="false" ht="50.1" hidden="false" customHeight="true" outlineLevel="0" collapsed="false">
      <c r="T62" s="61"/>
    </row>
    <row r="63" customFormat="false" ht="50.1" hidden="false" customHeight="true" outlineLevel="0" collapsed="false">
      <c r="T63" s="61"/>
    </row>
    <row r="64" customFormat="false" ht="50.1" hidden="false" customHeight="true" outlineLevel="0" collapsed="false">
      <c r="T64" s="61"/>
    </row>
    <row r="65" customFormat="false" ht="50.1" hidden="false" customHeight="true" outlineLevel="0" collapsed="false">
      <c r="T65" s="61"/>
    </row>
    <row r="66" customFormat="false" ht="50.1" hidden="false" customHeight="true" outlineLevel="0" collapsed="false">
      <c r="T66" s="61"/>
    </row>
    <row r="67" customFormat="false" ht="50.1" hidden="false" customHeight="true" outlineLevel="0" collapsed="false">
      <c r="T67" s="61"/>
    </row>
    <row r="68" customFormat="false" ht="50.1" hidden="false" customHeight="true" outlineLevel="0" collapsed="false">
      <c r="T68" s="61"/>
    </row>
    <row r="69" customFormat="false" ht="50.1" hidden="false" customHeight="true" outlineLevel="0" collapsed="false">
      <c r="T69" s="61"/>
    </row>
    <row r="70" customFormat="false" ht="50.1" hidden="false" customHeight="true" outlineLevel="0" collapsed="false">
      <c r="T70" s="61"/>
    </row>
    <row r="71" customFormat="false" ht="50.1" hidden="false" customHeight="true" outlineLevel="0" collapsed="false">
      <c r="T71" s="61"/>
    </row>
    <row r="72" customFormat="false" ht="50.1" hidden="false" customHeight="true" outlineLevel="0" collapsed="false">
      <c r="T72" s="61"/>
    </row>
    <row r="73" customFormat="false" ht="50.1" hidden="false" customHeight="true" outlineLevel="0" collapsed="false">
      <c r="T73" s="61"/>
    </row>
    <row r="74" customFormat="false" ht="50.1" hidden="false" customHeight="true" outlineLevel="0" collapsed="false">
      <c r="T74" s="61"/>
    </row>
    <row r="75" customFormat="false" ht="50.1" hidden="false" customHeight="true" outlineLevel="0" collapsed="false">
      <c r="T75" s="61"/>
    </row>
    <row r="76" customFormat="false" ht="50.1" hidden="false" customHeight="true" outlineLevel="0" collapsed="false">
      <c r="T76" s="61"/>
    </row>
    <row r="77" customFormat="false" ht="50.1" hidden="false" customHeight="true" outlineLevel="0" collapsed="false">
      <c r="T77" s="61"/>
    </row>
    <row r="78" customFormat="false" ht="50.1" hidden="false" customHeight="true" outlineLevel="0" collapsed="false">
      <c r="T78" s="61"/>
    </row>
    <row r="79" customFormat="false" ht="50.1" hidden="false" customHeight="true" outlineLevel="0" collapsed="false">
      <c r="T79" s="61"/>
    </row>
    <row r="80" customFormat="false" ht="50.1" hidden="false" customHeight="true" outlineLevel="0" collapsed="false">
      <c r="T80" s="61"/>
    </row>
    <row r="81" customFormat="false" ht="50.1" hidden="false" customHeight="true" outlineLevel="0" collapsed="false">
      <c r="T81" s="61"/>
    </row>
    <row r="82" customFormat="false" ht="50.1" hidden="false" customHeight="true" outlineLevel="0" collapsed="false">
      <c r="T82" s="61"/>
    </row>
    <row r="83" customFormat="false" ht="50.1" hidden="false" customHeight="true" outlineLevel="0" collapsed="false">
      <c r="T83" s="61"/>
    </row>
    <row r="84" customFormat="false" ht="50.1" hidden="false" customHeight="true" outlineLevel="0" collapsed="false">
      <c r="T84" s="61"/>
    </row>
    <row r="85" customFormat="false" ht="50.1" hidden="false" customHeight="true" outlineLevel="0" collapsed="false">
      <c r="T85" s="61"/>
    </row>
    <row r="86" customFormat="false" ht="50.1" hidden="false" customHeight="true" outlineLevel="0" collapsed="false">
      <c r="T86" s="61"/>
    </row>
    <row r="87" customFormat="false" ht="50.1" hidden="false" customHeight="true" outlineLevel="0" collapsed="false">
      <c r="T87" s="61"/>
    </row>
    <row r="88" customFormat="false" ht="50.1" hidden="false" customHeight="true" outlineLevel="0" collapsed="false">
      <c r="T88" s="61"/>
    </row>
    <row r="89" customFormat="false" ht="50.1" hidden="false" customHeight="true" outlineLevel="0" collapsed="false">
      <c r="T89" s="61"/>
    </row>
    <row r="90" customFormat="false" ht="50.1" hidden="false" customHeight="true" outlineLevel="0" collapsed="false">
      <c r="T90" s="61"/>
    </row>
    <row r="91" customFormat="false" ht="50.1" hidden="false" customHeight="true" outlineLevel="0" collapsed="false">
      <c r="T91" s="61"/>
    </row>
    <row r="92" customFormat="false" ht="50.1" hidden="false" customHeight="true" outlineLevel="0" collapsed="false">
      <c r="T92" s="61"/>
    </row>
    <row r="93" customFormat="false" ht="50.1" hidden="false" customHeight="true" outlineLevel="0" collapsed="false">
      <c r="T93" s="61"/>
    </row>
    <row r="94" customFormat="false" ht="50.1" hidden="false" customHeight="true" outlineLevel="0" collapsed="false">
      <c r="T94" s="61"/>
    </row>
    <row r="95" customFormat="false" ht="50.1" hidden="false" customHeight="true" outlineLevel="0" collapsed="false">
      <c r="T95" s="61"/>
    </row>
    <row r="96" customFormat="false" ht="50.1" hidden="false" customHeight="true" outlineLevel="0" collapsed="false">
      <c r="T96" s="61"/>
    </row>
    <row r="97" customFormat="false" ht="50.1" hidden="false" customHeight="true" outlineLevel="0" collapsed="false">
      <c r="T97" s="61"/>
    </row>
    <row r="98" customFormat="false" ht="50.1" hidden="false" customHeight="true" outlineLevel="0" collapsed="false">
      <c r="T98" s="61"/>
    </row>
    <row r="99" customFormat="false" ht="50.1" hidden="false" customHeight="true" outlineLevel="0" collapsed="false">
      <c r="T99" s="61"/>
    </row>
    <row r="100" customFormat="false" ht="50.1" hidden="false" customHeight="true" outlineLevel="0" collapsed="false">
      <c r="T100" s="61"/>
    </row>
    <row r="101" customFormat="false" ht="50.1" hidden="false" customHeight="true" outlineLevel="0" collapsed="false">
      <c r="T101" s="61"/>
    </row>
    <row r="102" customFormat="false" ht="50.1" hidden="false" customHeight="true" outlineLevel="0" collapsed="false">
      <c r="T102" s="61"/>
    </row>
    <row r="103" customFormat="false" ht="50.1" hidden="false" customHeight="true" outlineLevel="0" collapsed="false">
      <c r="T103" s="61"/>
    </row>
    <row r="104" customFormat="false" ht="50.1" hidden="false" customHeight="true" outlineLevel="0" collapsed="false">
      <c r="T104" s="61"/>
    </row>
    <row r="105" customFormat="false" ht="50.1" hidden="false" customHeight="true" outlineLevel="0" collapsed="false">
      <c r="T105" s="61"/>
    </row>
    <row r="106" customFormat="false" ht="50.1" hidden="false" customHeight="true" outlineLevel="0" collapsed="false">
      <c r="T106" s="61"/>
    </row>
    <row r="107" customFormat="false" ht="50.1" hidden="false" customHeight="true" outlineLevel="0" collapsed="false">
      <c r="T107" s="61"/>
    </row>
    <row r="108" customFormat="false" ht="50.1" hidden="false" customHeight="true" outlineLevel="0" collapsed="false">
      <c r="T108" s="61"/>
    </row>
    <row r="109" customFormat="false" ht="50.1" hidden="false" customHeight="true" outlineLevel="0" collapsed="false">
      <c r="T109" s="61"/>
    </row>
    <row r="110" customFormat="false" ht="50.1" hidden="false" customHeight="true" outlineLevel="0" collapsed="false">
      <c r="T110" s="61"/>
    </row>
    <row r="111" customFormat="false" ht="50.1" hidden="false" customHeight="true" outlineLevel="0" collapsed="false">
      <c r="T111" s="61"/>
    </row>
    <row r="112" customFormat="false" ht="50.1" hidden="false" customHeight="true" outlineLevel="0" collapsed="false">
      <c r="T112" s="61"/>
    </row>
    <row r="113" customFormat="false" ht="50.1" hidden="false" customHeight="true" outlineLevel="0" collapsed="false">
      <c r="T113" s="61"/>
    </row>
    <row r="114" customFormat="false" ht="50.1" hidden="false" customHeight="true" outlineLevel="0" collapsed="false">
      <c r="T114" s="61"/>
    </row>
    <row r="115" customFormat="false" ht="50.1" hidden="false" customHeight="true" outlineLevel="0" collapsed="false">
      <c r="T115" s="61"/>
    </row>
    <row r="116" customFormat="false" ht="50.1" hidden="false" customHeight="true" outlineLevel="0" collapsed="false">
      <c r="T116" s="61"/>
    </row>
    <row r="117" customFormat="false" ht="50.1" hidden="false" customHeight="true" outlineLevel="0" collapsed="false">
      <c r="T117" s="61"/>
    </row>
    <row r="118" customFormat="false" ht="50.1" hidden="false" customHeight="true" outlineLevel="0" collapsed="false">
      <c r="T118" s="61"/>
    </row>
    <row r="119" customFormat="false" ht="50.1" hidden="false" customHeight="true" outlineLevel="0" collapsed="false">
      <c r="T119" s="61"/>
    </row>
    <row r="120" customFormat="false" ht="50.1" hidden="false" customHeight="true" outlineLevel="0" collapsed="false">
      <c r="T120" s="61"/>
    </row>
    <row r="121" customFormat="false" ht="50.1" hidden="false" customHeight="true" outlineLevel="0" collapsed="false">
      <c r="T121" s="61"/>
    </row>
    <row r="122" customFormat="false" ht="50.1" hidden="false" customHeight="true" outlineLevel="0" collapsed="false">
      <c r="T122" s="61"/>
    </row>
    <row r="123" customFormat="false" ht="50.1" hidden="false" customHeight="true" outlineLevel="0" collapsed="false">
      <c r="T123" s="61"/>
    </row>
    <row r="124" customFormat="false" ht="50.1" hidden="false" customHeight="true" outlineLevel="0" collapsed="false">
      <c r="T124" s="61"/>
    </row>
    <row r="125" customFormat="false" ht="50.1" hidden="false" customHeight="true" outlineLevel="0" collapsed="false">
      <c r="T125" s="61"/>
    </row>
    <row r="126" customFormat="false" ht="50.1" hidden="false" customHeight="true" outlineLevel="0" collapsed="false">
      <c r="T126" s="61"/>
    </row>
    <row r="127" customFormat="false" ht="50.1" hidden="false" customHeight="true" outlineLevel="0" collapsed="false">
      <c r="T127" s="61"/>
    </row>
    <row r="128" customFormat="false" ht="50.1" hidden="false" customHeight="true" outlineLevel="0" collapsed="false">
      <c r="T128" s="61"/>
    </row>
    <row r="129" customFormat="false" ht="50.1" hidden="false" customHeight="true" outlineLevel="0" collapsed="false">
      <c r="T129" s="61"/>
    </row>
    <row r="130" customFormat="false" ht="50.1" hidden="false" customHeight="true" outlineLevel="0" collapsed="false">
      <c r="T130" s="61"/>
    </row>
    <row r="131" customFormat="false" ht="50.1" hidden="false" customHeight="true" outlineLevel="0" collapsed="false">
      <c r="T131" s="61"/>
    </row>
    <row r="132" customFormat="false" ht="50.1" hidden="false" customHeight="true" outlineLevel="0" collapsed="false">
      <c r="T132" s="61"/>
    </row>
    <row r="133" customFormat="false" ht="50.1" hidden="false" customHeight="true" outlineLevel="0" collapsed="false">
      <c r="T133" s="61"/>
    </row>
    <row r="134" customFormat="false" ht="50.1" hidden="false" customHeight="true" outlineLevel="0" collapsed="false">
      <c r="T134" s="61"/>
    </row>
    <row r="135" customFormat="false" ht="50.1" hidden="false" customHeight="true" outlineLevel="0" collapsed="false">
      <c r="T135" s="61"/>
    </row>
    <row r="136" customFormat="false" ht="50.1" hidden="false" customHeight="true" outlineLevel="0" collapsed="false">
      <c r="T136" s="61"/>
    </row>
    <row r="137" customFormat="false" ht="50.1" hidden="false" customHeight="true" outlineLevel="0" collapsed="false">
      <c r="T137" s="61"/>
    </row>
    <row r="138" customFormat="false" ht="50.1" hidden="false" customHeight="true" outlineLevel="0" collapsed="false">
      <c r="T138" s="61"/>
    </row>
    <row r="139" customFormat="false" ht="50.1" hidden="false" customHeight="true" outlineLevel="0" collapsed="false">
      <c r="T139" s="61"/>
    </row>
    <row r="140" customFormat="false" ht="50.1" hidden="false" customHeight="true" outlineLevel="0" collapsed="false">
      <c r="T140" s="61"/>
    </row>
    <row r="141" customFormat="false" ht="50.1" hidden="false" customHeight="true" outlineLevel="0" collapsed="false">
      <c r="T141" s="61"/>
    </row>
    <row r="142" customFormat="false" ht="50.1" hidden="false" customHeight="true" outlineLevel="0" collapsed="false">
      <c r="T142" s="61"/>
    </row>
    <row r="143" customFormat="false" ht="50.1" hidden="false" customHeight="true" outlineLevel="0" collapsed="false">
      <c r="T143" s="61"/>
    </row>
    <row r="144" customFormat="false" ht="50.1" hidden="false" customHeight="true" outlineLevel="0" collapsed="false">
      <c r="T144" s="61"/>
    </row>
    <row r="145" customFormat="false" ht="50.1" hidden="false" customHeight="true" outlineLevel="0" collapsed="false">
      <c r="T145" s="61"/>
    </row>
    <row r="146" customFormat="false" ht="50.1" hidden="false" customHeight="true" outlineLevel="0" collapsed="false">
      <c r="T146" s="61"/>
    </row>
    <row r="147" customFormat="false" ht="50.1" hidden="false" customHeight="true" outlineLevel="0" collapsed="false">
      <c r="T147" s="61"/>
    </row>
    <row r="148" customFormat="false" ht="50.1" hidden="false" customHeight="true" outlineLevel="0" collapsed="false">
      <c r="T148" s="61"/>
    </row>
    <row r="149" customFormat="false" ht="50.1" hidden="false" customHeight="true" outlineLevel="0" collapsed="false">
      <c r="T149" s="61"/>
    </row>
    <row r="150" customFormat="false" ht="50.1" hidden="false" customHeight="true" outlineLevel="0" collapsed="false">
      <c r="T150" s="61"/>
    </row>
    <row r="151" customFormat="false" ht="50.1" hidden="false" customHeight="true" outlineLevel="0" collapsed="false">
      <c r="T151" s="61"/>
    </row>
    <row r="152" customFormat="false" ht="50.1" hidden="false" customHeight="true" outlineLevel="0" collapsed="false">
      <c r="T152" s="61"/>
    </row>
    <row r="153" customFormat="false" ht="50.1" hidden="false" customHeight="true" outlineLevel="0" collapsed="false">
      <c r="T153" s="61"/>
    </row>
    <row r="154" customFormat="false" ht="50.1" hidden="false" customHeight="true" outlineLevel="0" collapsed="false">
      <c r="T154" s="61"/>
    </row>
    <row r="155" customFormat="false" ht="50.1" hidden="false" customHeight="true" outlineLevel="0" collapsed="false">
      <c r="T155" s="61"/>
    </row>
    <row r="156" customFormat="false" ht="50.1" hidden="false" customHeight="true" outlineLevel="0" collapsed="false">
      <c r="T156" s="61"/>
    </row>
    <row r="157" customFormat="false" ht="50.1" hidden="false" customHeight="true" outlineLevel="0" collapsed="false">
      <c r="T157" s="61"/>
    </row>
    <row r="158" customFormat="false" ht="50.1" hidden="false" customHeight="true" outlineLevel="0" collapsed="false">
      <c r="T158" s="61"/>
    </row>
    <row r="159" customFormat="false" ht="50.1" hidden="false" customHeight="true" outlineLevel="0" collapsed="false">
      <c r="T159" s="61"/>
    </row>
    <row r="160" customFormat="false" ht="50.1" hidden="false" customHeight="true" outlineLevel="0" collapsed="false">
      <c r="T160" s="61"/>
    </row>
    <row r="161" customFormat="false" ht="50.1" hidden="false" customHeight="true" outlineLevel="0" collapsed="false">
      <c r="T161" s="61"/>
    </row>
    <row r="162" customFormat="false" ht="50.1" hidden="false" customHeight="true" outlineLevel="0" collapsed="false">
      <c r="T162" s="61"/>
    </row>
    <row r="163" customFormat="false" ht="50.1" hidden="false" customHeight="true" outlineLevel="0" collapsed="false">
      <c r="T163" s="61"/>
    </row>
    <row r="164" customFormat="false" ht="50.1" hidden="false" customHeight="true" outlineLevel="0" collapsed="false">
      <c r="T164" s="61"/>
    </row>
    <row r="165" customFormat="false" ht="50.1" hidden="false" customHeight="true" outlineLevel="0" collapsed="false">
      <c r="T165" s="61"/>
    </row>
    <row r="166" customFormat="false" ht="50.1" hidden="false" customHeight="true" outlineLevel="0" collapsed="false">
      <c r="T166" s="61"/>
    </row>
    <row r="167" customFormat="false" ht="50.1" hidden="false" customHeight="true" outlineLevel="0" collapsed="false">
      <c r="T167" s="61"/>
    </row>
    <row r="168" customFormat="false" ht="50.1" hidden="false" customHeight="true" outlineLevel="0" collapsed="false">
      <c r="T168" s="61"/>
    </row>
    <row r="169" customFormat="false" ht="50.1" hidden="false" customHeight="true" outlineLevel="0" collapsed="false">
      <c r="T169" s="61"/>
    </row>
    <row r="170" customFormat="false" ht="50.1" hidden="false" customHeight="true" outlineLevel="0" collapsed="false">
      <c r="T170" s="61"/>
    </row>
    <row r="171" customFormat="false" ht="50.1" hidden="false" customHeight="true" outlineLevel="0" collapsed="false">
      <c r="T171" s="61"/>
    </row>
    <row r="172" customFormat="false" ht="50.1" hidden="false" customHeight="true" outlineLevel="0" collapsed="false">
      <c r="T172" s="61"/>
    </row>
    <row r="173" customFormat="false" ht="50.1" hidden="false" customHeight="true" outlineLevel="0" collapsed="false">
      <c r="T173" s="61"/>
    </row>
    <row r="174" customFormat="false" ht="50.1" hidden="false" customHeight="true" outlineLevel="0" collapsed="false">
      <c r="T174" s="61"/>
    </row>
    <row r="175" customFormat="false" ht="50.1" hidden="false" customHeight="true" outlineLevel="0" collapsed="false">
      <c r="T175" s="61"/>
    </row>
    <row r="176" customFormat="false" ht="50.1" hidden="false" customHeight="true" outlineLevel="0" collapsed="false">
      <c r="T176" s="61"/>
    </row>
    <row r="177" customFormat="false" ht="50.1" hidden="false" customHeight="true" outlineLevel="0" collapsed="false">
      <c r="T177" s="61"/>
    </row>
    <row r="178" customFormat="false" ht="50.1" hidden="false" customHeight="true" outlineLevel="0" collapsed="false">
      <c r="T178" s="61"/>
    </row>
    <row r="179" customFormat="false" ht="50.1" hidden="false" customHeight="true" outlineLevel="0" collapsed="false">
      <c r="T179" s="61"/>
    </row>
    <row r="180" customFormat="false" ht="50.1" hidden="false" customHeight="true" outlineLevel="0" collapsed="false">
      <c r="T180" s="61"/>
    </row>
    <row r="181" customFormat="false" ht="50.1" hidden="false" customHeight="true" outlineLevel="0" collapsed="false">
      <c r="T181" s="61"/>
    </row>
    <row r="182" customFormat="false" ht="50.1" hidden="false" customHeight="true" outlineLevel="0" collapsed="false">
      <c r="T182" s="61"/>
    </row>
    <row r="183" customFormat="false" ht="50.1" hidden="false" customHeight="true" outlineLevel="0" collapsed="false">
      <c r="T183" s="61"/>
    </row>
    <row r="184" customFormat="false" ht="50.1" hidden="false" customHeight="true" outlineLevel="0" collapsed="false">
      <c r="T184" s="61"/>
    </row>
    <row r="185" customFormat="false" ht="50.1" hidden="false" customHeight="true" outlineLevel="0" collapsed="false">
      <c r="T185" s="61"/>
    </row>
    <row r="186" customFormat="false" ht="50.1" hidden="false" customHeight="true" outlineLevel="0" collapsed="false">
      <c r="T186" s="61"/>
    </row>
    <row r="187" customFormat="false" ht="50.1" hidden="false" customHeight="true" outlineLevel="0" collapsed="false">
      <c r="T187" s="61"/>
    </row>
    <row r="188" customFormat="false" ht="50.1" hidden="false" customHeight="true" outlineLevel="0" collapsed="false">
      <c r="T188" s="61"/>
    </row>
    <row r="189" customFormat="false" ht="50.1" hidden="false" customHeight="true" outlineLevel="0" collapsed="false">
      <c r="T189" s="61"/>
    </row>
    <row r="190" customFormat="false" ht="50.1" hidden="false" customHeight="true" outlineLevel="0" collapsed="false">
      <c r="T190" s="61"/>
    </row>
    <row r="191" customFormat="false" ht="50.1" hidden="false" customHeight="true" outlineLevel="0" collapsed="false">
      <c r="T191" s="61"/>
    </row>
    <row r="192" customFormat="false" ht="50.1" hidden="false" customHeight="true" outlineLevel="0" collapsed="false">
      <c r="T192" s="61"/>
    </row>
    <row r="193" customFormat="false" ht="50.1" hidden="false" customHeight="true" outlineLevel="0" collapsed="false">
      <c r="T193" s="61"/>
    </row>
    <row r="194" customFormat="false" ht="50.1" hidden="false" customHeight="true" outlineLevel="0" collapsed="false">
      <c r="T194" s="61"/>
    </row>
    <row r="195" customFormat="false" ht="50.1" hidden="false" customHeight="true" outlineLevel="0" collapsed="false">
      <c r="T195" s="61"/>
    </row>
    <row r="196" customFormat="false" ht="50.1" hidden="false" customHeight="true" outlineLevel="0" collapsed="false">
      <c r="T196" s="61"/>
    </row>
    <row r="197" customFormat="false" ht="50.1" hidden="false" customHeight="true" outlineLevel="0" collapsed="false">
      <c r="T197" s="61"/>
    </row>
    <row r="198" customFormat="false" ht="50.1" hidden="false" customHeight="true" outlineLevel="0" collapsed="false">
      <c r="T198" s="61"/>
    </row>
    <row r="199" customFormat="false" ht="50.1" hidden="false" customHeight="true" outlineLevel="0" collapsed="false">
      <c r="T199" s="61"/>
    </row>
    <row r="200" customFormat="false" ht="50.1" hidden="false" customHeight="true" outlineLevel="0" collapsed="false">
      <c r="T200" s="61"/>
    </row>
    <row r="201" customFormat="false" ht="50.1" hidden="false" customHeight="true" outlineLevel="0" collapsed="false">
      <c r="T201" s="61"/>
    </row>
    <row r="202" customFormat="false" ht="50.1" hidden="false" customHeight="true" outlineLevel="0" collapsed="false">
      <c r="T202" s="61"/>
    </row>
    <row r="203" customFormat="false" ht="50.1" hidden="false" customHeight="true" outlineLevel="0" collapsed="false">
      <c r="T203" s="61"/>
    </row>
    <row r="204" customFormat="false" ht="50.1" hidden="false" customHeight="true" outlineLevel="0" collapsed="false">
      <c r="T204" s="61"/>
    </row>
    <row r="205" customFormat="false" ht="50.1" hidden="false" customHeight="true" outlineLevel="0" collapsed="false">
      <c r="T205" s="61"/>
    </row>
    <row r="206" customFormat="false" ht="50.1" hidden="false" customHeight="true" outlineLevel="0" collapsed="false">
      <c r="T206" s="61"/>
    </row>
    <row r="207" customFormat="false" ht="50.1" hidden="false" customHeight="true" outlineLevel="0" collapsed="false">
      <c r="T207" s="61"/>
    </row>
    <row r="208" customFormat="false" ht="50.1" hidden="false" customHeight="true" outlineLevel="0" collapsed="false">
      <c r="T208" s="61"/>
    </row>
    <row r="209" customFormat="false" ht="50.1" hidden="false" customHeight="true" outlineLevel="0" collapsed="false">
      <c r="T209" s="61"/>
    </row>
    <row r="210" customFormat="false" ht="50.1" hidden="false" customHeight="true" outlineLevel="0" collapsed="false">
      <c r="T210" s="61"/>
    </row>
    <row r="211" customFormat="false" ht="50.1" hidden="false" customHeight="true" outlineLevel="0" collapsed="false">
      <c r="T211" s="61"/>
    </row>
    <row r="212" customFormat="false" ht="50.1" hidden="false" customHeight="true" outlineLevel="0" collapsed="false">
      <c r="T212" s="61"/>
    </row>
    <row r="213" customFormat="false" ht="50.1" hidden="false" customHeight="true" outlineLevel="0" collapsed="false">
      <c r="T213" s="61"/>
    </row>
    <row r="214" customFormat="false" ht="50.1" hidden="false" customHeight="true" outlineLevel="0" collapsed="false">
      <c r="T214" s="61"/>
    </row>
    <row r="215" customFormat="false" ht="50.1" hidden="false" customHeight="true" outlineLevel="0" collapsed="false">
      <c r="T215" s="61"/>
    </row>
    <row r="216" customFormat="false" ht="50.1" hidden="false" customHeight="true" outlineLevel="0" collapsed="false">
      <c r="T216" s="61"/>
    </row>
    <row r="217" customFormat="false" ht="50.1" hidden="false" customHeight="true" outlineLevel="0" collapsed="false">
      <c r="T217" s="61"/>
    </row>
    <row r="218" customFormat="false" ht="50.1" hidden="false" customHeight="true" outlineLevel="0" collapsed="false">
      <c r="T218" s="61"/>
    </row>
    <row r="219" customFormat="false" ht="50.1" hidden="false" customHeight="true" outlineLevel="0" collapsed="false">
      <c r="T219" s="61"/>
    </row>
    <row r="220" customFormat="false" ht="50.1" hidden="false" customHeight="true" outlineLevel="0" collapsed="false">
      <c r="T220" s="61"/>
    </row>
    <row r="221" customFormat="false" ht="50.1" hidden="false" customHeight="true" outlineLevel="0" collapsed="false">
      <c r="T221" s="61"/>
    </row>
    <row r="222" customFormat="false" ht="50.1" hidden="false" customHeight="true" outlineLevel="0" collapsed="false">
      <c r="T222" s="61"/>
    </row>
    <row r="223" customFormat="false" ht="50.1" hidden="false" customHeight="true" outlineLevel="0" collapsed="false">
      <c r="T223" s="61"/>
    </row>
    <row r="224" customFormat="false" ht="50.1" hidden="false" customHeight="true" outlineLevel="0" collapsed="false">
      <c r="T224" s="61"/>
    </row>
    <row r="225" customFormat="false" ht="50.1" hidden="false" customHeight="true" outlineLevel="0" collapsed="false">
      <c r="T225" s="61"/>
    </row>
    <row r="226" customFormat="false" ht="50.1" hidden="false" customHeight="true" outlineLevel="0" collapsed="false">
      <c r="T226" s="61"/>
    </row>
    <row r="227" customFormat="false" ht="50.1" hidden="false" customHeight="true" outlineLevel="0" collapsed="false">
      <c r="T227" s="61"/>
    </row>
    <row r="228" customFormat="false" ht="50.1" hidden="false" customHeight="true" outlineLevel="0" collapsed="false">
      <c r="T228" s="61"/>
    </row>
    <row r="229" customFormat="false" ht="50.1" hidden="false" customHeight="true" outlineLevel="0" collapsed="false">
      <c r="T229" s="61"/>
    </row>
    <row r="230" customFormat="false" ht="50.1" hidden="false" customHeight="true" outlineLevel="0" collapsed="false">
      <c r="T230" s="61"/>
    </row>
    <row r="231" customFormat="false" ht="50.1" hidden="false" customHeight="true" outlineLevel="0" collapsed="false">
      <c r="T231" s="61"/>
    </row>
    <row r="232" customFormat="false" ht="50.1" hidden="false" customHeight="true" outlineLevel="0" collapsed="false">
      <c r="T232" s="61"/>
    </row>
    <row r="233" customFormat="false" ht="50.1" hidden="false" customHeight="true" outlineLevel="0" collapsed="false">
      <c r="T233" s="61"/>
    </row>
    <row r="234" customFormat="false" ht="50.1" hidden="false" customHeight="true" outlineLevel="0" collapsed="false">
      <c r="T234" s="61"/>
    </row>
    <row r="235" customFormat="false" ht="50.1" hidden="false" customHeight="true" outlineLevel="0" collapsed="false">
      <c r="T235" s="61"/>
    </row>
    <row r="236" customFormat="false" ht="50.1" hidden="false" customHeight="true" outlineLevel="0" collapsed="false">
      <c r="T236" s="61"/>
    </row>
    <row r="237" customFormat="false" ht="50.1" hidden="false" customHeight="true" outlineLevel="0" collapsed="false">
      <c r="T237" s="61"/>
    </row>
    <row r="238" customFormat="false" ht="50.1" hidden="false" customHeight="true" outlineLevel="0" collapsed="false">
      <c r="T238" s="61"/>
    </row>
    <row r="239" customFormat="false" ht="50.1" hidden="false" customHeight="true" outlineLevel="0" collapsed="false">
      <c r="T239" s="61"/>
    </row>
    <row r="240" customFormat="false" ht="50.1" hidden="false" customHeight="true" outlineLevel="0" collapsed="false">
      <c r="T240" s="61"/>
    </row>
    <row r="241" customFormat="false" ht="50.1" hidden="false" customHeight="true" outlineLevel="0" collapsed="false">
      <c r="T241" s="61"/>
    </row>
    <row r="242" customFormat="false" ht="50.1" hidden="false" customHeight="true" outlineLevel="0" collapsed="false">
      <c r="T242" s="61"/>
    </row>
    <row r="243" customFormat="false" ht="50.1" hidden="false" customHeight="true" outlineLevel="0" collapsed="false">
      <c r="T243" s="61"/>
    </row>
    <row r="244" customFormat="false" ht="50.1" hidden="false" customHeight="true" outlineLevel="0" collapsed="false">
      <c r="T244" s="61"/>
    </row>
    <row r="245" customFormat="false" ht="50.1" hidden="false" customHeight="true" outlineLevel="0" collapsed="false">
      <c r="T245" s="61"/>
    </row>
    <row r="246" customFormat="false" ht="50.1" hidden="false" customHeight="true" outlineLevel="0" collapsed="false">
      <c r="T246" s="61"/>
    </row>
    <row r="247" customFormat="false" ht="50.1" hidden="false" customHeight="true" outlineLevel="0" collapsed="false">
      <c r="T247" s="61"/>
    </row>
    <row r="248" customFormat="false" ht="50.1" hidden="false" customHeight="true" outlineLevel="0" collapsed="false">
      <c r="T248" s="61"/>
    </row>
    <row r="249" customFormat="false" ht="50.1" hidden="false" customHeight="true" outlineLevel="0" collapsed="false">
      <c r="T249" s="61"/>
    </row>
    <row r="250" customFormat="false" ht="50.1" hidden="false" customHeight="true" outlineLevel="0" collapsed="false">
      <c r="T250" s="61"/>
    </row>
    <row r="251" customFormat="false" ht="50.1" hidden="false" customHeight="true" outlineLevel="0" collapsed="false">
      <c r="T251" s="61"/>
    </row>
    <row r="252" customFormat="false" ht="50.1" hidden="false" customHeight="true" outlineLevel="0" collapsed="false">
      <c r="T252" s="61"/>
    </row>
    <row r="253" customFormat="false" ht="50.1" hidden="false" customHeight="true" outlineLevel="0" collapsed="false">
      <c r="T253" s="61"/>
    </row>
    <row r="254" customFormat="false" ht="50.1" hidden="false" customHeight="true" outlineLevel="0" collapsed="false">
      <c r="T254" s="61"/>
    </row>
    <row r="255" customFormat="false" ht="50.1" hidden="false" customHeight="true" outlineLevel="0" collapsed="false">
      <c r="T255" s="61"/>
    </row>
    <row r="256" customFormat="false" ht="50.1" hidden="false" customHeight="true" outlineLevel="0" collapsed="false">
      <c r="T256" s="61"/>
    </row>
    <row r="257" customFormat="false" ht="50.1" hidden="false" customHeight="true" outlineLevel="0" collapsed="false">
      <c r="T257" s="61"/>
    </row>
    <row r="258" customFormat="false" ht="50.1" hidden="false" customHeight="true" outlineLevel="0" collapsed="false">
      <c r="T258" s="61"/>
    </row>
    <row r="259" customFormat="false" ht="50.1" hidden="false" customHeight="true" outlineLevel="0" collapsed="false">
      <c r="T259" s="61"/>
    </row>
    <row r="260" customFormat="false" ht="50.1" hidden="false" customHeight="true" outlineLevel="0" collapsed="false">
      <c r="T260" s="61"/>
    </row>
    <row r="261" customFormat="false" ht="50.1" hidden="false" customHeight="true" outlineLevel="0" collapsed="false">
      <c r="T261" s="61"/>
    </row>
    <row r="262" customFormat="false" ht="50.1" hidden="false" customHeight="true" outlineLevel="0" collapsed="false">
      <c r="T262" s="61"/>
    </row>
    <row r="263" customFormat="false" ht="50.1" hidden="false" customHeight="true" outlineLevel="0" collapsed="false">
      <c r="T263" s="61"/>
    </row>
  </sheetData>
  <mergeCells count="118">
    <mergeCell ref="A1:R1"/>
    <mergeCell ref="A2:H2"/>
    <mergeCell ref="A4:H4"/>
    <mergeCell ref="A10:H10"/>
    <mergeCell ref="A20:A21"/>
    <mergeCell ref="B20:B21"/>
    <mergeCell ref="C20:C21"/>
    <mergeCell ref="I20:I21"/>
    <mergeCell ref="J20:J21"/>
    <mergeCell ref="K20:K21"/>
    <mergeCell ref="L20:L21"/>
    <mergeCell ref="M20:M21"/>
    <mergeCell ref="N20:N21"/>
    <mergeCell ref="O20:O21"/>
    <mergeCell ref="P20:P21"/>
    <mergeCell ref="Q20:Q21"/>
    <mergeCell ref="R20:R21"/>
    <mergeCell ref="S20:S21"/>
    <mergeCell ref="A22:A23"/>
    <mergeCell ref="B22:B23"/>
    <mergeCell ref="C22:C23"/>
    <mergeCell ref="I22:I23"/>
    <mergeCell ref="J22:J23"/>
    <mergeCell ref="K22:K23"/>
    <mergeCell ref="L22:L23"/>
    <mergeCell ref="M22:M23"/>
    <mergeCell ref="N22:N23"/>
    <mergeCell ref="O22:O23"/>
    <mergeCell ref="P22:P23"/>
    <mergeCell ref="Q22:Q23"/>
    <mergeCell ref="R22:R23"/>
    <mergeCell ref="S22:S23"/>
    <mergeCell ref="A26:A27"/>
    <mergeCell ref="B26:B27"/>
    <mergeCell ref="C26:C27"/>
    <mergeCell ref="I26:I27"/>
    <mergeCell ref="J26:J27"/>
    <mergeCell ref="K26:K27"/>
    <mergeCell ref="L26:L27"/>
    <mergeCell ref="M26:M27"/>
    <mergeCell ref="N26:N27"/>
    <mergeCell ref="O26:O27"/>
    <mergeCell ref="P26:P27"/>
    <mergeCell ref="Q26:Q27"/>
    <mergeCell ref="R26:R27"/>
    <mergeCell ref="S26:S27"/>
    <mergeCell ref="A28:A29"/>
    <mergeCell ref="B28:B29"/>
    <mergeCell ref="C28:C29"/>
    <mergeCell ref="I28:I29"/>
    <mergeCell ref="J28:J29"/>
    <mergeCell ref="K28:K29"/>
    <mergeCell ref="L28:L29"/>
    <mergeCell ref="M28:M29"/>
    <mergeCell ref="N28:N29"/>
    <mergeCell ref="O28:O29"/>
    <mergeCell ref="P28:P29"/>
    <mergeCell ref="Q28:Q29"/>
    <mergeCell ref="R28:R29"/>
    <mergeCell ref="S28:S29"/>
    <mergeCell ref="A32:A33"/>
    <mergeCell ref="B32:B33"/>
    <mergeCell ref="C32:C33"/>
    <mergeCell ref="I32:I33"/>
    <mergeCell ref="J32:J33"/>
    <mergeCell ref="K32:K33"/>
    <mergeCell ref="L32:L33"/>
    <mergeCell ref="M32:M33"/>
    <mergeCell ref="N32:N33"/>
    <mergeCell ref="O32:O33"/>
    <mergeCell ref="P32:P33"/>
    <mergeCell ref="Q32:Q33"/>
    <mergeCell ref="R32:R33"/>
    <mergeCell ref="S32:S33"/>
    <mergeCell ref="A34:A35"/>
    <mergeCell ref="B34:B35"/>
    <mergeCell ref="C34:C35"/>
    <mergeCell ref="I34:I35"/>
    <mergeCell ref="J34:J35"/>
    <mergeCell ref="K34:K35"/>
    <mergeCell ref="L34:L35"/>
    <mergeCell ref="M34:M35"/>
    <mergeCell ref="N34:N35"/>
    <mergeCell ref="O34:O35"/>
    <mergeCell ref="P34:P35"/>
    <mergeCell ref="Q34:Q35"/>
    <mergeCell ref="R34:R35"/>
    <mergeCell ref="S34:S35"/>
    <mergeCell ref="A46:A47"/>
    <mergeCell ref="B46:B47"/>
    <mergeCell ref="C46:C47"/>
    <mergeCell ref="I46:I47"/>
    <mergeCell ref="J46:J47"/>
    <mergeCell ref="K46:K47"/>
    <mergeCell ref="L46:L47"/>
    <mergeCell ref="M46:M47"/>
    <mergeCell ref="N46:N47"/>
    <mergeCell ref="O46:O47"/>
    <mergeCell ref="P46:P47"/>
    <mergeCell ref="Q46:Q47"/>
    <mergeCell ref="R46:R47"/>
    <mergeCell ref="S46:S47"/>
    <mergeCell ref="A50:A51"/>
    <mergeCell ref="B50:B51"/>
    <mergeCell ref="C50:C51"/>
    <mergeCell ref="I50:I51"/>
    <mergeCell ref="J50:J51"/>
    <mergeCell ref="K50:K51"/>
    <mergeCell ref="L50:L51"/>
    <mergeCell ref="M50:M51"/>
    <mergeCell ref="N50:N51"/>
    <mergeCell ref="O50:O51"/>
    <mergeCell ref="P50:P51"/>
    <mergeCell ref="Q50:Q51"/>
    <mergeCell ref="R50:R51"/>
    <mergeCell ref="S50:S51"/>
    <mergeCell ref="F53:G53"/>
    <mergeCell ref="A54:R54"/>
  </mergeCells>
  <hyperlinks>
    <hyperlink ref="R5" r:id="rId1" display="http://gofile.me/649X4/kcwEK02GS"/>
    <hyperlink ref="R6" r:id="rId2" display="http://gofile.me/649X4/LCkeTSSOK"/>
    <hyperlink ref="R7" r:id="rId3" display="http://gofile.me/649X4/ZjsiyKRJo"/>
    <hyperlink ref="R8" r:id="rId4" display="http://gofile.me/649X4/KKGN7LgGw"/>
    <hyperlink ref="R13" r:id="rId5" display="http://gofile.me/649X4/byd1hUzdy"/>
    <hyperlink ref="R14" r:id="rId6" display="http://gofile.me/649X4/iac1Hwuh5"/>
    <hyperlink ref="R15" r:id="rId7" display="http://gofile.me/649X4/CT2JL9Hyj"/>
    <hyperlink ref="R16" r:id="rId8" display="http://gofile.me/649X4/fgDOPziu6"/>
    <hyperlink ref="R17" r:id="rId9" display="http://gofile.me/649X4/OyZX1CmkY"/>
    <hyperlink ref="R18" r:id="rId10" display="http://gofile.me/649X4/t5Rd6rSam"/>
    <hyperlink ref="R19" r:id="rId11" display="http://gofile.me/649X4/aRs6r4tmy"/>
    <hyperlink ref="R20" r:id="rId12" display="http://gofile.me/649X4/nlNOMAaQp"/>
    <hyperlink ref="S20" r:id="rId13" display="http://gofile.me/649X4/wxc79O3Gn"/>
    <hyperlink ref="R22" r:id="rId14" display="http://gofile.me/649X4/iZ74EgV0j"/>
    <hyperlink ref="S22" r:id="rId15" display="http://gofile.me/649X4/wxc79O3Gn"/>
    <hyperlink ref="R24" r:id="rId16" display="http://gofile.me/649X4/lkYSknVYS"/>
    <hyperlink ref="S24" r:id="rId17" display="http://gofile.me/649X4/wxc79O3Gn"/>
    <hyperlink ref="R25" r:id="rId18" display="http://gofile.me/649X4/f5dbYGHaV"/>
    <hyperlink ref="S25" r:id="rId19" display="http://gofile.me/649X4/wxc79O3Gn"/>
    <hyperlink ref="R26" r:id="rId20" display="http://gofile.me/649X4/wJX0lxyt9"/>
    <hyperlink ref="R28" r:id="rId21" display="http://gofile.me/649X4/UonFozAof"/>
    <hyperlink ref="R30" r:id="rId22" display="http://gofile.me/649X4/aTSK1eKWB"/>
    <hyperlink ref="S30" r:id="rId23" display="http://gofile.me/649X4/DacVpjEhO"/>
    <hyperlink ref="R31" r:id="rId24" display="http://gofile.me/649X4/WmyrDIAtG"/>
    <hyperlink ref="S31" r:id="rId25" display="http://gofile.me/649X4/DacVpjEhO"/>
    <hyperlink ref="R32" r:id="rId26" display="http://gofile.me/649X4/Ceifx4n6C"/>
    <hyperlink ref="R34" r:id="rId27" display="http://gofile.me/649X4/PlppZ7E1s"/>
    <hyperlink ref="R36" r:id="rId28" display="http://gofile.me/649X4/IUa8fABMB"/>
    <hyperlink ref="S36" r:id="rId29" display="http://gofile.me/649X4/i3FuILOgM"/>
    <hyperlink ref="R37" r:id="rId30" display="http://gofile.me/649X4/amyG1ADS9"/>
    <hyperlink ref="S37" r:id="rId31" display="http://gofile.me/649X4/i3FuILOgM"/>
    <hyperlink ref="R38" r:id="rId32" display="http://gofile.me/649X4/rFp4J8E1r"/>
    <hyperlink ref="R39" r:id="rId33" display="http://gofile.me/649X4/W80McUULn"/>
    <hyperlink ref="S39" r:id="rId34" display="http://gofile.me/649X4/wWD0E43u8"/>
    <hyperlink ref="R40" r:id="rId35" display="http://gofile.me/649X4/WZVfzcyrk"/>
    <hyperlink ref="R41" r:id="rId36" display="http://gofile.me/649X4/DyTriMZTj"/>
    <hyperlink ref="S41" r:id="rId37" display="http://gofile.me/649X4/mL1kBAxdC"/>
    <hyperlink ref="R42" r:id="rId38" display="http://gofile.me/649X4/jygKrfvkA"/>
    <hyperlink ref="S42" r:id="rId39" display="http://gofile.me/649X4/mL1kBAxdC"/>
    <hyperlink ref="R43" r:id="rId40" display="http://gofile.me/649X4/IGVmA6o3R"/>
    <hyperlink ref="S43" r:id="rId41" display="http://gofile.me/649X4/mL1kBAxdC"/>
    <hyperlink ref="R44" r:id="rId42" display="http://gofile.me/649X4/xqO0a2W9u"/>
    <hyperlink ref="R45" r:id="rId43" display="http://gofile.me/649X4/RpgGZBonR"/>
    <hyperlink ref="R46" r:id="rId44" display="http://gofile.me/649X4/VKd5G0SHb"/>
    <hyperlink ref="R48" r:id="rId45" display="http://gofile.me/649X4/8drOwbc7t"/>
    <hyperlink ref="R49" r:id="rId46" display="http://gofile.me/649X4/4Qqj8gDVX"/>
    <hyperlink ref="R50" r:id="rId47" display="http://gofile.me/649X4/BsgJZUVvB"/>
    <hyperlink ref="S50" r:id="rId48" display="http://gofile.me/649X4/AwOU6bMTD"/>
    <hyperlink ref="R52" r:id="rId49" display="http://gofile.me/649X4/JYOb7XlPN"/>
  </hyperlinks>
  <printOptions headings="false" gridLines="false" gridLinesSet="true" horizontalCentered="false" verticalCentered="false"/>
  <pageMargins left="0.309722222222222" right="0.240277777777778" top="0.279861111111111"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2" manualBreakCount="2">
    <brk id="17" man="true" max="16383" min="0"/>
    <brk id="53" man="true" max="16383" min="0"/>
  </rowBreaks>
  <drawing r:id="rId5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261"/>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33" width="46"/>
    <col collapsed="false" customWidth="true" hidden="false" outlineLevel="0" max="3" min="2" style="34" width="18"/>
    <col collapsed="false" customWidth="true" hidden="false" outlineLevel="0" max="4" min="4" style="39" width="20"/>
    <col collapsed="false" customWidth="true" hidden="false" outlineLevel="0" max="5" min="5" style="39"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10" min="9" style="39" width="6.88"/>
    <col collapsed="false" customWidth="true" hidden="false" outlineLevel="0" max="11" min="11" style="39" width="10.7"/>
    <col collapsed="false" customWidth="true" hidden="false" outlineLevel="0" max="12" min="12" style="39" width="9.7"/>
    <col collapsed="false" customWidth="true" hidden="false" outlineLevel="0" max="13" min="13" style="39" width="10.7"/>
    <col collapsed="false" customWidth="true" hidden="false" outlineLevel="0" max="14" min="14" style="39" width="7"/>
    <col collapsed="false" customWidth="true" hidden="false" outlineLevel="0" max="15" min="15" style="39" width="10.7"/>
    <col collapsed="false" customWidth="true" hidden="false" outlineLevel="0" max="16" min="16" style="105" width="6.63"/>
    <col collapsed="false" customWidth="true" hidden="false" outlineLevel="0" max="17" min="17" style="39" width="70"/>
    <col collapsed="false" customWidth="true" hidden="false" outlineLevel="0" max="19" min="18" style="34" width="9.25"/>
    <col collapsed="false" customWidth="true" hidden="false" outlineLevel="0" max="20" min="20" style="42" width="7.37"/>
    <col collapsed="false" customWidth="true" hidden="false" outlineLevel="0" max="21" min="21" style="34" width="10.13"/>
    <col collapsed="false" customWidth="true" hidden="false" outlineLevel="0" max="27" min="22" style="34" width="9"/>
    <col collapsed="false" customWidth="false" hidden="false" outlineLevel="0" max="98" min="28"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44"/>
    </row>
    <row r="2" s="4" customFormat="true" ht="30" hidden="false" customHeight="true" outlineLevel="0" collapsed="false">
      <c r="A2" s="45" t="s">
        <v>926</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c r="T3" s="48"/>
    </row>
    <row r="4" s="50" customFormat="true" ht="27" hidden="false" customHeight="true" outlineLevel="1" collapsed="false">
      <c r="A4" s="49" t="s">
        <v>927</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62" customFormat="true" ht="115" hidden="false" customHeight="true" outlineLevel="2" collapsed="false">
      <c r="A5" s="51" t="s">
        <v>928</v>
      </c>
      <c r="B5" s="52"/>
      <c r="C5" s="57"/>
      <c r="D5" s="53" t="s">
        <v>718</v>
      </c>
      <c r="E5" s="53" t="s">
        <v>103</v>
      </c>
      <c r="F5" s="54" t="n">
        <v>1070.31</v>
      </c>
      <c r="G5" s="55"/>
      <c r="H5" s="56" t="str">
        <f aca="false">IF(ISBLANK(G5),"",IF(ISNUMBER(F5),ROUND(F5*G5,2),"Укажите цену"))</f>
        <v/>
      </c>
      <c r="I5" s="57" t="n">
        <v>234</v>
      </c>
      <c r="J5" s="57" t="n">
        <v>14.41</v>
      </c>
      <c r="K5" s="57" t="s">
        <v>719</v>
      </c>
      <c r="L5" s="57" t="s">
        <v>91</v>
      </c>
      <c r="M5" s="57" t="s">
        <v>92</v>
      </c>
      <c r="N5" s="57" t="n">
        <v>60</v>
      </c>
      <c r="O5" s="57" t="s">
        <v>720</v>
      </c>
      <c r="P5" s="58" t="n">
        <v>0.025</v>
      </c>
      <c r="Q5" s="137" t="s">
        <v>929</v>
      </c>
      <c r="R5" s="125" t="s">
        <v>722</v>
      </c>
      <c r="S5" s="60" t="s">
        <v>96</v>
      </c>
      <c r="T5" s="87"/>
      <c r="U5" s="61"/>
      <c r="V5" s="61"/>
      <c r="W5" s="61"/>
      <c r="X5" s="61"/>
      <c r="Y5" s="61"/>
      <c r="Z5" s="61"/>
    </row>
    <row r="6" s="62" customFormat="true" ht="115" hidden="false" customHeight="true" outlineLevel="2" collapsed="false">
      <c r="A6" s="51" t="s">
        <v>930</v>
      </c>
      <c r="B6" s="52"/>
      <c r="C6" s="57"/>
      <c r="D6" s="53" t="s">
        <v>739</v>
      </c>
      <c r="E6" s="53" t="s">
        <v>931</v>
      </c>
      <c r="F6" s="54" t="n">
        <v>2163.04</v>
      </c>
      <c r="G6" s="55"/>
      <c r="H6" s="56" t="str">
        <f aca="false">IF(ISBLANK(G6),"",IF(ISNUMBER(F6),ROUND(F6*G6,2),"Укажите цену"))</f>
        <v/>
      </c>
      <c r="I6" s="57" t="n">
        <v>863</v>
      </c>
      <c r="J6" s="57" t="n">
        <v>13.59</v>
      </c>
      <c r="K6" s="57" t="s">
        <v>740</v>
      </c>
      <c r="L6" s="57" t="s">
        <v>91</v>
      </c>
      <c r="M6" s="57" t="s">
        <v>92</v>
      </c>
      <c r="N6" s="57" t="n">
        <v>15</v>
      </c>
      <c r="O6" s="57" t="s">
        <v>741</v>
      </c>
      <c r="P6" s="58" t="n">
        <v>0.038</v>
      </c>
      <c r="Q6" s="137" t="s">
        <v>932</v>
      </c>
      <c r="R6" s="125" t="s">
        <v>743</v>
      </c>
      <c r="S6" s="60" t="s">
        <v>96</v>
      </c>
      <c r="T6" s="87"/>
      <c r="U6" s="61"/>
      <c r="V6" s="61"/>
      <c r="W6" s="61"/>
      <c r="X6" s="61"/>
      <c r="Y6" s="61"/>
      <c r="Z6" s="61"/>
    </row>
    <row r="7" s="62" customFormat="true" ht="115" hidden="false" customHeight="true" outlineLevel="2" collapsed="false">
      <c r="A7" s="51" t="s">
        <v>933</v>
      </c>
      <c r="B7" s="52"/>
      <c r="C7" s="57"/>
      <c r="D7" s="53" t="s">
        <v>745</v>
      </c>
      <c r="E7" s="53" t="s">
        <v>931</v>
      </c>
      <c r="F7" s="54" t="n">
        <v>2750.17</v>
      </c>
      <c r="G7" s="55"/>
      <c r="H7" s="56" t="str">
        <f aca="false">IF(ISBLANK(G7),"",IF(ISNUMBER(F7),ROUND(F7*G7,2),"Укажите цену"))</f>
        <v/>
      </c>
      <c r="I7" s="57" t="n">
        <v>1191</v>
      </c>
      <c r="J7" s="57" t="n">
        <v>15</v>
      </c>
      <c r="K7" s="57" t="s">
        <v>746</v>
      </c>
      <c r="L7" s="57" t="s">
        <v>91</v>
      </c>
      <c r="M7" s="57" t="s">
        <v>92</v>
      </c>
      <c r="N7" s="57" t="n">
        <v>12</v>
      </c>
      <c r="O7" s="57" t="s">
        <v>741</v>
      </c>
      <c r="P7" s="58" t="n">
        <v>0.038</v>
      </c>
      <c r="Q7" s="137" t="s">
        <v>934</v>
      </c>
      <c r="R7" s="125" t="s">
        <v>748</v>
      </c>
      <c r="S7" s="60" t="s">
        <v>96</v>
      </c>
      <c r="T7" s="87"/>
      <c r="U7" s="61"/>
      <c r="V7" s="61"/>
      <c r="W7" s="61"/>
      <c r="X7" s="61"/>
      <c r="Y7" s="61"/>
      <c r="Z7" s="61"/>
    </row>
    <row r="8" s="62" customFormat="true" ht="115" hidden="false" customHeight="true" outlineLevel="2" collapsed="false">
      <c r="A8" s="51" t="s">
        <v>935</v>
      </c>
      <c r="B8" s="52"/>
      <c r="C8" s="57"/>
      <c r="D8" s="53" t="s">
        <v>729</v>
      </c>
      <c r="E8" s="53" t="s">
        <v>217</v>
      </c>
      <c r="F8" s="54" t="n">
        <v>507.63</v>
      </c>
      <c r="G8" s="55"/>
      <c r="H8" s="56" t="str">
        <f aca="false">IF(ISBLANK(G8),"",IF(ISNUMBER(F8),ROUND(F8*G8,2),"Укажите цену"))</f>
        <v/>
      </c>
      <c r="I8" s="57" t="s">
        <v>936</v>
      </c>
      <c r="J8" s="26" t="s">
        <v>936</v>
      </c>
      <c r="K8" s="57" t="s">
        <v>936</v>
      </c>
      <c r="L8" s="57" t="s">
        <v>91</v>
      </c>
      <c r="M8" s="57" t="s">
        <v>92</v>
      </c>
      <c r="N8" s="57" t="n">
        <v>60</v>
      </c>
      <c r="O8" s="57" t="s">
        <v>720</v>
      </c>
      <c r="P8" s="58" t="n">
        <v>0.025</v>
      </c>
      <c r="Q8" s="138" t="s">
        <v>937</v>
      </c>
      <c r="R8" s="125" t="s">
        <v>732</v>
      </c>
      <c r="S8" s="60" t="s">
        <v>96</v>
      </c>
      <c r="T8" s="87"/>
      <c r="U8" s="61"/>
      <c r="V8" s="61"/>
      <c r="W8" s="61"/>
      <c r="X8" s="61"/>
      <c r="Y8" s="61"/>
      <c r="Z8" s="61"/>
    </row>
    <row r="9" s="62" customFormat="true" ht="115" hidden="false" customHeight="true" outlineLevel="2" collapsed="false">
      <c r="A9" s="51" t="s">
        <v>938</v>
      </c>
      <c r="B9" s="52"/>
      <c r="C9" s="57"/>
      <c r="D9" s="53" t="s">
        <v>750</v>
      </c>
      <c r="E9" s="53" t="s">
        <v>217</v>
      </c>
      <c r="F9" s="54" t="n">
        <v>1045.84</v>
      </c>
      <c r="G9" s="55"/>
      <c r="H9" s="56" t="str">
        <f aca="false">IF(ISBLANK(G9),"",IF(ISNUMBER(F9),ROUND(F9*G9,2),"Укажите цену"))</f>
        <v/>
      </c>
      <c r="I9" s="57" t="n">
        <v>227</v>
      </c>
      <c r="J9" s="26" t="n">
        <v>10.04</v>
      </c>
      <c r="K9" s="57" t="s">
        <v>751</v>
      </c>
      <c r="L9" s="57" t="s">
        <v>91</v>
      </c>
      <c r="M9" s="57" t="s">
        <v>92</v>
      </c>
      <c r="N9" s="57" t="n">
        <v>42</v>
      </c>
      <c r="O9" s="57" t="s">
        <v>720</v>
      </c>
      <c r="P9" s="58" t="n">
        <v>0.025</v>
      </c>
      <c r="Q9" s="95" t="s">
        <v>939</v>
      </c>
      <c r="R9" s="93" t="s">
        <v>753</v>
      </c>
      <c r="S9" s="60" t="s">
        <v>96</v>
      </c>
      <c r="T9" s="87"/>
      <c r="U9" s="61"/>
      <c r="V9" s="61"/>
      <c r="W9" s="61"/>
      <c r="X9" s="61"/>
      <c r="Y9" s="61"/>
      <c r="Z9" s="61"/>
    </row>
    <row r="10" s="34" customFormat="true" ht="115" hidden="false" customHeight="true" outlineLevel="2" collapsed="false">
      <c r="A10" s="51" t="s">
        <v>940</v>
      </c>
      <c r="B10" s="57"/>
      <c r="C10" s="57"/>
      <c r="D10" s="53" t="s">
        <v>761</v>
      </c>
      <c r="E10" s="53" t="s">
        <v>217</v>
      </c>
      <c r="F10" s="54" t="n">
        <v>3810.29</v>
      </c>
      <c r="G10" s="55"/>
      <c r="H10" s="56" t="str">
        <f aca="false">IF(ISBLANK(G10),"",IF(ISNUMBER(F10),ROUND(F10*G10,2),"Укажите цену"))</f>
        <v/>
      </c>
      <c r="I10" s="57" t="n">
        <v>1963</v>
      </c>
      <c r="J10" s="57" t="n">
        <v>16.41</v>
      </c>
      <c r="K10" s="57" t="s">
        <v>762</v>
      </c>
      <c r="L10" s="57" t="s">
        <v>91</v>
      </c>
      <c r="M10" s="57" t="s">
        <v>92</v>
      </c>
      <c r="N10" s="57" t="n">
        <v>8</v>
      </c>
      <c r="O10" s="57" t="s">
        <v>763</v>
      </c>
      <c r="P10" s="58" t="n">
        <v>0.03</v>
      </c>
      <c r="Q10" s="95" t="s">
        <v>941</v>
      </c>
      <c r="R10" s="93" t="s">
        <v>765</v>
      </c>
      <c r="S10" s="60" t="s">
        <v>96</v>
      </c>
      <c r="T10" s="61"/>
    </row>
    <row r="11" s="34" customFormat="true" ht="115" hidden="false" customHeight="true" outlineLevel="2" collapsed="false">
      <c r="A11" s="51" t="s">
        <v>942</v>
      </c>
      <c r="B11" s="57"/>
      <c r="C11" s="57"/>
      <c r="D11" s="53" t="s">
        <v>767</v>
      </c>
      <c r="E11" s="53" t="s">
        <v>217</v>
      </c>
      <c r="F11" s="54" t="n">
        <v>532.09</v>
      </c>
      <c r="G11" s="55"/>
      <c r="H11" s="56" t="str">
        <f aca="false">IF(ISBLANK(G11),"",IF(ISNUMBER(F11),ROUND(F11*G11,2),"Укажите цену"))</f>
        <v/>
      </c>
      <c r="I11" s="57" t="n">
        <v>281</v>
      </c>
      <c r="J11" s="57" t="n">
        <v>12.82</v>
      </c>
      <c r="K11" s="57" t="s">
        <v>768</v>
      </c>
      <c r="L11" s="57" t="s">
        <v>91</v>
      </c>
      <c r="M11" s="57" t="s">
        <v>92</v>
      </c>
      <c r="N11" s="57" t="n">
        <v>44</v>
      </c>
      <c r="O11" s="57" t="s">
        <v>720</v>
      </c>
      <c r="P11" s="58" t="n">
        <v>0.025</v>
      </c>
      <c r="Q11" s="137" t="s">
        <v>943</v>
      </c>
      <c r="R11" s="93" t="s">
        <v>770</v>
      </c>
      <c r="S11" s="60" t="s">
        <v>96</v>
      </c>
      <c r="T11" s="61"/>
    </row>
    <row r="12" s="34" customFormat="true" ht="115" hidden="false" customHeight="true" outlineLevel="2" collapsed="false">
      <c r="A12" s="51" t="s">
        <v>944</v>
      </c>
      <c r="B12" s="57"/>
      <c r="C12" s="57"/>
      <c r="D12" s="53" t="s">
        <v>782</v>
      </c>
      <c r="E12" s="53" t="s">
        <v>217</v>
      </c>
      <c r="F12" s="54" t="n">
        <v>1029.53</v>
      </c>
      <c r="G12" s="55"/>
      <c r="H12" s="56" t="str">
        <f aca="false">IF(ISBLANK(G12),"",IF(ISNUMBER(F12),ROUND(F12*G12,2),"Укажите цену"))</f>
        <v/>
      </c>
      <c r="I12" s="57" t="n">
        <v>236</v>
      </c>
      <c r="J12" s="57" t="n">
        <v>16.07</v>
      </c>
      <c r="K12" s="57" t="s">
        <v>783</v>
      </c>
      <c r="L12" s="57" t="s">
        <v>91</v>
      </c>
      <c r="M12" s="57" t="s">
        <v>92</v>
      </c>
      <c r="N12" s="57" t="n">
        <v>60</v>
      </c>
      <c r="O12" s="57" t="s">
        <v>720</v>
      </c>
      <c r="P12" s="58" t="n">
        <v>0.025</v>
      </c>
      <c r="Q12" s="137" t="s">
        <v>945</v>
      </c>
      <c r="R12" s="93" t="s">
        <v>785</v>
      </c>
      <c r="S12" s="60" t="s">
        <v>96</v>
      </c>
      <c r="T12" s="61"/>
    </row>
    <row r="13" s="34" customFormat="true" ht="60" hidden="false" customHeight="true" outlineLevel="2" collapsed="false">
      <c r="A13" s="63" t="s">
        <v>946</v>
      </c>
      <c r="B13" s="57"/>
      <c r="C13" s="57"/>
      <c r="D13" s="53" t="s">
        <v>787</v>
      </c>
      <c r="E13" s="53" t="s">
        <v>217</v>
      </c>
      <c r="F13" s="54" t="n">
        <v>670.72</v>
      </c>
      <c r="G13" s="55"/>
      <c r="H13" s="56" t="str">
        <f aca="false">IF(ISBLANK(G13),"",IF(ISNUMBER(F13),ROUND(F13*G13,2),"Укажите цену"))</f>
        <v/>
      </c>
      <c r="I13" s="57" t="n">
        <v>262</v>
      </c>
      <c r="J13" s="57" t="n">
        <v>17.7</v>
      </c>
      <c r="K13" s="57" t="s">
        <v>788</v>
      </c>
      <c r="L13" s="57" t="s">
        <v>91</v>
      </c>
      <c r="M13" s="57" t="s">
        <v>92</v>
      </c>
      <c r="N13" s="57" t="n">
        <v>66</v>
      </c>
      <c r="O13" s="57" t="s">
        <v>720</v>
      </c>
      <c r="P13" s="58" t="n">
        <v>0.025</v>
      </c>
      <c r="Q13" s="95" t="s">
        <v>947</v>
      </c>
      <c r="R13" s="93" t="s">
        <v>790</v>
      </c>
      <c r="S13" s="60" t="s">
        <v>791</v>
      </c>
      <c r="T13" s="61"/>
    </row>
    <row r="14" s="34" customFormat="true" ht="60" hidden="false" customHeight="true" outlineLevel="2" collapsed="false">
      <c r="A14" s="63"/>
      <c r="B14" s="57"/>
      <c r="C14" s="57"/>
      <c r="D14" s="53" t="s">
        <v>792</v>
      </c>
      <c r="E14" s="53" t="s">
        <v>103</v>
      </c>
      <c r="F14" s="54" t="n">
        <v>670.72</v>
      </c>
      <c r="G14" s="55"/>
      <c r="H14" s="56" t="str">
        <f aca="false">IF(ISBLANK(G14),"",IF(ISNUMBER(F14),ROUND(F14*G14,2),"Укажите цену"))</f>
        <v/>
      </c>
      <c r="I14" s="57"/>
      <c r="J14" s="57"/>
      <c r="K14" s="57"/>
      <c r="L14" s="57"/>
      <c r="M14" s="57"/>
      <c r="N14" s="57"/>
      <c r="O14" s="57"/>
      <c r="P14" s="58"/>
      <c r="Q14" s="95"/>
      <c r="R14" s="93"/>
      <c r="S14" s="60"/>
      <c r="T14" s="61"/>
    </row>
    <row r="15" s="34" customFormat="true" ht="115" hidden="false" customHeight="true" outlineLevel="2" collapsed="false">
      <c r="A15" s="51" t="s">
        <v>948</v>
      </c>
      <c r="B15" s="57"/>
      <c r="C15" s="57"/>
      <c r="D15" s="53" t="s">
        <v>800</v>
      </c>
      <c r="E15" s="53" t="s">
        <v>217</v>
      </c>
      <c r="F15" s="54" t="n">
        <v>1290.48</v>
      </c>
      <c r="G15" s="55"/>
      <c r="H15" s="56" t="str">
        <f aca="false">IF(ISBLANK(G15),"",IF(ISNUMBER(F15),ROUND(F15*G15,2),"Укажите цену"))</f>
        <v/>
      </c>
      <c r="I15" s="57" t="n">
        <v>653</v>
      </c>
      <c r="J15" s="57" t="n">
        <v>20</v>
      </c>
      <c r="K15" s="57" t="s">
        <v>801</v>
      </c>
      <c r="L15" s="57" t="s">
        <v>91</v>
      </c>
      <c r="M15" s="57" t="s">
        <v>92</v>
      </c>
      <c r="N15" s="57" t="n">
        <v>29</v>
      </c>
      <c r="O15" s="57" t="s">
        <v>720</v>
      </c>
      <c r="P15" s="58" t="n">
        <v>0.025</v>
      </c>
      <c r="Q15" s="95" t="s">
        <v>949</v>
      </c>
      <c r="R15" s="93" t="s">
        <v>803</v>
      </c>
      <c r="S15" s="60" t="s">
        <v>791</v>
      </c>
      <c r="T15" s="61"/>
    </row>
    <row r="16" s="34" customFormat="true" ht="115" hidden="false" customHeight="true" outlineLevel="2" collapsed="false">
      <c r="A16" s="51" t="s">
        <v>950</v>
      </c>
      <c r="B16" s="57"/>
      <c r="C16" s="57"/>
      <c r="D16" s="53" t="s">
        <v>805</v>
      </c>
      <c r="E16" s="53" t="s">
        <v>217</v>
      </c>
      <c r="F16" s="54" t="n">
        <v>1902.08</v>
      </c>
      <c r="G16" s="55"/>
      <c r="H16" s="56" t="str">
        <f aca="false">IF(ISBLANK(G16),"",IF(ISNUMBER(F16),ROUND(F16*G16,2),"Укажите цену"))</f>
        <v/>
      </c>
      <c r="I16" s="57" t="n">
        <v>1016</v>
      </c>
      <c r="J16" s="57" t="n">
        <v>18.7</v>
      </c>
      <c r="K16" s="57" t="s">
        <v>806</v>
      </c>
      <c r="L16" s="57" t="s">
        <v>91</v>
      </c>
      <c r="M16" s="57" t="s">
        <v>92</v>
      </c>
      <c r="N16" s="57" t="n">
        <v>18</v>
      </c>
      <c r="O16" s="57" t="s">
        <v>720</v>
      </c>
      <c r="P16" s="58" t="n">
        <v>0.025</v>
      </c>
      <c r="Q16" s="95" t="s">
        <v>951</v>
      </c>
      <c r="R16" s="93" t="s">
        <v>808</v>
      </c>
      <c r="S16" s="60" t="s">
        <v>791</v>
      </c>
      <c r="T16" s="61"/>
    </row>
    <row r="17" s="34" customFormat="true" ht="60" hidden="false" customHeight="true" outlineLevel="2" collapsed="false">
      <c r="A17" s="63" t="s">
        <v>952</v>
      </c>
      <c r="B17" s="57"/>
      <c r="C17" s="57"/>
      <c r="D17" s="53" t="s">
        <v>810</v>
      </c>
      <c r="E17" s="53" t="s">
        <v>217</v>
      </c>
      <c r="F17" s="54" t="n">
        <v>581.02</v>
      </c>
      <c r="G17" s="55"/>
      <c r="H17" s="56" t="str">
        <f aca="false">IF(ISBLANK(G17),"",IF(ISNUMBER(F17),ROUND(F17*G17,2),"Укажите цену"))</f>
        <v/>
      </c>
      <c r="I17" s="57" t="n">
        <v>263</v>
      </c>
      <c r="J17" s="57" t="n">
        <v>17.86</v>
      </c>
      <c r="K17" s="57" t="s">
        <v>811</v>
      </c>
      <c r="L17" s="57" t="s">
        <v>91</v>
      </c>
      <c r="M17" s="57" t="s">
        <v>92</v>
      </c>
      <c r="N17" s="57" t="n">
        <v>66</v>
      </c>
      <c r="O17" s="57" t="s">
        <v>720</v>
      </c>
      <c r="P17" s="58" t="n">
        <v>0.025</v>
      </c>
      <c r="Q17" s="95" t="s">
        <v>953</v>
      </c>
      <c r="R17" s="93" t="s">
        <v>813</v>
      </c>
      <c r="S17" s="60" t="s">
        <v>814</v>
      </c>
      <c r="T17" s="61"/>
    </row>
    <row r="18" s="34" customFormat="true" ht="60" hidden="false" customHeight="true" outlineLevel="2" collapsed="false">
      <c r="A18" s="63"/>
      <c r="B18" s="57"/>
      <c r="C18" s="57"/>
      <c r="D18" s="53" t="s">
        <v>815</v>
      </c>
      <c r="E18" s="53" t="s">
        <v>103</v>
      </c>
      <c r="F18" s="54" t="n">
        <v>581.02</v>
      </c>
      <c r="G18" s="55"/>
      <c r="H18" s="56" t="str">
        <f aca="false">IF(ISBLANK(G18),"",IF(ISNUMBER(F18),ROUND(F18*G18,2),"Укажите цену"))</f>
        <v/>
      </c>
      <c r="I18" s="57"/>
      <c r="J18" s="57"/>
      <c r="K18" s="57"/>
      <c r="L18" s="57"/>
      <c r="M18" s="57"/>
      <c r="N18" s="57"/>
      <c r="O18" s="57"/>
      <c r="P18" s="58"/>
      <c r="Q18" s="95"/>
      <c r="R18" s="93"/>
      <c r="S18" s="60"/>
      <c r="T18" s="61"/>
    </row>
    <row r="19" s="34" customFormat="true" ht="115" hidden="false" customHeight="true" outlineLevel="2" collapsed="false">
      <c r="A19" s="51" t="s">
        <v>954</v>
      </c>
      <c r="B19" s="57"/>
      <c r="C19" s="57"/>
      <c r="D19" s="53" t="s">
        <v>823</v>
      </c>
      <c r="E19" s="53" t="s">
        <v>217</v>
      </c>
      <c r="F19" s="54" t="n">
        <v>1208.94</v>
      </c>
      <c r="G19" s="55"/>
      <c r="H19" s="56" t="str">
        <f aca="false">IF(ISBLANK(G19),"",IF(ISNUMBER(F19),ROUND(F19*G19,2),"Укажите цену"))</f>
        <v/>
      </c>
      <c r="I19" s="57" t="n">
        <v>661</v>
      </c>
      <c r="J19" s="57" t="n">
        <v>20.16</v>
      </c>
      <c r="K19" s="57" t="s">
        <v>824</v>
      </c>
      <c r="L19" s="57" t="s">
        <v>91</v>
      </c>
      <c r="M19" s="57" t="s">
        <v>92</v>
      </c>
      <c r="N19" s="57" t="n">
        <v>29</v>
      </c>
      <c r="O19" s="57" t="s">
        <v>720</v>
      </c>
      <c r="P19" s="58" t="n">
        <v>0.025</v>
      </c>
      <c r="Q19" s="95" t="s">
        <v>955</v>
      </c>
      <c r="R19" s="93" t="s">
        <v>826</v>
      </c>
      <c r="S19" s="60" t="s">
        <v>814</v>
      </c>
      <c r="T19" s="61"/>
    </row>
    <row r="20" s="34" customFormat="true" ht="115" hidden="false" customHeight="true" outlineLevel="2" collapsed="false">
      <c r="A20" s="51" t="s">
        <v>956</v>
      </c>
      <c r="B20" s="57"/>
      <c r="C20" s="57"/>
      <c r="D20" s="53" t="s">
        <v>828</v>
      </c>
      <c r="E20" s="53" t="s">
        <v>217</v>
      </c>
      <c r="F20" s="54" t="n">
        <v>1869.47</v>
      </c>
      <c r="G20" s="55"/>
      <c r="H20" s="56" t="str">
        <f aca="false">IF(ISBLANK(G20),"",IF(ISNUMBER(F20),ROUND(F20*G20,2),"Укажите цену"))</f>
        <v/>
      </c>
      <c r="I20" s="57" t="n">
        <v>1033</v>
      </c>
      <c r="J20" s="57" t="n">
        <v>19.1</v>
      </c>
      <c r="K20" s="57" t="s">
        <v>806</v>
      </c>
      <c r="L20" s="57" t="s">
        <v>91</v>
      </c>
      <c r="M20" s="57" t="s">
        <v>92</v>
      </c>
      <c r="N20" s="57" t="n">
        <v>18</v>
      </c>
      <c r="O20" s="57" t="s">
        <v>720</v>
      </c>
      <c r="P20" s="58" t="n">
        <v>0.025</v>
      </c>
      <c r="Q20" s="95" t="s">
        <v>957</v>
      </c>
      <c r="R20" s="93" t="s">
        <v>830</v>
      </c>
      <c r="S20" s="60" t="s">
        <v>814</v>
      </c>
      <c r="T20" s="61"/>
    </row>
    <row r="21" s="34" customFormat="true" ht="60" hidden="false" customHeight="true" outlineLevel="2" collapsed="false">
      <c r="A21" s="63" t="s">
        <v>958</v>
      </c>
      <c r="B21" s="57"/>
      <c r="C21" s="57"/>
      <c r="D21" s="53" t="s">
        <v>832</v>
      </c>
      <c r="E21" s="53" t="s">
        <v>217</v>
      </c>
      <c r="F21" s="54" t="n">
        <v>523.94</v>
      </c>
      <c r="G21" s="55"/>
      <c r="H21" s="56" t="str">
        <f aca="false">IF(ISBLANK(G21),"",IF(ISNUMBER(F21),ROUND(F21*G21,2),"Укажите цену"))</f>
        <v/>
      </c>
      <c r="I21" s="57" t="n">
        <v>261</v>
      </c>
      <c r="J21" s="57" t="n">
        <v>17.63</v>
      </c>
      <c r="K21" s="57" t="s">
        <v>788</v>
      </c>
      <c r="L21" s="57" t="s">
        <v>91</v>
      </c>
      <c r="M21" s="57" t="s">
        <v>92</v>
      </c>
      <c r="N21" s="57" t="n">
        <v>66</v>
      </c>
      <c r="O21" s="57" t="s">
        <v>720</v>
      </c>
      <c r="P21" s="58" t="n">
        <v>0.025</v>
      </c>
      <c r="Q21" s="95" t="s">
        <v>959</v>
      </c>
      <c r="R21" s="93" t="s">
        <v>834</v>
      </c>
      <c r="S21" s="60" t="s">
        <v>835</v>
      </c>
      <c r="T21" s="61"/>
    </row>
    <row r="22" s="34" customFormat="true" ht="60" hidden="false" customHeight="true" outlineLevel="2" collapsed="false">
      <c r="A22" s="63"/>
      <c r="B22" s="57"/>
      <c r="C22" s="57"/>
      <c r="D22" s="53" t="s">
        <v>836</v>
      </c>
      <c r="E22" s="53" t="s">
        <v>103</v>
      </c>
      <c r="F22" s="54" t="n">
        <v>523.94</v>
      </c>
      <c r="G22" s="55"/>
      <c r="H22" s="56" t="str">
        <f aca="false">IF(ISBLANK(G22),"",IF(ISNUMBER(F22),ROUND(F22*G22,2),"Укажите цену"))</f>
        <v/>
      </c>
      <c r="I22" s="57"/>
      <c r="J22" s="57"/>
      <c r="K22" s="57"/>
      <c r="L22" s="57"/>
      <c r="M22" s="57"/>
      <c r="N22" s="57"/>
      <c r="O22" s="57"/>
      <c r="P22" s="58"/>
      <c r="Q22" s="95"/>
      <c r="R22" s="93"/>
      <c r="S22" s="60"/>
      <c r="T22" s="61"/>
    </row>
    <row r="23" s="70" customFormat="true" ht="115" hidden="false" customHeight="true" outlineLevel="2" collapsed="false">
      <c r="A23" s="51" t="s">
        <v>960</v>
      </c>
      <c r="B23" s="57"/>
      <c r="C23" s="57"/>
      <c r="D23" s="53" t="s">
        <v>843</v>
      </c>
      <c r="E23" s="53" t="s">
        <v>217</v>
      </c>
      <c r="F23" s="54" t="n">
        <v>638.11</v>
      </c>
      <c r="G23" s="55"/>
      <c r="H23" s="56" t="str">
        <f aca="false">IF(ISBLANK(G23),"",IF(ISNUMBER(F23),ROUND(F23*G23,2),"Укажите цену"))</f>
        <v/>
      </c>
      <c r="I23" s="57" t="n">
        <v>296</v>
      </c>
      <c r="J23" s="57" t="n">
        <v>18.3</v>
      </c>
      <c r="K23" s="57" t="s">
        <v>844</v>
      </c>
      <c r="L23" s="57" t="s">
        <v>91</v>
      </c>
      <c r="M23" s="57" t="s">
        <v>92</v>
      </c>
      <c r="N23" s="57" t="n">
        <v>60</v>
      </c>
      <c r="O23" s="57" t="s">
        <v>720</v>
      </c>
      <c r="P23" s="58" t="n">
        <v>0.025</v>
      </c>
      <c r="Q23" s="139" t="s">
        <v>961</v>
      </c>
      <c r="R23" s="93" t="s">
        <v>846</v>
      </c>
      <c r="S23" s="60" t="s">
        <v>847</v>
      </c>
      <c r="T23" s="61"/>
    </row>
    <row r="24" s="70" customFormat="true" ht="115" hidden="false" customHeight="true" outlineLevel="2" collapsed="false">
      <c r="A24" s="51" t="s">
        <v>962</v>
      </c>
      <c r="B24" s="57"/>
      <c r="C24" s="57"/>
      <c r="D24" s="53" t="s">
        <v>854</v>
      </c>
      <c r="E24" s="53" t="s">
        <v>217</v>
      </c>
      <c r="F24" s="54" t="n">
        <v>2171.19</v>
      </c>
      <c r="G24" s="55"/>
      <c r="H24" s="56" t="str">
        <f aca="false">IF(ISBLANK(G24),"",IF(ISNUMBER(F24),ROUND(F24*G24,2),"Укажите цену"))</f>
        <v/>
      </c>
      <c r="I24" s="57" t="n">
        <v>893</v>
      </c>
      <c r="J24" s="57" t="n">
        <v>14</v>
      </c>
      <c r="K24" s="57" t="s">
        <v>855</v>
      </c>
      <c r="L24" s="57" t="s">
        <v>91</v>
      </c>
      <c r="M24" s="57" t="s">
        <v>92</v>
      </c>
      <c r="N24" s="57" t="n">
        <v>15</v>
      </c>
      <c r="O24" s="57" t="s">
        <v>856</v>
      </c>
      <c r="P24" s="58" t="n">
        <v>0.029</v>
      </c>
      <c r="Q24" s="139" t="s">
        <v>963</v>
      </c>
      <c r="R24" s="93" t="s">
        <v>858</v>
      </c>
      <c r="S24" s="60" t="s">
        <v>96</v>
      </c>
      <c r="T24" s="61"/>
    </row>
    <row r="25" s="70" customFormat="true" ht="115" hidden="false" customHeight="true" outlineLevel="2" collapsed="false">
      <c r="A25" s="51" t="s">
        <v>964</v>
      </c>
      <c r="B25" s="57"/>
      <c r="C25" s="57"/>
      <c r="D25" s="53" t="s">
        <v>860</v>
      </c>
      <c r="E25" s="53" t="s">
        <v>217</v>
      </c>
      <c r="F25" s="54" t="n">
        <v>2538.15</v>
      </c>
      <c r="G25" s="55"/>
      <c r="H25" s="56" t="str">
        <f aca="false">IF(ISBLANK(G25),"",IF(ISNUMBER(F25),ROUND(F25*G25,2),"Укажите цену"))</f>
        <v/>
      </c>
      <c r="I25" s="57" t="n">
        <v>1083</v>
      </c>
      <c r="J25" s="57" t="n">
        <v>13.6</v>
      </c>
      <c r="K25" s="57" t="s">
        <v>861</v>
      </c>
      <c r="L25" s="57" t="s">
        <v>91</v>
      </c>
      <c r="M25" s="57" t="s">
        <v>92</v>
      </c>
      <c r="N25" s="57" t="n">
        <v>12</v>
      </c>
      <c r="O25" s="57" t="s">
        <v>862</v>
      </c>
      <c r="P25" s="58" t="n">
        <v>0.026</v>
      </c>
      <c r="Q25" s="139" t="s">
        <v>965</v>
      </c>
      <c r="R25" s="93" t="s">
        <v>864</v>
      </c>
      <c r="S25" s="60" t="s">
        <v>865</v>
      </c>
      <c r="T25" s="61"/>
    </row>
    <row r="26" s="70" customFormat="true" ht="115" hidden="false" customHeight="true" outlineLevel="2" collapsed="false">
      <c r="A26" s="51" t="s">
        <v>966</v>
      </c>
      <c r="B26" s="57"/>
      <c r="C26" s="57"/>
      <c r="D26" s="53" t="s">
        <v>867</v>
      </c>
      <c r="E26" s="53" t="s">
        <v>217</v>
      </c>
      <c r="F26" s="54" t="n">
        <v>2905.11</v>
      </c>
      <c r="G26" s="55"/>
      <c r="H26" s="56" t="str">
        <f aca="false">IF(ISBLANK(G26),"",IF(ISNUMBER(F26),ROUND(F26*G26,2),"Укажите цену"))</f>
        <v/>
      </c>
      <c r="I26" s="57" t="n">
        <v>1284</v>
      </c>
      <c r="J26" s="57" t="n">
        <v>14.7</v>
      </c>
      <c r="K26" s="57" t="s">
        <v>868</v>
      </c>
      <c r="L26" s="57" t="s">
        <v>91</v>
      </c>
      <c r="M26" s="57" t="s">
        <v>92</v>
      </c>
      <c r="N26" s="57" t="n">
        <v>11</v>
      </c>
      <c r="O26" s="57" t="s">
        <v>856</v>
      </c>
      <c r="P26" s="58" t="n">
        <v>0.029</v>
      </c>
      <c r="Q26" s="139" t="s">
        <v>967</v>
      </c>
      <c r="R26" s="93" t="s">
        <v>870</v>
      </c>
      <c r="S26" s="60" t="s">
        <v>96</v>
      </c>
      <c r="T26" s="61"/>
    </row>
    <row r="27" s="70" customFormat="true" ht="115" hidden="false" customHeight="true" outlineLevel="2" collapsed="false">
      <c r="A27" s="51" t="s">
        <v>968</v>
      </c>
      <c r="B27" s="57"/>
      <c r="C27" s="57"/>
      <c r="D27" s="53" t="s">
        <v>872</v>
      </c>
      <c r="E27" s="53" t="s">
        <v>217</v>
      </c>
      <c r="F27" s="54" t="n">
        <v>1632.98</v>
      </c>
      <c r="G27" s="55"/>
      <c r="H27" s="56" t="str">
        <f aca="false">IF(ISBLANK(G27),"",IF(ISNUMBER(F27),ROUND(F27*G27,2),"Укажите цену"))</f>
        <v/>
      </c>
      <c r="I27" s="57" t="n">
        <v>737</v>
      </c>
      <c r="J27" s="57" t="n">
        <v>12.2</v>
      </c>
      <c r="K27" s="57" t="s">
        <v>873</v>
      </c>
      <c r="L27" s="57" t="s">
        <v>91</v>
      </c>
      <c r="M27" s="57" t="s">
        <v>92</v>
      </c>
      <c r="N27" s="57" t="n">
        <v>16</v>
      </c>
      <c r="O27" s="57" t="s">
        <v>874</v>
      </c>
      <c r="P27" s="58" t="n">
        <v>0.026</v>
      </c>
      <c r="Q27" s="95" t="s">
        <v>969</v>
      </c>
      <c r="R27" s="93" t="s">
        <v>876</v>
      </c>
      <c r="S27" s="60" t="s">
        <v>877</v>
      </c>
      <c r="T27" s="61"/>
    </row>
    <row r="28" s="70" customFormat="true" ht="115" hidden="false" customHeight="true" outlineLevel="2" collapsed="false">
      <c r="A28" s="51" t="s">
        <v>970</v>
      </c>
      <c r="B28" s="57"/>
      <c r="C28" s="57"/>
      <c r="D28" s="53" t="s">
        <v>879</v>
      </c>
      <c r="E28" s="53" t="s">
        <v>217</v>
      </c>
      <c r="F28" s="54" t="n">
        <v>2220.12</v>
      </c>
      <c r="G28" s="55"/>
      <c r="H28" s="56" t="str">
        <f aca="false">IF(ISBLANK(G28),"",IF(ISNUMBER(F28),ROUND(F28*G28,2),"Укажите цену"))</f>
        <v/>
      </c>
      <c r="I28" s="57" t="n">
        <v>1099</v>
      </c>
      <c r="J28" s="57" t="n">
        <v>14</v>
      </c>
      <c r="K28" s="57" t="s">
        <v>880</v>
      </c>
      <c r="L28" s="57" t="s">
        <v>91</v>
      </c>
      <c r="M28" s="57" t="s">
        <v>92</v>
      </c>
      <c r="N28" s="57" t="n">
        <v>12</v>
      </c>
      <c r="O28" s="57" t="s">
        <v>874</v>
      </c>
      <c r="P28" s="58" t="n">
        <v>0.026</v>
      </c>
      <c r="Q28" s="95" t="s">
        <v>971</v>
      </c>
      <c r="R28" s="93" t="s">
        <v>882</v>
      </c>
      <c r="S28" s="60" t="s">
        <v>877</v>
      </c>
      <c r="T28" s="61"/>
    </row>
    <row r="29" s="70" customFormat="true" ht="115" hidden="false" customHeight="true" outlineLevel="2" collapsed="false">
      <c r="A29" s="51" t="s">
        <v>972</v>
      </c>
      <c r="B29" s="57"/>
      <c r="C29" s="57"/>
      <c r="D29" s="53" t="s">
        <v>884</v>
      </c>
      <c r="E29" s="53" t="s">
        <v>217</v>
      </c>
      <c r="F29" s="54" t="n">
        <v>3427.01</v>
      </c>
      <c r="G29" s="55"/>
      <c r="H29" s="56" t="str">
        <f aca="false">IF(ISBLANK(G29),"",IF(ISNUMBER(F29),ROUND(F29*G29,2),"Укажите цену"))</f>
        <v/>
      </c>
      <c r="I29" s="57" t="n">
        <v>1836</v>
      </c>
      <c r="J29" s="57" t="n">
        <v>17.09</v>
      </c>
      <c r="K29" s="57" t="s">
        <v>885</v>
      </c>
      <c r="L29" s="57" t="s">
        <v>91</v>
      </c>
      <c r="M29" s="57" t="s">
        <v>92</v>
      </c>
      <c r="N29" s="57" t="n">
        <v>9</v>
      </c>
      <c r="O29" s="57" t="s">
        <v>874</v>
      </c>
      <c r="P29" s="58" t="n">
        <v>0.026</v>
      </c>
      <c r="Q29" s="95" t="s">
        <v>973</v>
      </c>
      <c r="R29" s="93" t="s">
        <v>887</v>
      </c>
      <c r="S29" s="60" t="s">
        <v>877</v>
      </c>
      <c r="T29" s="61"/>
    </row>
    <row r="30" s="70" customFormat="true" ht="115" hidden="false" customHeight="true" outlineLevel="2" collapsed="false">
      <c r="A30" s="51" t="s">
        <v>974</v>
      </c>
      <c r="B30" s="57"/>
      <c r="C30" s="57"/>
      <c r="D30" s="53" t="s">
        <v>889</v>
      </c>
      <c r="E30" s="53" t="s">
        <v>89</v>
      </c>
      <c r="F30" s="54" t="n">
        <v>801.2</v>
      </c>
      <c r="G30" s="55"/>
      <c r="H30" s="56" t="str">
        <f aca="false">IF(ISBLANK(G30),"",IF(ISNUMBER(F30),ROUND(F30*G30,2),"Укажите цену"))</f>
        <v/>
      </c>
      <c r="I30" s="57" t="n">
        <v>282</v>
      </c>
      <c r="J30" s="57" t="n">
        <v>19.1</v>
      </c>
      <c r="K30" s="57" t="s">
        <v>890</v>
      </c>
      <c r="L30" s="57" t="s">
        <v>91</v>
      </c>
      <c r="M30" s="57" t="s">
        <v>92</v>
      </c>
      <c r="N30" s="57" t="n">
        <v>66</v>
      </c>
      <c r="O30" s="57" t="s">
        <v>720</v>
      </c>
      <c r="P30" s="58" t="n">
        <v>0.025</v>
      </c>
      <c r="Q30" s="95" t="s">
        <v>975</v>
      </c>
      <c r="R30" s="69" t="s">
        <v>892</v>
      </c>
      <c r="S30" s="71" t="s">
        <v>96</v>
      </c>
      <c r="T30" s="61"/>
    </row>
    <row r="31" s="70" customFormat="true" ht="115" hidden="false" customHeight="true" outlineLevel="2" collapsed="false">
      <c r="A31" s="51" t="s">
        <v>976</v>
      </c>
      <c r="B31" s="57"/>
      <c r="C31" s="57"/>
      <c r="D31" s="53" t="s">
        <v>894</v>
      </c>
      <c r="E31" s="53" t="s">
        <v>217</v>
      </c>
      <c r="F31" s="54" t="n">
        <v>1396.49</v>
      </c>
      <c r="G31" s="55"/>
      <c r="H31" s="56" t="str">
        <f aca="false">IF(ISBLANK(G31),"",IF(ISNUMBER(F31),ROUND(F31*G31,2),"Укажите цену"))</f>
        <v/>
      </c>
      <c r="I31" s="57" t="n">
        <v>676</v>
      </c>
      <c r="J31" s="57" t="n">
        <v>16.8</v>
      </c>
      <c r="K31" s="57" t="s">
        <v>895</v>
      </c>
      <c r="L31" s="57" t="s">
        <v>91</v>
      </c>
      <c r="M31" s="57" t="s">
        <v>92</v>
      </c>
      <c r="N31" s="57" t="n">
        <v>24</v>
      </c>
      <c r="O31" s="57" t="s">
        <v>720</v>
      </c>
      <c r="P31" s="58" t="n">
        <v>0.025</v>
      </c>
      <c r="Q31" s="139" t="s">
        <v>977</v>
      </c>
      <c r="R31" s="93" t="s">
        <v>897</v>
      </c>
      <c r="S31" s="60" t="s">
        <v>96</v>
      </c>
      <c r="T31" s="61"/>
    </row>
    <row r="32" s="70" customFormat="true" ht="60" hidden="false" customHeight="true" outlineLevel="2" collapsed="false">
      <c r="A32" s="63" t="s">
        <v>978</v>
      </c>
      <c r="B32" s="57"/>
      <c r="C32" s="57"/>
      <c r="D32" s="53" t="s">
        <v>899</v>
      </c>
      <c r="E32" s="53" t="s">
        <v>89</v>
      </c>
      <c r="F32" s="54" t="n">
        <v>695.19</v>
      </c>
      <c r="G32" s="55"/>
      <c r="H32" s="56" t="str">
        <f aca="false">IF(ISBLANK(G32),"",IF(ISNUMBER(F32),ROUND(F32*G32,2),"Укажите цену"))</f>
        <v/>
      </c>
      <c r="I32" s="57" t="n">
        <v>266</v>
      </c>
      <c r="J32" s="57" t="n">
        <v>18</v>
      </c>
      <c r="K32" s="57" t="s">
        <v>900</v>
      </c>
      <c r="L32" s="57" t="s">
        <v>91</v>
      </c>
      <c r="M32" s="57" t="s">
        <v>92</v>
      </c>
      <c r="N32" s="57" t="n">
        <v>66</v>
      </c>
      <c r="O32" s="57" t="s">
        <v>720</v>
      </c>
      <c r="P32" s="58" t="n">
        <v>0.025</v>
      </c>
      <c r="Q32" s="95" t="s">
        <v>979</v>
      </c>
      <c r="R32" s="77" t="s">
        <v>902</v>
      </c>
      <c r="S32" s="60" t="s">
        <v>96</v>
      </c>
      <c r="T32" s="61"/>
    </row>
    <row r="33" s="70" customFormat="true" ht="60" hidden="false" customHeight="true" outlineLevel="2" collapsed="false">
      <c r="A33" s="63"/>
      <c r="B33" s="57"/>
      <c r="C33" s="57"/>
      <c r="D33" s="53" t="s">
        <v>903</v>
      </c>
      <c r="E33" s="53" t="s">
        <v>103</v>
      </c>
      <c r="F33" s="54" t="n">
        <v>695.19</v>
      </c>
      <c r="G33" s="55"/>
      <c r="H33" s="56" t="str">
        <f aca="false">IF(ISBLANK(G33),"",IF(ISNUMBER(F33),ROUND(F33*G33,2),"Укажите цену"))</f>
        <v/>
      </c>
      <c r="I33" s="57"/>
      <c r="J33" s="57"/>
      <c r="K33" s="57"/>
      <c r="L33" s="57"/>
      <c r="M33" s="57"/>
      <c r="N33" s="57"/>
      <c r="O33" s="57"/>
      <c r="P33" s="58"/>
      <c r="Q33" s="95"/>
      <c r="R33" s="77"/>
      <c r="S33" s="60"/>
      <c r="T33" s="61"/>
    </row>
    <row r="34" s="70" customFormat="true" ht="115" hidden="false" customHeight="true" outlineLevel="2" collapsed="false">
      <c r="A34" s="51" t="s">
        <v>980</v>
      </c>
      <c r="B34" s="57"/>
      <c r="C34" s="57"/>
      <c r="D34" s="53" t="s">
        <v>910</v>
      </c>
      <c r="E34" s="53" t="s">
        <v>217</v>
      </c>
      <c r="F34" s="54" t="n">
        <v>1306.79</v>
      </c>
      <c r="G34" s="55"/>
      <c r="H34" s="56" t="str">
        <f aca="false">IF(ISBLANK(G34),"",IF(ISNUMBER(F34),ROUND(F34*G34,2),"Укажите цену"))</f>
        <v/>
      </c>
      <c r="I34" s="57" t="n">
        <v>663</v>
      </c>
      <c r="J34" s="57" t="n">
        <v>16.4</v>
      </c>
      <c r="K34" s="57" t="s">
        <v>911</v>
      </c>
      <c r="L34" s="57" t="s">
        <v>91</v>
      </c>
      <c r="M34" s="57" t="s">
        <v>92</v>
      </c>
      <c r="N34" s="57" t="n">
        <v>21</v>
      </c>
      <c r="O34" s="57" t="s">
        <v>720</v>
      </c>
      <c r="P34" s="58" t="n">
        <v>0.025</v>
      </c>
      <c r="Q34" s="139" t="s">
        <v>981</v>
      </c>
      <c r="R34" s="93" t="s">
        <v>913</v>
      </c>
      <c r="S34" s="60" t="s">
        <v>96</v>
      </c>
      <c r="T34" s="61"/>
    </row>
    <row r="35" s="70" customFormat="true" ht="60" hidden="false" customHeight="true" outlineLevel="2" collapsed="false">
      <c r="A35" s="63" t="s">
        <v>982</v>
      </c>
      <c r="B35" s="57"/>
      <c r="C35" s="57"/>
      <c r="D35" s="53" t="s">
        <v>915</v>
      </c>
      <c r="E35" s="53" t="s">
        <v>89</v>
      </c>
      <c r="F35" s="54" t="n">
        <v>548.4</v>
      </c>
      <c r="G35" s="55"/>
      <c r="H35" s="56" t="str">
        <f aca="false">IF(ISBLANK(G35),"",IF(ISNUMBER(F35),ROUND(F35*G35,2),"Укажите цену"))</f>
        <v/>
      </c>
      <c r="I35" s="57" t="n">
        <v>263</v>
      </c>
      <c r="J35" s="57" t="n">
        <v>17.8</v>
      </c>
      <c r="K35" s="57" t="s">
        <v>916</v>
      </c>
      <c r="L35" s="57" t="s">
        <v>91</v>
      </c>
      <c r="M35" s="57" t="s">
        <v>92</v>
      </c>
      <c r="N35" s="57" t="n">
        <v>66</v>
      </c>
      <c r="O35" s="57" t="s">
        <v>720</v>
      </c>
      <c r="P35" s="58" t="n">
        <v>0.025</v>
      </c>
      <c r="Q35" s="95" t="s">
        <v>983</v>
      </c>
      <c r="R35" s="77" t="s">
        <v>918</v>
      </c>
      <c r="S35" s="60" t="s">
        <v>96</v>
      </c>
      <c r="T35" s="61"/>
    </row>
    <row r="36" s="70" customFormat="true" ht="60" hidden="false" customHeight="true" outlineLevel="2" collapsed="false">
      <c r="A36" s="63"/>
      <c r="B36" s="57"/>
      <c r="C36" s="57"/>
      <c r="D36" s="53" t="s">
        <v>920</v>
      </c>
      <c r="E36" s="53" t="s">
        <v>103</v>
      </c>
      <c r="F36" s="54" t="n">
        <v>548.4</v>
      </c>
      <c r="G36" s="55"/>
      <c r="H36" s="56" t="str">
        <f aca="false">IF(ISBLANK(G36),"",IF(ISNUMBER(F36),ROUND(F36*G36,2),"Укажите цену"))</f>
        <v/>
      </c>
      <c r="I36" s="57"/>
      <c r="J36" s="57"/>
      <c r="K36" s="57"/>
      <c r="L36" s="57"/>
      <c r="M36" s="57"/>
      <c r="N36" s="57"/>
      <c r="O36" s="57"/>
      <c r="P36" s="58"/>
      <c r="Q36" s="95"/>
      <c r="R36" s="77"/>
      <c r="S36" s="60"/>
      <c r="T36" s="61"/>
    </row>
    <row r="37" s="70" customFormat="true" ht="6" hidden="false" customHeight="true" outlineLevel="2" collapsed="false">
      <c r="A37" s="140"/>
      <c r="B37" s="128"/>
      <c r="C37" s="128"/>
      <c r="D37" s="53"/>
      <c r="E37" s="53"/>
      <c r="I37" s="128"/>
      <c r="J37" s="128"/>
      <c r="K37" s="128"/>
      <c r="L37" s="128"/>
      <c r="M37" s="128"/>
      <c r="N37" s="128"/>
      <c r="O37" s="128"/>
      <c r="P37" s="130"/>
      <c r="Q37" s="141"/>
      <c r="R37" s="132"/>
      <c r="S37" s="133"/>
      <c r="T37" s="61"/>
    </row>
    <row r="38" s="50" customFormat="true" ht="27" hidden="false" customHeight="true" outlineLevel="1" collapsed="false">
      <c r="A38" s="49" t="s">
        <v>19</v>
      </c>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49"/>
      <c r="DJ38" s="49"/>
      <c r="DK38" s="49"/>
      <c r="DL38" s="49"/>
      <c r="DM38" s="49"/>
      <c r="DN38" s="49"/>
      <c r="DO38" s="49"/>
      <c r="DP38" s="49"/>
      <c r="DQ38" s="49"/>
      <c r="DR38" s="49"/>
      <c r="DS38" s="49"/>
      <c r="DT38" s="49"/>
      <c r="DU38" s="49"/>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49"/>
      <c r="HW38" s="49"/>
      <c r="HX38" s="49"/>
      <c r="HY38" s="49"/>
      <c r="HZ38" s="49"/>
      <c r="IA38" s="49"/>
      <c r="IB38" s="49"/>
      <c r="IC38" s="49"/>
      <c r="ID38" s="49"/>
      <c r="IE38" s="49"/>
      <c r="IF38" s="49"/>
      <c r="IG38" s="49"/>
      <c r="IH38" s="49"/>
      <c r="II38" s="49"/>
      <c r="IJ38" s="49"/>
      <c r="IK38" s="49"/>
      <c r="IL38" s="49"/>
      <c r="IM38" s="49"/>
      <c r="IN38" s="49"/>
      <c r="IO38" s="49"/>
      <c r="IP38" s="49"/>
      <c r="IQ38" s="49"/>
      <c r="IR38" s="49"/>
      <c r="IS38" s="49"/>
      <c r="IT38" s="49"/>
      <c r="IU38" s="49"/>
      <c r="IV38" s="49"/>
      <c r="IW38" s="49"/>
    </row>
    <row r="39" s="62" customFormat="true" ht="115" hidden="false" customHeight="true" outlineLevel="2" collapsed="false">
      <c r="A39" s="51" t="s">
        <v>723</v>
      </c>
      <c r="B39" s="52"/>
      <c r="C39" s="57"/>
      <c r="D39" s="53" t="s">
        <v>724</v>
      </c>
      <c r="E39" s="53" t="s">
        <v>689</v>
      </c>
      <c r="F39" s="54" t="n">
        <v>1092.73</v>
      </c>
      <c r="G39" s="55"/>
      <c r="H39" s="56" t="str">
        <f aca="false">IF(ISBLANK(G39),"",IF(ISNUMBER(F39),ROUND(F39*G39,2),"Укажите цену"))</f>
        <v/>
      </c>
      <c r="I39" s="57" t="n">
        <v>213</v>
      </c>
      <c r="J39" s="26" t="n">
        <v>12.03</v>
      </c>
      <c r="K39" s="57" t="s">
        <v>725</v>
      </c>
      <c r="L39" s="57" t="s">
        <v>91</v>
      </c>
      <c r="M39" s="57" t="s">
        <v>92</v>
      </c>
      <c r="N39" s="57" t="n">
        <v>54</v>
      </c>
      <c r="O39" s="57" t="s">
        <v>720</v>
      </c>
      <c r="P39" s="58" t="n">
        <v>0.025</v>
      </c>
      <c r="Q39" s="124" t="s">
        <v>726</v>
      </c>
      <c r="R39" s="125" t="s">
        <v>727</v>
      </c>
      <c r="S39" s="60" t="s">
        <v>96</v>
      </c>
      <c r="T39" s="87"/>
      <c r="U39" s="61"/>
      <c r="V39" s="61"/>
      <c r="W39" s="61"/>
      <c r="X39" s="61"/>
      <c r="Y39" s="61"/>
      <c r="Z39" s="61"/>
    </row>
    <row r="40" s="62" customFormat="true" ht="115" hidden="false" customHeight="true" outlineLevel="2" collapsed="false">
      <c r="A40" s="51" t="s">
        <v>733</v>
      </c>
      <c r="B40" s="52"/>
      <c r="C40" s="57"/>
      <c r="D40" s="53" t="s">
        <v>734</v>
      </c>
      <c r="E40" s="53" t="s">
        <v>217</v>
      </c>
      <c r="F40" s="54" t="n">
        <v>782.85</v>
      </c>
      <c r="G40" s="55"/>
      <c r="H40" s="56" t="str">
        <f aca="false">IF(ISBLANK(G40),"",IF(ISNUMBER(F40),ROUND(F40*G40,2),"Укажите цену"))</f>
        <v/>
      </c>
      <c r="I40" s="57" t="n">
        <v>455</v>
      </c>
      <c r="J40" s="26" t="n">
        <v>19.6</v>
      </c>
      <c r="K40" s="57" t="s">
        <v>735</v>
      </c>
      <c r="L40" s="57" t="s">
        <v>91</v>
      </c>
      <c r="M40" s="57" t="s">
        <v>92</v>
      </c>
      <c r="N40" s="57" t="n">
        <v>42</v>
      </c>
      <c r="O40" s="57" t="s">
        <v>720</v>
      </c>
      <c r="P40" s="58" t="n">
        <v>0.025</v>
      </c>
      <c r="Q40" s="124" t="s">
        <v>736</v>
      </c>
      <c r="R40" s="125" t="s">
        <v>737</v>
      </c>
      <c r="S40" s="60" t="s">
        <v>96</v>
      </c>
      <c r="T40" s="87"/>
      <c r="U40" s="61"/>
      <c r="V40" s="61"/>
      <c r="W40" s="61"/>
      <c r="X40" s="61"/>
      <c r="Y40" s="61"/>
      <c r="Z40" s="61"/>
    </row>
    <row r="41" s="34" customFormat="true" ht="115" hidden="false" customHeight="true" outlineLevel="2" collapsed="false">
      <c r="A41" s="51" t="s">
        <v>754</v>
      </c>
      <c r="B41" s="57"/>
      <c r="C41" s="57"/>
      <c r="D41" s="53" t="s">
        <v>755</v>
      </c>
      <c r="E41" s="53" t="s">
        <v>756</v>
      </c>
      <c r="F41" s="54" t="n">
        <v>546.37</v>
      </c>
      <c r="G41" s="55"/>
      <c r="H41" s="56" t="str">
        <f aca="false">IF(ISBLANK(G41),"",IF(ISNUMBER(F41),ROUND(F41*G41,2),"Укажите цену"))</f>
        <v/>
      </c>
      <c r="I41" s="57" t="n">
        <v>135</v>
      </c>
      <c r="J41" s="57" t="n">
        <v>8.93</v>
      </c>
      <c r="K41" s="57" t="s">
        <v>757</v>
      </c>
      <c r="L41" s="57" t="s">
        <v>91</v>
      </c>
      <c r="M41" s="57" t="s">
        <v>92</v>
      </c>
      <c r="N41" s="57" t="n">
        <v>62</v>
      </c>
      <c r="O41" s="57" t="s">
        <v>720</v>
      </c>
      <c r="P41" s="58" t="n">
        <v>0.025</v>
      </c>
      <c r="Q41" s="68" t="s">
        <v>758</v>
      </c>
      <c r="R41" s="93" t="s">
        <v>759</v>
      </c>
      <c r="S41" s="60" t="s">
        <v>96</v>
      </c>
      <c r="T41" s="61"/>
    </row>
    <row r="42" s="34" customFormat="true" ht="115" hidden="false" customHeight="true" outlineLevel="2" collapsed="false">
      <c r="A42" s="51" t="s">
        <v>771</v>
      </c>
      <c r="B42" s="57"/>
      <c r="C42" s="57"/>
      <c r="D42" s="53" t="s">
        <v>772</v>
      </c>
      <c r="E42" s="53" t="s">
        <v>217</v>
      </c>
      <c r="F42" s="54" t="n">
        <v>815.47</v>
      </c>
      <c r="G42" s="55"/>
      <c r="H42" s="56" t="str">
        <f aca="false">IF(ISBLANK(G42),"",IF(ISNUMBER(F42),ROUND(F42*G42,2),"Укажите цену"))</f>
        <v/>
      </c>
      <c r="I42" s="57" t="n">
        <v>461</v>
      </c>
      <c r="J42" s="57" t="n">
        <v>14.8</v>
      </c>
      <c r="K42" s="57" t="s">
        <v>773</v>
      </c>
      <c r="L42" s="57" t="s">
        <v>91</v>
      </c>
      <c r="M42" s="57" t="s">
        <v>92</v>
      </c>
      <c r="N42" s="57" t="n">
        <v>31</v>
      </c>
      <c r="O42" s="57" t="s">
        <v>720</v>
      </c>
      <c r="P42" s="58" t="n">
        <v>0.025</v>
      </c>
      <c r="Q42" s="119" t="s">
        <v>774</v>
      </c>
      <c r="R42" s="93" t="s">
        <v>775</v>
      </c>
      <c r="S42" s="60" t="s">
        <v>96</v>
      </c>
      <c r="T42" s="61"/>
    </row>
    <row r="43" s="34" customFormat="true" ht="115" hidden="false" customHeight="true" outlineLevel="2" collapsed="false">
      <c r="A43" s="51" t="s">
        <v>776</v>
      </c>
      <c r="B43" s="57"/>
      <c r="C43" s="57"/>
      <c r="D43" s="53" t="s">
        <v>777</v>
      </c>
      <c r="E43" s="53" t="s">
        <v>217</v>
      </c>
      <c r="F43" s="54" t="n">
        <v>685</v>
      </c>
      <c r="G43" s="55"/>
      <c r="H43" s="56" t="str">
        <f aca="false">IF(ISBLANK(G43),"",IF(ISNUMBER(F43),ROUND(F43*G43,2),"Укажите цену"))</f>
        <v/>
      </c>
      <c r="I43" s="57" t="n">
        <v>169</v>
      </c>
      <c r="J43" s="57" t="n">
        <v>12.6</v>
      </c>
      <c r="K43" s="57" t="s">
        <v>778</v>
      </c>
      <c r="L43" s="57" t="s">
        <v>91</v>
      </c>
      <c r="M43" s="57" t="s">
        <v>92</v>
      </c>
      <c r="N43" s="57" t="n">
        <v>72</v>
      </c>
      <c r="O43" s="57" t="s">
        <v>720</v>
      </c>
      <c r="P43" s="58" t="n">
        <v>0.025</v>
      </c>
      <c r="Q43" s="119" t="s">
        <v>779</v>
      </c>
      <c r="R43" s="93" t="s">
        <v>780</v>
      </c>
      <c r="S43" s="60" t="s">
        <v>96</v>
      </c>
      <c r="T43" s="61"/>
    </row>
    <row r="44" s="34" customFormat="true" ht="60" hidden="false" customHeight="true" outlineLevel="2" collapsed="false">
      <c r="A44" s="63" t="s">
        <v>793</v>
      </c>
      <c r="B44" s="57"/>
      <c r="C44" s="57"/>
      <c r="D44" s="53" t="s">
        <v>794</v>
      </c>
      <c r="E44" s="53" t="s">
        <v>217</v>
      </c>
      <c r="F44" s="54" t="n">
        <v>962.26</v>
      </c>
      <c r="G44" s="55"/>
      <c r="H44" s="56" t="str">
        <f aca="false">IF(ISBLANK(G44),"",IF(ISNUMBER(F44),ROUND(F44*G44,2),"Укажите цену"))</f>
        <v/>
      </c>
      <c r="I44" s="57" t="n">
        <v>450</v>
      </c>
      <c r="J44" s="57" t="n">
        <v>19.36</v>
      </c>
      <c r="K44" s="57" t="s">
        <v>795</v>
      </c>
      <c r="L44" s="57" t="s">
        <v>91</v>
      </c>
      <c r="M44" s="57" t="s">
        <v>92</v>
      </c>
      <c r="N44" s="57" t="n">
        <v>42</v>
      </c>
      <c r="O44" s="57" t="s">
        <v>720</v>
      </c>
      <c r="P44" s="58" t="n">
        <v>0.025</v>
      </c>
      <c r="Q44" s="68" t="s">
        <v>796</v>
      </c>
      <c r="R44" s="93" t="s">
        <v>797</v>
      </c>
      <c r="S44" s="60" t="s">
        <v>791</v>
      </c>
      <c r="T44" s="61"/>
    </row>
    <row r="45" s="34" customFormat="true" ht="60" hidden="false" customHeight="true" outlineLevel="2" collapsed="false">
      <c r="A45" s="63"/>
      <c r="B45" s="57"/>
      <c r="C45" s="57"/>
      <c r="D45" s="53" t="s">
        <v>798</v>
      </c>
      <c r="E45" s="53" t="s">
        <v>103</v>
      </c>
      <c r="F45" s="54" t="n">
        <v>962.26</v>
      </c>
      <c r="G45" s="55"/>
      <c r="H45" s="56" t="str">
        <f aca="false">IF(ISBLANK(G45),"",IF(ISNUMBER(F45),ROUND(F45*G45,2),"Укажите цену"))</f>
        <v/>
      </c>
      <c r="I45" s="57"/>
      <c r="J45" s="57"/>
      <c r="K45" s="57"/>
      <c r="L45" s="57"/>
      <c r="M45" s="57"/>
      <c r="N45" s="57"/>
      <c r="O45" s="57"/>
      <c r="P45" s="58"/>
      <c r="Q45" s="68"/>
      <c r="R45" s="93"/>
      <c r="S45" s="60"/>
      <c r="T45" s="61"/>
    </row>
    <row r="46" s="34" customFormat="true" ht="60" hidden="false" customHeight="true" outlineLevel="2" collapsed="false">
      <c r="A46" s="63" t="s">
        <v>816</v>
      </c>
      <c r="B46" s="57"/>
      <c r="C46" s="57"/>
      <c r="D46" s="53" t="s">
        <v>817</v>
      </c>
      <c r="E46" s="53" t="s">
        <v>217</v>
      </c>
      <c r="F46" s="54" t="n">
        <v>888.86</v>
      </c>
      <c r="G46" s="55"/>
      <c r="H46" s="56" t="str">
        <f aca="false">IF(ISBLANK(G46),"",IF(ISNUMBER(F46),ROUND(F46*G46,2),"Укажите цену"))</f>
        <v/>
      </c>
      <c r="I46" s="57" t="n">
        <v>455</v>
      </c>
      <c r="J46" s="57" t="n">
        <v>19.56</v>
      </c>
      <c r="K46" s="57" t="s">
        <v>818</v>
      </c>
      <c r="L46" s="57" t="s">
        <v>91</v>
      </c>
      <c r="M46" s="57" t="s">
        <v>92</v>
      </c>
      <c r="N46" s="57" t="n">
        <v>42</v>
      </c>
      <c r="O46" s="57" t="s">
        <v>720</v>
      </c>
      <c r="P46" s="58" t="n">
        <v>0.025</v>
      </c>
      <c r="Q46" s="68" t="s">
        <v>819</v>
      </c>
      <c r="R46" s="93" t="s">
        <v>820</v>
      </c>
      <c r="S46" s="60" t="s">
        <v>814</v>
      </c>
      <c r="T46" s="61"/>
    </row>
    <row r="47" s="34" customFormat="true" ht="60" hidden="false" customHeight="true" outlineLevel="2" collapsed="false">
      <c r="A47" s="63"/>
      <c r="B47" s="57"/>
      <c r="C47" s="57"/>
      <c r="D47" s="53" t="s">
        <v>821</v>
      </c>
      <c r="E47" s="53" t="s">
        <v>103</v>
      </c>
      <c r="F47" s="54" t="n">
        <v>888.86</v>
      </c>
      <c r="G47" s="55"/>
      <c r="H47" s="56" t="str">
        <f aca="false">IF(ISBLANK(G47),"",IF(ISNUMBER(F47),ROUND(F47*G47,2),"Укажите цену"))</f>
        <v/>
      </c>
      <c r="I47" s="57"/>
      <c r="J47" s="57"/>
      <c r="K47" s="57"/>
      <c r="L47" s="57"/>
      <c r="M47" s="57"/>
      <c r="N47" s="57"/>
      <c r="O47" s="57"/>
      <c r="P47" s="58"/>
      <c r="Q47" s="68"/>
      <c r="R47" s="93"/>
      <c r="S47" s="60"/>
      <c r="T47" s="61"/>
    </row>
    <row r="48" s="34" customFormat="true" ht="60" hidden="false" customHeight="true" outlineLevel="2" collapsed="false">
      <c r="A48" s="63" t="s">
        <v>837</v>
      </c>
      <c r="B48" s="57"/>
      <c r="C48" s="57"/>
      <c r="D48" s="53" t="s">
        <v>838</v>
      </c>
      <c r="E48" s="53" t="s">
        <v>217</v>
      </c>
      <c r="F48" s="54" t="n">
        <v>823.63</v>
      </c>
      <c r="G48" s="55"/>
      <c r="H48" s="56" t="str">
        <f aca="false">IF(ISBLANK(G48),"",IF(ISNUMBER(F48),ROUND(F48*G48,2),"Укажите цену"))</f>
        <v/>
      </c>
      <c r="I48" s="57" t="n">
        <v>451</v>
      </c>
      <c r="J48" s="57" t="n">
        <v>19.38</v>
      </c>
      <c r="K48" s="57" t="s">
        <v>795</v>
      </c>
      <c r="L48" s="57" t="s">
        <v>91</v>
      </c>
      <c r="M48" s="57" t="s">
        <v>92</v>
      </c>
      <c r="N48" s="57" t="n">
        <v>42</v>
      </c>
      <c r="O48" s="57" t="s">
        <v>720</v>
      </c>
      <c r="P48" s="58" t="n">
        <v>0.025</v>
      </c>
      <c r="Q48" s="68" t="s">
        <v>839</v>
      </c>
      <c r="R48" s="93" t="s">
        <v>840</v>
      </c>
      <c r="S48" s="60" t="s">
        <v>835</v>
      </c>
      <c r="T48" s="61"/>
    </row>
    <row r="49" s="34" customFormat="true" ht="60" hidden="false" customHeight="true" outlineLevel="2" collapsed="false">
      <c r="A49" s="63"/>
      <c r="B49" s="57"/>
      <c r="C49" s="57"/>
      <c r="D49" s="53" t="s">
        <v>841</v>
      </c>
      <c r="E49" s="53" t="s">
        <v>103</v>
      </c>
      <c r="F49" s="54" t="n">
        <v>823.63</v>
      </c>
      <c r="G49" s="55"/>
      <c r="H49" s="56" t="str">
        <f aca="false">IF(ISBLANK(G49),"",IF(ISNUMBER(F49),ROUND(F49*G49,2),"Укажите цену"))</f>
        <v/>
      </c>
      <c r="I49" s="57"/>
      <c r="J49" s="57"/>
      <c r="K49" s="57"/>
      <c r="L49" s="57"/>
      <c r="M49" s="57"/>
      <c r="N49" s="57"/>
      <c r="O49" s="57"/>
      <c r="P49" s="58"/>
      <c r="Q49" s="68"/>
      <c r="R49" s="93"/>
      <c r="S49" s="60"/>
      <c r="T49" s="61"/>
    </row>
    <row r="50" s="70" customFormat="true" ht="115" hidden="false" customHeight="true" outlineLevel="2" collapsed="false">
      <c r="A50" s="51" t="s">
        <v>848</v>
      </c>
      <c r="B50" s="57"/>
      <c r="C50" s="57"/>
      <c r="D50" s="53" t="s">
        <v>849</v>
      </c>
      <c r="E50" s="53" t="s">
        <v>217</v>
      </c>
      <c r="F50" s="54" t="n">
        <v>945.95</v>
      </c>
      <c r="G50" s="55"/>
      <c r="H50" s="56" t="str">
        <f aca="false">IF(ISBLANK(G50),"",IF(ISNUMBER(F50),ROUND(F50*G50,2),"Укажите цену"))</f>
        <v/>
      </c>
      <c r="I50" s="57" t="n">
        <v>498</v>
      </c>
      <c r="J50" s="57" t="n">
        <v>19.9</v>
      </c>
      <c r="K50" s="57" t="s">
        <v>850</v>
      </c>
      <c r="L50" s="57" t="s">
        <v>91</v>
      </c>
      <c r="M50" s="57" t="s">
        <v>92</v>
      </c>
      <c r="N50" s="57" t="n">
        <v>39</v>
      </c>
      <c r="O50" s="57" t="s">
        <v>720</v>
      </c>
      <c r="P50" s="58" t="n">
        <v>0.025</v>
      </c>
      <c r="Q50" s="68" t="s">
        <v>851</v>
      </c>
      <c r="R50" s="93" t="s">
        <v>852</v>
      </c>
      <c r="S50" s="60" t="s">
        <v>847</v>
      </c>
      <c r="T50" s="61"/>
    </row>
    <row r="51" s="70" customFormat="true" ht="115" hidden="false" customHeight="true" outlineLevel="2" collapsed="false">
      <c r="A51" s="51" t="s">
        <v>904</v>
      </c>
      <c r="B51" s="57"/>
      <c r="C51" s="57"/>
      <c r="D51" s="53" t="s">
        <v>905</v>
      </c>
      <c r="E51" s="53" t="s">
        <v>89</v>
      </c>
      <c r="F51" s="54" t="n">
        <v>986.72</v>
      </c>
      <c r="G51" s="55"/>
      <c r="H51" s="56" t="str">
        <f aca="false">IF(ISBLANK(G51),"",IF(ISNUMBER(F51),ROUND(F51*G51,2),"Укажите цену"))</f>
        <v/>
      </c>
      <c r="I51" s="57" t="n">
        <v>465</v>
      </c>
      <c r="J51" s="57" t="n">
        <v>20</v>
      </c>
      <c r="K51" s="57" t="s">
        <v>906</v>
      </c>
      <c r="L51" s="57" t="s">
        <v>91</v>
      </c>
      <c r="M51" s="57" t="s">
        <v>92</v>
      </c>
      <c r="N51" s="57" t="n">
        <v>42</v>
      </c>
      <c r="O51" s="57" t="s">
        <v>720</v>
      </c>
      <c r="P51" s="58" t="n">
        <v>0.025</v>
      </c>
      <c r="Q51" s="68" t="s">
        <v>907</v>
      </c>
      <c r="R51" s="77" t="s">
        <v>908</v>
      </c>
      <c r="S51" s="60" t="s">
        <v>96</v>
      </c>
      <c r="T51" s="61"/>
    </row>
    <row r="52" s="70" customFormat="true" ht="115" hidden="false" customHeight="true" outlineLevel="2" collapsed="false">
      <c r="A52" s="51" t="s">
        <v>921</v>
      </c>
      <c r="B52" s="57"/>
      <c r="C52" s="57"/>
      <c r="D52" s="53" t="s">
        <v>922</v>
      </c>
      <c r="E52" s="53" t="s">
        <v>89</v>
      </c>
      <c r="F52" s="54" t="n">
        <v>848.09</v>
      </c>
      <c r="G52" s="55"/>
      <c r="H52" s="56" t="str">
        <f aca="false">IF(ISBLANK(G52),"",IF(ISNUMBER(F52),ROUND(F52*G52,2),"Укажите цену"))</f>
        <v/>
      </c>
      <c r="I52" s="57" t="n">
        <v>455</v>
      </c>
      <c r="J52" s="57" t="n">
        <v>19.6</v>
      </c>
      <c r="K52" s="57" t="s">
        <v>923</v>
      </c>
      <c r="L52" s="57" t="s">
        <v>91</v>
      </c>
      <c r="M52" s="57" t="s">
        <v>92</v>
      </c>
      <c r="N52" s="57" t="n">
        <v>42</v>
      </c>
      <c r="O52" s="57" t="s">
        <v>720</v>
      </c>
      <c r="P52" s="58" t="n">
        <v>0.025</v>
      </c>
      <c r="Q52" s="68" t="s">
        <v>924</v>
      </c>
      <c r="R52" s="77" t="s">
        <v>925</v>
      </c>
      <c r="S52" s="60" t="s">
        <v>96</v>
      </c>
      <c r="T52" s="61"/>
    </row>
    <row r="53" customFormat="false" ht="30" hidden="false" customHeight="true" outlineLevel="1" collapsed="false">
      <c r="F53" s="109" t="s">
        <v>633</v>
      </c>
      <c r="G53" s="109"/>
      <c r="H53" s="109" t="n">
        <f aca="false">IF(COUNTIFS(H5:H52,"Укажите цену")&gt;0,"Укажите цены",SUM(H5:H52))</f>
        <v>0</v>
      </c>
    </row>
    <row r="54" s="4" customFormat="true" ht="5.25" hidden="false" customHeight="true" outlineLevel="0" collapsed="false">
      <c r="A54" s="135"/>
      <c r="B54" s="135"/>
      <c r="C54" s="135"/>
      <c r="D54" s="135"/>
      <c r="E54" s="135"/>
      <c r="F54" s="135"/>
      <c r="G54" s="135"/>
      <c r="H54" s="135"/>
      <c r="I54" s="135"/>
      <c r="J54" s="135"/>
      <c r="K54" s="135"/>
      <c r="L54" s="135"/>
      <c r="M54" s="135"/>
      <c r="N54" s="135"/>
      <c r="O54" s="135"/>
      <c r="P54" s="135"/>
      <c r="Q54" s="135"/>
      <c r="R54" s="135"/>
      <c r="S54" s="136"/>
      <c r="T54" s="61"/>
    </row>
    <row r="55" customFormat="false" ht="50.1" hidden="false" customHeight="true" outlineLevel="0" collapsed="false">
      <c r="T55" s="61"/>
    </row>
    <row r="56" customFormat="false" ht="50.1" hidden="false" customHeight="true" outlineLevel="0" collapsed="false">
      <c r="T56" s="61"/>
    </row>
    <row r="57" customFormat="false" ht="50.1" hidden="false" customHeight="true" outlineLevel="0" collapsed="false">
      <c r="T57" s="61"/>
    </row>
    <row r="58" customFormat="false" ht="50.1" hidden="false" customHeight="true" outlineLevel="0" collapsed="false">
      <c r="T58" s="61"/>
    </row>
    <row r="59" customFormat="false" ht="50.1" hidden="false" customHeight="true" outlineLevel="0" collapsed="false">
      <c r="T59" s="61"/>
    </row>
    <row r="60" customFormat="false" ht="50.1" hidden="false" customHeight="true" outlineLevel="0" collapsed="false">
      <c r="T60" s="61"/>
    </row>
    <row r="61" customFormat="false" ht="50.1" hidden="false" customHeight="true" outlineLevel="0" collapsed="false">
      <c r="T61" s="61"/>
    </row>
    <row r="62" customFormat="false" ht="50.1" hidden="false" customHeight="true" outlineLevel="0" collapsed="false">
      <c r="T62" s="61"/>
    </row>
    <row r="63" customFormat="false" ht="50.1" hidden="false" customHeight="true" outlineLevel="0" collapsed="false">
      <c r="T63" s="61"/>
    </row>
    <row r="64" customFormat="false" ht="50.1" hidden="false" customHeight="true" outlineLevel="0" collapsed="false">
      <c r="T64" s="61"/>
    </row>
    <row r="65" customFormat="false" ht="50.1" hidden="false" customHeight="true" outlineLevel="0" collapsed="false">
      <c r="T65" s="61"/>
    </row>
    <row r="66" customFormat="false" ht="50.1" hidden="false" customHeight="true" outlineLevel="0" collapsed="false">
      <c r="T66" s="61"/>
    </row>
    <row r="67" customFormat="false" ht="50.1" hidden="false" customHeight="true" outlineLevel="0" collapsed="false">
      <c r="T67" s="61"/>
    </row>
    <row r="68" customFormat="false" ht="50.1" hidden="false" customHeight="true" outlineLevel="0" collapsed="false">
      <c r="T68" s="61"/>
    </row>
    <row r="69" customFormat="false" ht="50.1" hidden="false" customHeight="true" outlineLevel="0" collapsed="false">
      <c r="T69" s="61"/>
    </row>
    <row r="70" customFormat="false" ht="50.1" hidden="false" customHeight="true" outlineLevel="0" collapsed="false">
      <c r="T70" s="61"/>
    </row>
    <row r="71" customFormat="false" ht="50.1" hidden="false" customHeight="true" outlineLevel="0" collapsed="false">
      <c r="T71" s="61"/>
    </row>
    <row r="72" customFormat="false" ht="50.1" hidden="false" customHeight="true" outlineLevel="0" collapsed="false">
      <c r="T72" s="61"/>
    </row>
    <row r="73" customFormat="false" ht="50.1" hidden="false" customHeight="true" outlineLevel="0" collapsed="false">
      <c r="T73" s="61"/>
    </row>
    <row r="74" customFormat="false" ht="50.1" hidden="false" customHeight="true" outlineLevel="0" collapsed="false">
      <c r="T74" s="61"/>
    </row>
    <row r="75" customFormat="false" ht="50.1" hidden="false" customHeight="true" outlineLevel="0" collapsed="false">
      <c r="T75" s="61"/>
    </row>
    <row r="76" customFormat="false" ht="50.1" hidden="false" customHeight="true" outlineLevel="0" collapsed="false">
      <c r="T76" s="61"/>
    </row>
    <row r="77" customFormat="false" ht="50.1" hidden="false" customHeight="true" outlineLevel="0" collapsed="false">
      <c r="T77" s="61"/>
    </row>
    <row r="78" customFormat="false" ht="50.1" hidden="false" customHeight="true" outlineLevel="0" collapsed="false">
      <c r="T78" s="61"/>
    </row>
    <row r="79" customFormat="false" ht="50.1" hidden="false" customHeight="true" outlineLevel="0" collapsed="false">
      <c r="T79" s="61"/>
    </row>
    <row r="80" customFormat="false" ht="50.1" hidden="false" customHeight="true" outlineLevel="0" collapsed="false">
      <c r="T80" s="61"/>
    </row>
    <row r="81" customFormat="false" ht="50.1" hidden="false" customHeight="true" outlineLevel="0" collapsed="false">
      <c r="T81" s="61"/>
    </row>
    <row r="82" customFormat="false" ht="50.1" hidden="false" customHeight="true" outlineLevel="0" collapsed="false">
      <c r="T82" s="61"/>
    </row>
    <row r="83" customFormat="false" ht="50.1" hidden="false" customHeight="true" outlineLevel="0" collapsed="false">
      <c r="T83" s="61"/>
    </row>
    <row r="84" customFormat="false" ht="50.1" hidden="false" customHeight="true" outlineLevel="0" collapsed="false">
      <c r="T84" s="61"/>
    </row>
    <row r="85" customFormat="false" ht="50.1" hidden="false" customHeight="true" outlineLevel="0" collapsed="false">
      <c r="T85" s="61"/>
    </row>
    <row r="86" customFormat="false" ht="50.1" hidden="false" customHeight="true" outlineLevel="0" collapsed="false">
      <c r="T86" s="61"/>
    </row>
    <row r="87" customFormat="false" ht="50.1" hidden="false" customHeight="true" outlineLevel="0" collapsed="false">
      <c r="T87" s="61"/>
    </row>
    <row r="88" customFormat="false" ht="50.1" hidden="false" customHeight="true" outlineLevel="0" collapsed="false">
      <c r="T88" s="61"/>
    </row>
    <row r="89" customFormat="false" ht="50.1" hidden="false" customHeight="true" outlineLevel="0" collapsed="false">
      <c r="T89" s="61"/>
    </row>
    <row r="90" customFormat="false" ht="50.1" hidden="false" customHeight="true" outlineLevel="0" collapsed="false">
      <c r="T90" s="61"/>
    </row>
    <row r="91" customFormat="false" ht="50.1" hidden="false" customHeight="true" outlineLevel="0" collapsed="false">
      <c r="T91" s="61"/>
    </row>
    <row r="92" customFormat="false" ht="50.1" hidden="false" customHeight="true" outlineLevel="0" collapsed="false">
      <c r="T92" s="61"/>
    </row>
    <row r="93" customFormat="false" ht="50.1" hidden="false" customHeight="true" outlineLevel="0" collapsed="false">
      <c r="T93" s="61"/>
    </row>
    <row r="94" customFormat="false" ht="50.1" hidden="false" customHeight="true" outlineLevel="0" collapsed="false">
      <c r="T94" s="61"/>
    </row>
    <row r="95" customFormat="false" ht="50.1" hidden="false" customHeight="true" outlineLevel="0" collapsed="false">
      <c r="T95" s="61"/>
    </row>
    <row r="96" customFormat="false" ht="50.1" hidden="false" customHeight="true" outlineLevel="0" collapsed="false">
      <c r="T96" s="61"/>
    </row>
    <row r="97" customFormat="false" ht="50.1" hidden="false" customHeight="true" outlineLevel="0" collapsed="false">
      <c r="T97" s="61"/>
    </row>
    <row r="98" customFormat="false" ht="50.1" hidden="false" customHeight="true" outlineLevel="0" collapsed="false">
      <c r="T98" s="61"/>
    </row>
    <row r="99" customFormat="false" ht="50.1" hidden="false" customHeight="true" outlineLevel="0" collapsed="false">
      <c r="T99" s="61"/>
    </row>
    <row r="100" customFormat="false" ht="50.1" hidden="false" customHeight="true" outlineLevel="0" collapsed="false">
      <c r="T100" s="61"/>
    </row>
    <row r="101" customFormat="false" ht="50.1" hidden="false" customHeight="true" outlineLevel="0" collapsed="false">
      <c r="T101" s="61"/>
    </row>
    <row r="102" customFormat="false" ht="50.1" hidden="false" customHeight="true" outlineLevel="0" collapsed="false">
      <c r="T102" s="61"/>
    </row>
    <row r="103" customFormat="false" ht="50.1" hidden="false" customHeight="true" outlineLevel="0" collapsed="false">
      <c r="T103" s="61"/>
    </row>
    <row r="104" customFormat="false" ht="50.1" hidden="false" customHeight="true" outlineLevel="0" collapsed="false">
      <c r="T104" s="61"/>
    </row>
    <row r="105" customFormat="false" ht="50.1" hidden="false" customHeight="true" outlineLevel="0" collapsed="false">
      <c r="T105" s="61"/>
    </row>
    <row r="106" customFormat="false" ht="50.1" hidden="false" customHeight="true" outlineLevel="0" collapsed="false">
      <c r="T106" s="61"/>
    </row>
    <row r="107" customFormat="false" ht="50.1" hidden="false" customHeight="true" outlineLevel="0" collapsed="false">
      <c r="T107" s="61"/>
    </row>
    <row r="108" customFormat="false" ht="50.1" hidden="false" customHeight="true" outlineLevel="0" collapsed="false">
      <c r="T108" s="61"/>
    </row>
    <row r="109" customFormat="false" ht="50.1" hidden="false" customHeight="true" outlineLevel="0" collapsed="false">
      <c r="T109" s="61"/>
    </row>
    <row r="110" customFormat="false" ht="50.1" hidden="false" customHeight="true" outlineLevel="0" collapsed="false">
      <c r="T110" s="61"/>
    </row>
    <row r="111" customFormat="false" ht="50.1" hidden="false" customHeight="true" outlineLevel="0" collapsed="false">
      <c r="T111" s="61"/>
    </row>
    <row r="112" customFormat="false" ht="50.1" hidden="false" customHeight="true" outlineLevel="0" collapsed="false">
      <c r="T112" s="61"/>
    </row>
    <row r="113" customFormat="false" ht="50.1" hidden="false" customHeight="true" outlineLevel="0" collapsed="false">
      <c r="T113" s="61"/>
    </row>
    <row r="114" customFormat="false" ht="50.1" hidden="false" customHeight="true" outlineLevel="0" collapsed="false">
      <c r="T114" s="61"/>
    </row>
    <row r="115" customFormat="false" ht="50.1" hidden="false" customHeight="true" outlineLevel="0" collapsed="false">
      <c r="T115" s="61"/>
    </row>
    <row r="116" customFormat="false" ht="50.1" hidden="false" customHeight="true" outlineLevel="0" collapsed="false">
      <c r="T116" s="61"/>
    </row>
    <row r="117" customFormat="false" ht="50.1" hidden="false" customHeight="true" outlineLevel="0" collapsed="false">
      <c r="T117" s="61"/>
    </row>
    <row r="118" customFormat="false" ht="50.1" hidden="false" customHeight="true" outlineLevel="0" collapsed="false">
      <c r="T118" s="61"/>
    </row>
    <row r="119" customFormat="false" ht="50.1" hidden="false" customHeight="true" outlineLevel="0" collapsed="false">
      <c r="T119" s="61"/>
    </row>
    <row r="120" customFormat="false" ht="50.1" hidden="false" customHeight="true" outlineLevel="0" collapsed="false">
      <c r="T120" s="61"/>
    </row>
    <row r="121" customFormat="false" ht="50.1" hidden="false" customHeight="true" outlineLevel="0" collapsed="false">
      <c r="T121" s="61"/>
    </row>
    <row r="122" customFormat="false" ht="50.1" hidden="false" customHeight="true" outlineLevel="0" collapsed="false">
      <c r="T122" s="61"/>
    </row>
    <row r="123" customFormat="false" ht="50.1" hidden="false" customHeight="true" outlineLevel="0" collapsed="false">
      <c r="T123" s="61"/>
    </row>
    <row r="124" customFormat="false" ht="50.1" hidden="false" customHeight="true" outlineLevel="0" collapsed="false">
      <c r="T124" s="61"/>
    </row>
    <row r="125" customFormat="false" ht="50.1" hidden="false" customHeight="true" outlineLevel="0" collapsed="false">
      <c r="T125" s="61"/>
    </row>
    <row r="126" customFormat="false" ht="50.1" hidden="false" customHeight="true" outlineLevel="0" collapsed="false">
      <c r="T126" s="61"/>
    </row>
    <row r="127" customFormat="false" ht="50.1" hidden="false" customHeight="true" outlineLevel="0" collapsed="false">
      <c r="T127" s="61"/>
    </row>
    <row r="128" customFormat="false" ht="50.1" hidden="false" customHeight="true" outlineLevel="0" collapsed="false">
      <c r="T128" s="61"/>
    </row>
    <row r="129" customFormat="false" ht="50.1" hidden="false" customHeight="true" outlineLevel="0" collapsed="false">
      <c r="T129" s="61"/>
    </row>
    <row r="130" customFormat="false" ht="50.1" hidden="false" customHeight="true" outlineLevel="0" collapsed="false">
      <c r="T130" s="61"/>
    </row>
    <row r="131" customFormat="false" ht="50.1" hidden="false" customHeight="true" outlineLevel="0" collapsed="false">
      <c r="T131" s="61"/>
    </row>
    <row r="132" customFormat="false" ht="50.1" hidden="false" customHeight="true" outlineLevel="0" collapsed="false">
      <c r="T132" s="61"/>
    </row>
    <row r="133" customFormat="false" ht="50.1" hidden="false" customHeight="true" outlineLevel="0" collapsed="false">
      <c r="T133" s="61"/>
    </row>
    <row r="134" customFormat="false" ht="50.1" hidden="false" customHeight="true" outlineLevel="0" collapsed="false">
      <c r="T134" s="61"/>
    </row>
    <row r="135" customFormat="false" ht="50.1" hidden="false" customHeight="true" outlineLevel="0" collapsed="false">
      <c r="T135" s="61"/>
    </row>
    <row r="136" customFormat="false" ht="50.1" hidden="false" customHeight="true" outlineLevel="0" collapsed="false">
      <c r="T136" s="61"/>
    </row>
    <row r="137" customFormat="false" ht="50.1" hidden="false" customHeight="true" outlineLevel="0" collapsed="false">
      <c r="T137" s="61"/>
    </row>
    <row r="138" customFormat="false" ht="50.1" hidden="false" customHeight="true" outlineLevel="0" collapsed="false">
      <c r="T138" s="61"/>
    </row>
    <row r="139" customFormat="false" ht="50.1" hidden="false" customHeight="true" outlineLevel="0" collapsed="false">
      <c r="T139" s="61"/>
    </row>
    <row r="140" customFormat="false" ht="50.1" hidden="false" customHeight="true" outlineLevel="0" collapsed="false">
      <c r="T140" s="61"/>
    </row>
    <row r="141" customFormat="false" ht="50.1" hidden="false" customHeight="true" outlineLevel="0" collapsed="false">
      <c r="T141" s="61"/>
    </row>
    <row r="142" customFormat="false" ht="50.1" hidden="false" customHeight="true" outlineLevel="0" collapsed="false">
      <c r="T142" s="61"/>
    </row>
    <row r="143" customFormat="false" ht="50.1" hidden="false" customHeight="true" outlineLevel="0" collapsed="false">
      <c r="T143" s="61"/>
    </row>
    <row r="144" customFormat="false" ht="50.1" hidden="false" customHeight="true" outlineLevel="0" collapsed="false">
      <c r="T144" s="61"/>
    </row>
    <row r="145" customFormat="false" ht="50.1" hidden="false" customHeight="true" outlineLevel="0" collapsed="false">
      <c r="T145" s="61"/>
    </row>
    <row r="146" customFormat="false" ht="50.1" hidden="false" customHeight="true" outlineLevel="0" collapsed="false">
      <c r="T146" s="61"/>
    </row>
    <row r="147" customFormat="false" ht="50.1" hidden="false" customHeight="true" outlineLevel="0" collapsed="false">
      <c r="T147" s="61"/>
    </row>
    <row r="148" customFormat="false" ht="50.1" hidden="false" customHeight="true" outlineLevel="0" collapsed="false">
      <c r="T148" s="61"/>
    </row>
    <row r="149" customFormat="false" ht="50.1" hidden="false" customHeight="true" outlineLevel="0" collapsed="false">
      <c r="T149" s="61"/>
    </row>
    <row r="150" customFormat="false" ht="50.1" hidden="false" customHeight="true" outlineLevel="0" collapsed="false">
      <c r="T150" s="61"/>
    </row>
    <row r="151" customFormat="false" ht="50.1" hidden="false" customHeight="true" outlineLevel="0" collapsed="false">
      <c r="T151" s="61"/>
    </row>
    <row r="152" customFormat="false" ht="50.1" hidden="false" customHeight="true" outlineLevel="0" collapsed="false">
      <c r="T152" s="61"/>
    </row>
    <row r="153" customFormat="false" ht="50.1" hidden="false" customHeight="true" outlineLevel="0" collapsed="false">
      <c r="T153" s="61"/>
    </row>
    <row r="154" customFormat="false" ht="50.1" hidden="false" customHeight="true" outlineLevel="0" collapsed="false">
      <c r="T154" s="61"/>
    </row>
    <row r="155" customFormat="false" ht="50.1" hidden="false" customHeight="true" outlineLevel="0" collapsed="false">
      <c r="T155" s="61"/>
    </row>
    <row r="156" customFormat="false" ht="50.1" hidden="false" customHeight="true" outlineLevel="0" collapsed="false">
      <c r="T156" s="61"/>
    </row>
    <row r="157" customFormat="false" ht="50.1" hidden="false" customHeight="true" outlineLevel="0" collapsed="false">
      <c r="T157" s="61"/>
    </row>
    <row r="158" customFormat="false" ht="50.1" hidden="false" customHeight="true" outlineLevel="0" collapsed="false">
      <c r="T158" s="61"/>
    </row>
    <row r="159" customFormat="false" ht="50.1" hidden="false" customHeight="true" outlineLevel="0" collapsed="false">
      <c r="T159" s="61"/>
    </row>
    <row r="160" customFormat="false" ht="50.1" hidden="false" customHeight="true" outlineLevel="0" collapsed="false">
      <c r="T160" s="61"/>
    </row>
    <row r="161" customFormat="false" ht="50.1" hidden="false" customHeight="true" outlineLevel="0" collapsed="false">
      <c r="T161" s="61"/>
    </row>
    <row r="162" customFormat="false" ht="50.1" hidden="false" customHeight="true" outlineLevel="0" collapsed="false">
      <c r="T162" s="61"/>
    </row>
    <row r="163" customFormat="false" ht="50.1" hidden="false" customHeight="true" outlineLevel="0" collapsed="false">
      <c r="T163" s="61"/>
    </row>
    <row r="164" customFormat="false" ht="50.1" hidden="false" customHeight="true" outlineLevel="0" collapsed="false">
      <c r="T164" s="61"/>
    </row>
    <row r="165" customFormat="false" ht="50.1" hidden="false" customHeight="true" outlineLevel="0" collapsed="false">
      <c r="T165" s="61"/>
    </row>
    <row r="166" customFormat="false" ht="50.1" hidden="false" customHeight="true" outlineLevel="0" collapsed="false">
      <c r="T166" s="61"/>
    </row>
    <row r="167" customFormat="false" ht="50.1" hidden="false" customHeight="true" outlineLevel="0" collapsed="false">
      <c r="T167" s="61"/>
    </row>
    <row r="168" customFormat="false" ht="50.1" hidden="false" customHeight="true" outlineLevel="0" collapsed="false">
      <c r="T168" s="61"/>
    </row>
    <row r="169" customFormat="false" ht="50.1" hidden="false" customHeight="true" outlineLevel="0" collapsed="false">
      <c r="T169" s="61"/>
    </row>
    <row r="170" customFormat="false" ht="50.1" hidden="false" customHeight="true" outlineLevel="0" collapsed="false">
      <c r="T170" s="61"/>
    </row>
    <row r="171" customFormat="false" ht="50.1" hidden="false" customHeight="true" outlineLevel="0" collapsed="false">
      <c r="T171" s="61"/>
    </row>
    <row r="172" customFormat="false" ht="50.1" hidden="false" customHeight="true" outlineLevel="0" collapsed="false">
      <c r="T172" s="61"/>
    </row>
    <row r="173" customFormat="false" ht="50.1" hidden="false" customHeight="true" outlineLevel="0" collapsed="false">
      <c r="T173" s="61"/>
    </row>
    <row r="174" customFormat="false" ht="50.1" hidden="false" customHeight="true" outlineLevel="0" collapsed="false">
      <c r="T174" s="61"/>
    </row>
    <row r="175" customFormat="false" ht="50.1" hidden="false" customHeight="true" outlineLevel="0" collapsed="false">
      <c r="T175" s="61"/>
    </row>
    <row r="176" customFormat="false" ht="50.1" hidden="false" customHeight="true" outlineLevel="0" collapsed="false">
      <c r="T176" s="61"/>
    </row>
    <row r="177" customFormat="false" ht="50.1" hidden="false" customHeight="true" outlineLevel="0" collapsed="false">
      <c r="T177" s="61"/>
    </row>
    <row r="178" customFormat="false" ht="50.1" hidden="false" customHeight="true" outlineLevel="0" collapsed="false">
      <c r="T178" s="61"/>
    </row>
    <row r="179" customFormat="false" ht="50.1" hidden="false" customHeight="true" outlineLevel="0" collapsed="false">
      <c r="T179" s="61"/>
    </row>
    <row r="180" customFormat="false" ht="50.1" hidden="false" customHeight="true" outlineLevel="0" collapsed="false">
      <c r="T180" s="61"/>
    </row>
    <row r="181" customFormat="false" ht="50.1" hidden="false" customHeight="true" outlineLevel="0" collapsed="false">
      <c r="T181" s="61"/>
    </row>
    <row r="182" customFormat="false" ht="50.1" hidden="false" customHeight="true" outlineLevel="0" collapsed="false">
      <c r="T182" s="61"/>
    </row>
    <row r="183" customFormat="false" ht="50.1" hidden="false" customHeight="true" outlineLevel="0" collapsed="false">
      <c r="T183" s="61"/>
    </row>
    <row r="184" customFormat="false" ht="50.1" hidden="false" customHeight="true" outlineLevel="0" collapsed="false">
      <c r="T184" s="61"/>
    </row>
    <row r="185" customFormat="false" ht="50.1" hidden="false" customHeight="true" outlineLevel="0" collapsed="false">
      <c r="T185" s="61"/>
    </row>
    <row r="186" customFormat="false" ht="50.1" hidden="false" customHeight="true" outlineLevel="0" collapsed="false">
      <c r="T186" s="61"/>
    </row>
    <row r="187" customFormat="false" ht="50.1" hidden="false" customHeight="true" outlineLevel="0" collapsed="false">
      <c r="T187" s="61"/>
    </row>
    <row r="188" customFormat="false" ht="50.1" hidden="false" customHeight="true" outlineLevel="0" collapsed="false">
      <c r="T188" s="61"/>
    </row>
    <row r="189" customFormat="false" ht="50.1" hidden="false" customHeight="true" outlineLevel="0" collapsed="false">
      <c r="T189" s="61"/>
    </row>
    <row r="190" customFormat="false" ht="50.1" hidden="false" customHeight="true" outlineLevel="0" collapsed="false">
      <c r="T190" s="61"/>
    </row>
    <row r="191" customFormat="false" ht="50.1" hidden="false" customHeight="true" outlineLevel="0" collapsed="false">
      <c r="T191" s="61"/>
    </row>
    <row r="192" customFormat="false" ht="50.1" hidden="false" customHeight="true" outlineLevel="0" collapsed="false">
      <c r="T192" s="61"/>
    </row>
    <row r="193" customFormat="false" ht="50.1" hidden="false" customHeight="true" outlineLevel="0" collapsed="false">
      <c r="T193" s="61"/>
    </row>
    <row r="194" customFormat="false" ht="50.1" hidden="false" customHeight="true" outlineLevel="0" collapsed="false">
      <c r="T194" s="61"/>
    </row>
    <row r="195" customFormat="false" ht="50.1" hidden="false" customHeight="true" outlineLevel="0" collapsed="false">
      <c r="T195" s="61"/>
    </row>
    <row r="196" customFormat="false" ht="50.1" hidden="false" customHeight="true" outlineLevel="0" collapsed="false">
      <c r="T196" s="61"/>
    </row>
    <row r="197" customFormat="false" ht="50.1" hidden="false" customHeight="true" outlineLevel="0" collapsed="false">
      <c r="T197" s="61"/>
    </row>
    <row r="198" customFormat="false" ht="50.1" hidden="false" customHeight="true" outlineLevel="0" collapsed="false">
      <c r="T198" s="61"/>
    </row>
    <row r="199" customFormat="false" ht="50.1" hidden="false" customHeight="true" outlineLevel="0" collapsed="false">
      <c r="T199" s="61"/>
    </row>
    <row r="200" customFormat="false" ht="50.1" hidden="false" customHeight="true" outlineLevel="0" collapsed="false">
      <c r="T200" s="61"/>
    </row>
    <row r="201" customFormat="false" ht="50.1" hidden="false" customHeight="true" outlineLevel="0" collapsed="false">
      <c r="T201" s="61"/>
    </row>
    <row r="202" customFormat="false" ht="50.1" hidden="false" customHeight="true" outlineLevel="0" collapsed="false">
      <c r="T202" s="61"/>
    </row>
    <row r="203" customFormat="false" ht="50.1" hidden="false" customHeight="true" outlineLevel="0" collapsed="false">
      <c r="T203" s="61"/>
    </row>
    <row r="204" customFormat="false" ht="50.1" hidden="false" customHeight="true" outlineLevel="0" collapsed="false">
      <c r="T204" s="61"/>
    </row>
    <row r="205" customFormat="false" ht="50.1" hidden="false" customHeight="true" outlineLevel="0" collapsed="false">
      <c r="T205" s="61"/>
    </row>
    <row r="206" customFormat="false" ht="50.1" hidden="false" customHeight="true" outlineLevel="0" collapsed="false">
      <c r="T206" s="61"/>
    </row>
    <row r="207" customFormat="false" ht="50.1" hidden="false" customHeight="true" outlineLevel="0" collapsed="false">
      <c r="T207" s="61"/>
    </row>
    <row r="208" customFormat="false" ht="50.1" hidden="false" customHeight="true" outlineLevel="0" collapsed="false">
      <c r="T208" s="61"/>
    </row>
    <row r="209" customFormat="false" ht="50.1" hidden="false" customHeight="true" outlineLevel="0" collapsed="false">
      <c r="T209" s="61"/>
    </row>
    <row r="210" customFormat="false" ht="50.1" hidden="false" customHeight="true" outlineLevel="0" collapsed="false">
      <c r="T210" s="61"/>
    </row>
    <row r="211" customFormat="false" ht="50.1" hidden="false" customHeight="true" outlineLevel="0" collapsed="false">
      <c r="T211" s="61"/>
    </row>
    <row r="212" customFormat="false" ht="50.1" hidden="false" customHeight="true" outlineLevel="0" collapsed="false">
      <c r="T212" s="61"/>
    </row>
    <row r="213" customFormat="false" ht="50.1" hidden="false" customHeight="true" outlineLevel="0" collapsed="false">
      <c r="T213" s="61"/>
    </row>
    <row r="214" customFormat="false" ht="50.1" hidden="false" customHeight="true" outlineLevel="0" collapsed="false">
      <c r="T214" s="61"/>
    </row>
    <row r="215" customFormat="false" ht="50.1" hidden="false" customHeight="true" outlineLevel="0" collapsed="false">
      <c r="T215" s="61"/>
    </row>
    <row r="216" customFormat="false" ht="50.1" hidden="false" customHeight="true" outlineLevel="0" collapsed="false">
      <c r="T216" s="61"/>
    </row>
    <row r="217" customFormat="false" ht="50.1" hidden="false" customHeight="true" outlineLevel="0" collapsed="false">
      <c r="T217" s="61"/>
    </row>
    <row r="218" customFormat="false" ht="50.1" hidden="false" customHeight="true" outlineLevel="0" collapsed="false">
      <c r="T218" s="61"/>
    </row>
    <row r="219" customFormat="false" ht="50.1" hidden="false" customHeight="true" outlineLevel="0" collapsed="false">
      <c r="T219" s="61"/>
    </row>
    <row r="220" customFormat="false" ht="50.1" hidden="false" customHeight="true" outlineLevel="0" collapsed="false">
      <c r="T220" s="61"/>
    </row>
    <row r="221" customFormat="false" ht="50.1" hidden="false" customHeight="true" outlineLevel="0" collapsed="false">
      <c r="T221" s="61"/>
    </row>
    <row r="222" customFormat="false" ht="50.1" hidden="false" customHeight="true" outlineLevel="0" collapsed="false">
      <c r="T222" s="61"/>
    </row>
    <row r="223" customFormat="false" ht="50.1" hidden="false" customHeight="true" outlineLevel="0" collapsed="false">
      <c r="T223" s="61"/>
    </row>
    <row r="224" customFormat="false" ht="50.1" hidden="false" customHeight="true" outlineLevel="0" collapsed="false">
      <c r="T224" s="61"/>
    </row>
    <row r="225" customFormat="false" ht="50.1" hidden="false" customHeight="true" outlineLevel="0" collapsed="false">
      <c r="T225" s="61"/>
    </row>
    <row r="226" customFormat="false" ht="50.1" hidden="false" customHeight="true" outlineLevel="0" collapsed="false">
      <c r="T226" s="61"/>
    </row>
    <row r="227" customFormat="false" ht="50.1" hidden="false" customHeight="true" outlineLevel="0" collapsed="false">
      <c r="T227" s="61"/>
    </row>
    <row r="228" customFormat="false" ht="50.1" hidden="false" customHeight="true" outlineLevel="0" collapsed="false">
      <c r="T228" s="61"/>
    </row>
    <row r="229" customFormat="false" ht="50.1" hidden="false" customHeight="true" outlineLevel="0" collapsed="false">
      <c r="T229" s="61"/>
    </row>
    <row r="230" customFormat="false" ht="50.1" hidden="false" customHeight="true" outlineLevel="0" collapsed="false">
      <c r="T230" s="61"/>
    </row>
    <row r="231" customFormat="false" ht="50.1" hidden="false" customHeight="true" outlineLevel="0" collapsed="false">
      <c r="T231" s="61"/>
    </row>
    <row r="232" customFormat="false" ht="50.1" hidden="false" customHeight="true" outlineLevel="0" collapsed="false">
      <c r="T232" s="61"/>
    </row>
    <row r="233" customFormat="false" ht="50.1" hidden="false" customHeight="true" outlineLevel="0" collapsed="false">
      <c r="T233" s="61"/>
    </row>
    <row r="234" customFormat="false" ht="50.1" hidden="false" customHeight="true" outlineLevel="0" collapsed="false">
      <c r="T234" s="61"/>
    </row>
    <row r="235" customFormat="false" ht="50.1" hidden="false" customHeight="true" outlineLevel="0" collapsed="false">
      <c r="T235" s="61"/>
    </row>
    <row r="236" customFormat="false" ht="50.1" hidden="false" customHeight="true" outlineLevel="0" collapsed="false">
      <c r="T236" s="61"/>
    </row>
    <row r="237" customFormat="false" ht="50.1" hidden="false" customHeight="true" outlineLevel="0" collapsed="false">
      <c r="T237" s="61"/>
    </row>
    <row r="238" customFormat="false" ht="50.1" hidden="false" customHeight="true" outlineLevel="0" collapsed="false">
      <c r="T238" s="61"/>
    </row>
    <row r="239" customFormat="false" ht="50.1" hidden="false" customHeight="true" outlineLevel="0" collapsed="false">
      <c r="T239" s="61"/>
    </row>
    <row r="240" customFormat="false" ht="50.1" hidden="false" customHeight="true" outlineLevel="0" collapsed="false">
      <c r="T240" s="61"/>
    </row>
    <row r="241" customFormat="false" ht="50.1" hidden="false" customHeight="true" outlineLevel="0" collapsed="false">
      <c r="T241" s="61"/>
    </row>
    <row r="242" customFormat="false" ht="50.1" hidden="false" customHeight="true" outlineLevel="0" collapsed="false">
      <c r="T242" s="61"/>
    </row>
    <row r="243" customFormat="false" ht="50.1" hidden="false" customHeight="true" outlineLevel="0" collapsed="false">
      <c r="T243" s="61"/>
    </row>
    <row r="244" customFormat="false" ht="50.1" hidden="false" customHeight="true" outlineLevel="0" collapsed="false">
      <c r="T244" s="61"/>
    </row>
    <row r="245" customFormat="false" ht="50.1" hidden="false" customHeight="true" outlineLevel="0" collapsed="false">
      <c r="T245" s="61"/>
    </row>
    <row r="246" customFormat="false" ht="50.1" hidden="false" customHeight="true" outlineLevel="0" collapsed="false">
      <c r="T246" s="61"/>
    </row>
    <row r="247" customFormat="false" ht="50.1" hidden="false" customHeight="true" outlineLevel="0" collapsed="false">
      <c r="T247" s="61"/>
    </row>
    <row r="248" customFormat="false" ht="50.1" hidden="false" customHeight="true" outlineLevel="0" collapsed="false">
      <c r="T248" s="61"/>
    </row>
    <row r="249" customFormat="false" ht="50.1" hidden="false" customHeight="true" outlineLevel="0" collapsed="false">
      <c r="T249" s="61"/>
    </row>
    <row r="250" customFormat="false" ht="50.1" hidden="false" customHeight="true" outlineLevel="0" collapsed="false">
      <c r="T250" s="61"/>
    </row>
    <row r="251" customFormat="false" ht="50.1" hidden="false" customHeight="true" outlineLevel="0" collapsed="false">
      <c r="T251" s="61"/>
    </row>
    <row r="252" customFormat="false" ht="50.1" hidden="false" customHeight="true" outlineLevel="0" collapsed="false">
      <c r="T252" s="61"/>
    </row>
    <row r="253" customFormat="false" ht="50.1" hidden="false" customHeight="true" outlineLevel="0" collapsed="false">
      <c r="T253" s="61"/>
    </row>
    <row r="254" customFormat="false" ht="50.1" hidden="false" customHeight="true" outlineLevel="0" collapsed="false">
      <c r="T254" s="61"/>
    </row>
    <row r="255" customFormat="false" ht="50.1" hidden="false" customHeight="true" outlineLevel="0" collapsed="false">
      <c r="T255" s="61"/>
    </row>
    <row r="256" customFormat="false" ht="50.1" hidden="false" customHeight="true" outlineLevel="0" collapsed="false">
      <c r="T256" s="61"/>
    </row>
    <row r="257" customFormat="false" ht="50.1" hidden="false" customHeight="true" outlineLevel="0" collapsed="false">
      <c r="T257" s="61"/>
    </row>
    <row r="258" customFormat="false" ht="50.1" hidden="false" customHeight="true" outlineLevel="0" collapsed="false">
      <c r="T258" s="61"/>
    </row>
    <row r="259" customFormat="false" ht="50.1" hidden="false" customHeight="true" outlineLevel="0" collapsed="false">
      <c r="T259" s="61"/>
    </row>
    <row r="260" customFormat="false" ht="50.1" hidden="false" customHeight="true" outlineLevel="0" collapsed="false">
      <c r="T260" s="61"/>
    </row>
    <row r="261" customFormat="false" ht="50.1" hidden="false" customHeight="true" outlineLevel="0" collapsed="false">
      <c r="T261" s="61"/>
    </row>
  </sheetData>
  <mergeCells count="118">
    <mergeCell ref="A1:R1"/>
    <mergeCell ref="A2:H2"/>
    <mergeCell ref="A4:H4"/>
    <mergeCell ref="A13:A14"/>
    <mergeCell ref="B13:B14"/>
    <mergeCell ref="C13:C14"/>
    <mergeCell ref="I13:I14"/>
    <mergeCell ref="J13:J14"/>
    <mergeCell ref="K13:K14"/>
    <mergeCell ref="L13:L14"/>
    <mergeCell ref="M13:M14"/>
    <mergeCell ref="N13:N14"/>
    <mergeCell ref="O13:O14"/>
    <mergeCell ref="P13:P14"/>
    <mergeCell ref="Q13:Q14"/>
    <mergeCell ref="R13:R14"/>
    <mergeCell ref="S13:S14"/>
    <mergeCell ref="A17:A18"/>
    <mergeCell ref="B17:B18"/>
    <mergeCell ref="C17:C18"/>
    <mergeCell ref="I17:I18"/>
    <mergeCell ref="J17:J18"/>
    <mergeCell ref="K17:K18"/>
    <mergeCell ref="L17:L18"/>
    <mergeCell ref="M17:M18"/>
    <mergeCell ref="N17:N18"/>
    <mergeCell ref="O17:O18"/>
    <mergeCell ref="P17:P18"/>
    <mergeCell ref="Q17:Q18"/>
    <mergeCell ref="R17:R18"/>
    <mergeCell ref="S17:S18"/>
    <mergeCell ref="A21:A22"/>
    <mergeCell ref="B21:B22"/>
    <mergeCell ref="C21:C22"/>
    <mergeCell ref="I21:I22"/>
    <mergeCell ref="J21:J22"/>
    <mergeCell ref="K21:K22"/>
    <mergeCell ref="L21:L22"/>
    <mergeCell ref="M21:M22"/>
    <mergeCell ref="N21:N22"/>
    <mergeCell ref="O21:O22"/>
    <mergeCell ref="P21:P22"/>
    <mergeCell ref="Q21:Q22"/>
    <mergeCell ref="R21:R22"/>
    <mergeCell ref="S21:S22"/>
    <mergeCell ref="A32:A33"/>
    <mergeCell ref="B32:B33"/>
    <mergeCell ref="C32:C33"/>
    <mergeCell ref="I32:I33"/>
    <mergeCell ref="J32:J33"/>
    <mergeCell ref="K32:K33"/>
    <mergeCell ref="L32:L33"/>
    <mergeCell ref="M32:M33"/>
    <mergeCell ref="N32:N33"/>
    <mergeCell ref="O32:O33"/>
    <mergeCell ref="P32:P33"/>
    <mergeCell ref="Q32:Q33"/>
    <mergeCell ref="R32:R33"/>
    <mergeCell ref="S32:S33"/>
    <mergeCell ref="A35:A36"/>
    <mergeCell ref="B35:B36"/>
    <mergeCell ref="C35:C36"/>
    <mergeCell ref="I35:I36"/>
    <mergeCell ref="J35:J36"/>
    <mergeCell ref="K35:K36"/>
    <mergeCell ref="L35:L36"/>
    <mergeCell ref="M35:M36"/>
    <mergeCell ref="N35:N36"/>
    <mergeCell ref="O35:O36"/>
    <mergeCell ref="P35:P36"/>
    <mergeCell ref="Q35:Q36"/>
    <mergeCell ref="R35:R36"/>
    <mergeCell ref="S35:S36"/>
    <mergeCell ref="A38:H38"/>
    <mergeCell ref="A44:A45"/>
    <mergeCell ref="B44:B45"/>
    <mergeCell ref="C44:C45"/>
    <mergeCell ref="I44:I45"/>
    <mergeCell ref="J44:J45"/>
    <mergeCell ref="K44:K45"/>
    <mergeCell ref="L44:L45"/>
    <mergeCell ref="M44:M45"/>
    <mergeCell ref="N44:N45"/>
    <mergeCell ref="O44:O45"/>
    <mergeCell ref="P44:P45"/>
    <mergeCell ref="Q44:Q45"/>
    <mergeCell ref="R44:R45"/>
    <mergeCell ref="S44:S45"/>
    <mergeCell ref="A46:A47"/>
    <mergeCell ref="B46:B47"/>
    <mergeCell ref="C46:C47"/>
    <mergeCell ref="I46:I47"/>
    <mergeCell ref="J46:J47"/>
    <mergeCell ref="K46:K47"/>
    <mergeCell ref="L46:L47"/>
    <mergeCell ref="M46:M47"/>
    <mergeCell ref="N46:N47"/>
    <mergeCell ref="O46:O47"/>
    <mergeCell ref="P46:P47"/>
    <mergeCell ref="Q46:Q47"/>
    <mergeCell ref="R46:R47"/>
    <mergeCell ref="S46:S47"/>
    <mergeCell ref="A48:A49"/>
    <mergeCell ref="B48:B49"/>
    <mergeCell ref="C48:C49"/>
    <mergeCell ref="I48:I49"/>
    <mergeCell ref="J48:J49"/>
    <mergeCell ref="K48:K49"/>
    <mergeCell ref="L48:L49"/>
    <mergeCell ref="M48:M49"/>
    <mergeCell ref="N48:N49"/>
    <mergeCell ref="O48:O49"/>
    <mergeCell ref="P48:P49"/>
    <mergeCell ref="Q48:Q49"/>
    <mergeCell ref="R48:R49"/>
    <mergeCell ref="S48:S49"/>
    <mergeCell ref="F53:G53"/>
    <mergeCell ref="A54:R54"/>
  </mergeCells>
  <hyperlinks>
    <hyperlink ref="R5" r:id="rId1" display="http://gofile.me/649X4/kcwEK02GS"/>
    <hyperlink ref="R8" r:id="rId2" display="http://gofile.me/649X4/ZjsiyKRJo"/>
    <hyperlink ref="R9" r:id="rId3" display="http://gofile.me/649X4/byd1hUzdy"/>
    <hyperlink ref="R10" r:id="rId4" display="http://gofile.me/649X4/CT2JL9Hyj"/>
    <hyperlink ref="R11" r:id="rId5" display="http://gofile.me/649X4/fgDOPziu6"/>
    <hyperlink ref="R12" r:id="rId6" display="http://gofile.me/649X4/aRs6r4tmy"/>
    <hyperlink ref="R13" r:id="rId7" display="http://gofile.me/649X4/nlNOMAaQp"/>
    <hyperlink ref="S13" r:id="rId8" display="http://gofile.me/649X4/wxc79O3Gn"/>
    <hyperlink ref="R15" r:id="rId9" display="http://gofile.me/649X4/lkYSknVYS"/>
    <hyperlink ref="S15" r:id="rId10" display="http://gofile.me/649X4/wxc79O3Gn"/>
    <hyperlink ref="R16" r:id="rId11" display="http://gofile.me/649X4/f5dbYGHaV"/>
    <hyperlink ref="S16" r:id="rId12" display="http://gofile.me/649X4/wxc79O3Gn"/>
    <hyperlink ref="R17" r:id="rId13" display="http://gofile.me/649X4/wJX0lxyt9"/>
    <hyperlink ref="R19" r:id="rId14" display="http://gofile.me/649X4/aTSK1eKWB"/>
    <hyperlink ref="S19" r:id="rId15" display="http://gofile.me/649X4/DacVpjEhO"/>
    <hyperlink ref="R20" r:id="rId16" display="http://gofile.me/649X4/WmyrDIAtG"/>
    <hyperlink ref="S20" r:id="rId17" display="http://gofile.me/649X4/DacVpjEhO"/>
    <hyperlink ref="R21" r:id="rId18" display="http://gofile.me/649X4/Ceifx4n6C"/>
    <hyperlink ref="R23" r:id="rId19" display="http://gofile.me/649X4/IUa8fABMB"/>
    <hyperlink ref="S23" r:id="rId20" display="http://gofile.me/649X4/i3FuILOgM"/>
    <hyperlink ref="R24" r:id="rId21" display="http://gofile.me/649X4/rFp4J8E1r"/>
    <hyperlink ref="R25" r:id="rId22" display="http://gofile.me/649X4/W80McUULn"/>
    <hyperlink ref="S25" r:id="rId23" display="http://gofile.me/649X4/wWD0E43u8"/>
    <hyperlink ref="R26" r:id="rId24" display="http://gofile.me/649X4/WZVfzcyrk"/>
    <hyperlink ref="R27" r:id="rId25" display="http://gofile.me/649X4/DyTriMZTj"/>
    <hyperlink ref="S27" r:id="rId26" display="http://gofile.me/649X4/mL1kBAxdC"/>
    <hyperlink ref="R28" r:id="rId27" display="http://gofile.me/649X4/jygKrfvkA"/>
    <hyperlink ref="S28" r:id="rId28" display="http://gofile.me/649X4/mL1kBAxdC"/>
    <hyperlink ref="R29" r:id="rId29" display="http://gofile.me/649X4/IGVmA6o3R"/>
    <hyperlink ref="S29" r:id="rId30" display="http://gofile.me/649X4/mL1kBAxdC"/>
    <hyperlink ref="R30" r:id="rId31" display="http://gofile.me/649X4/xqO0a2W9u"/>
    <hyperlink ref="R31" r:id="rId32" display="http://gofile.me/649X4/RpgGZBonR"/>
    <hyperlink ref="R32" r:id="rId33" display="http://gofile.me/649X4/VKd5G0SHb"/>
    <hyperlink ref="R34" r:id="rId34" display="http://gofile.me/649X4/4Qqj8gDVX"/>
    <hyperlink ref="R35" r:id="rId35" display="http://gofile.me/649X4/BsgJZUVvB"/>
    <hyperlink ref="R39" r:id="rId36" display="http://gofile.me/649X4/LCkeTSSOK"/>
    <hyperlink ref="R40" r:id="rId37" display="http://gofile.me/649X4/KKGN7LgGw"/>
    <hyperlink ref="R41" r:id="rId38" display="http://gofile.me/649X4/iac1Hwuh5"/>
    <hyperlink ref="R42" r:id="rId39" display="http://gofile.me/649X4/OyZX1CmkY"/>
    <hyperlink ref="R43" r:id="rId40" display="http://gofile.me/649X4/t5Rd6rSam"/>
    <hyperlink ref="R44" r:id="rId41" display="http://gofile.me/649X4/iZ74EgV0j"/>
    <hyperlink ref="S44" r:id="rId42" display="http://gofile.me/649X4/wxc79O3Gn"/>
    <hyperlink ref="R46" r:id="rId43" display="http://gofile.me/649X4/UonFozAof"/>
    <hyperlink ref="R48" r:id="rId44" display="http://gofile.me/649X4/PlppZ7E1s"/>
    <hyperlink ref="R50" r:id="rId45" display="http://gofile.me/649X4/amyG1ADS9"/>
    <hyperlink ref="S50" r:id="rId46" display="http://gofile.me/649X4/i3FuILOgM"/>
    <hyperlink ref="R51" r:id="rId47" display="http://gofile.me/649X4/8drOwbc7t"/>
    <hyperlink ref="R52" r:id="rId48" display="http://gofile.me/649X4/JYOb7XlPN"/>
  </hyperlinks>
  <printOptions headings="false" gridLines="false" gridLinesSet="true" horizontalCentered="false" verticalCentered="false"/>
  <pageMargins left="0.309722222222222" right="0.240277777777778" top="0.279861111111111"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2" manualBreakCount="2">
    <brk id="8" man="true" max="16383" min="0"/>
    <brk id="16" man="true" max="16383" min="0"/>
  </rowBreaks>
  <drawing r:id="rId4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301"/>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33" width="46"/>
    <col collapsed="false" customWidth="true" hidden="false" outlineLevel="0" max="3" min="2" style="34" width="18"/>
    <col collapsed="false" customWidth="true" hidden="false" outlineLevel="0" max="4" min="4" style="35" width="20"/>
    <col collapsed="false" customWidth="true" hidden="false" outlineLevel="0" max="5" min="5" style="39"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9" min="9" style="142" width="6.75"/>
    <col collapsed="false" customWidth="true" hidden="false" outlineLevel="0" max="10" min="10" style="143" width="6.88"/>
    <col collapsed="false" customWidth="true" hidden="false" outlineLevel="0" max="11" min="11" style="142" width="10.7"/>
    <col collapsed="false" customWidth="true" hidden="false" outlineLevel="0" max="12" min="12" style="115" width="7.87"/>
    <col collapsed="false" customWidth="true" hidden="false" outlineLevel="0" max="13" min="13" style="115" width="10.7"/>
    <col collapsed="false" customWidth="true" hidden="false" outlineLevel="0" max="14" min="14" style="115" width="7.25"/>
    <col collapsed="false" customWidth="true" hidden="false" outlineLevel="0" max="15" min="15" style="115" width="10.7"/>
    <col collapsed="false" customWidth="true" hidden="false" outlineLevel="0" max="16" min="16" style="144" width="7"/>
    <col collapsed="false" customWidth="true" hidden="false" outlineLevel="0" max="17" min="17" style="39" width="70"/>
    <col collapsed="false" customWidth="true" hidden="false" outlineLevel="0" max="19" min="18" style="41" width="9.25"/>
    <col collapsed="false" customWidth="true" hidden="false" outlineLevel="0" max="20" min="20" style="42" width="7.37"/>
    <col collapsed="false" customWidth="true" hidden="false" outlineLevel="0" max="21" min="21" style="34" width="11.12"/>
    <col collapsed="false" customWidth="true" hidden="false" outlineLevel="0" max="37" min="22" style="34" width="9"/>
    <col collapsed="false" customWidth="false" hidden="false" outlineLevel="0" max="98" min="38"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984</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c r="T3" s="48"/>
    </row>
    <row r="4" s="50" customFormat="true" ht="27" hidden="false" customHeight="true" outlineLevel="1" collapsed="false">
      <c r="A4" s="49" t="s">
        <v>17</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62" customFormat="true" ht="115" hidden="false" customHeight="true" outlineLevel="2" collapsed="false">
      <c r="A5" s="51" t="s">
        <v>985</v>
      </c>
      <c r="B5" s="52"/>
      <c r="C5" s="57"/>
      <c r="D5" s="53" t="s">
        <v>986</v>
      </c>
      <c r="E5" s="53" t="s">
        <v>103</v>
      </c>
      <c r="F5" s="54" t="n">
        <v>358.81</v>
      </c>
      <c r="G5" s="55"/>
      <c r="H5" s="56" t="str">
        <f aca="false">IF(ISBLANK(G5),"",IF(ISNUMBER(F5),ROUND(F5*G5,2),"Укажите цену"))</f>
        <v/>
      </c>
      <c r="I5" s="57" t="n">
        <v>92</v>
      </c>
      <c r="J5" s="57" t="n">
        <v>14.4</v>
      </c>
      <c r="K5" s="57" t="s">
        <v>987</v>
      </c>
      <c r="L5" s="57" t="n">
        <v>32</v>
      </c>
      <c r="M5" s="57" t="s">
        <v>284</v>
      </c>
      <c r="N5" s="57" t="n">
        <v>128</v>
      </c>
      <c r="O5" s="57" t="s">
        <v>696</v>
      </c>
      <c r="P5" s="58" t="n">
        <v>0.095</v>
      </c>
      <c r="Q5" s="90" t="s">
        <v>988</v>
      </c>
      <c r="R5" s="145" t="s">
        <v>989</v>
      </c>
      <c r="S5" s="60" t="s">
        <v>96</v>
      </c>
      <c r="T5" s="87"/>
      <c r="U5" s="61"/>
      <c r="V5" s="61"/>
      <c r="W5" s="61"/>
      <c r="X5" s="61"/>
      <c r="Y5" s="61"/>
      <c r="Z5" s="61"/>
    </row>
    <row r="6" s="62" customFormat="true" ht="115" hidden="false" customHeight="true" outlineLevel="2" collapsed="false">
      <c r="A6" s="51" t="s">
        <v>990</v>
      </c>
      <c r="B6" s="52"/>
      <c r="C6" s="57"/>
      <c r="D6" s="53" t="s">
        <v>991</v>
      </c>
      <c r="E6" s="53" t="s">
        <v>103</v>
      </c>
      <c r="F6" s="54" t="n">
        <v>407.74</v>
      </c>
      <c r="G6" s="55"/>
      <c r="H6" s="56" t="str">
        <f aca="false">IF(ISBLANK(G6),"",IF(ISNUMBER(F6),ROUND(F6*G6,2),"Укажите цену"))</f>
        <v/>
      </c>
      <c r="I6" s="57" t="n">
        <v>119</v>
      </c>
      <c r="J6" s="57" t="n">
        <v>17.7</v>
      </c>
      <c r="K6" s="57" t="s">
        <v>987</v>
      </c>
      <c r="L6" s="57" t="n">
        <v>32</v>
      </c>
      <c r="M6" s="57" t="s">
        <v>284</v>
      </c>
      <c r="N6" s="57" t="n">
        <v>128</v>
      </c>
      <c r="O6" s="57" t="s">
        <v>696</v>
      </c>
      <c r="P6" s="58" t="n">
        <v>0.095</v>
      </c>
      <c r="Q6" s="90" t="s">
        <v>992</v>
      </c>
      <c r="R6" s="145" t="s">
        <v>993</v>
      </c>
      <c r="S6" s="60" t="s">
        <v>96</v>
      </c>
      <c r="T6" s="87"/>
      <c r="U6" s="61"/>
      <c r="V6" s="61"/>
      <c r="W6" s="61"/>
      <c r="X6" s="61"/>
      <c r="Y6" s="61"/>
      <c r="Z6" s="61"/>
    </row>
    <row r="7" s="62" customFormat="true" ht="115" hidden="false" customHeight="true" outlineLevel="2" collapsed="false">
      <c r="A7" s="51" t="s">
        <v>994</v>
      </c>
      <c r="B7" s="52"/>
      <c r="C7" s="57"/>
      <c r="D7" s="53" t="s">
        <v>995</v>
      </c>
      <c r="E7" s="53" t="s">
        <v>103</v>
      </c>
      <c r="F7" s="54" t="n">
        <v>326.19</v>
      </c>
      <c r="G7" s="55"/>
      <c r="H7" s="56" t="str">
        <f aca="false">IF(ISBLANK(G7),"",IF(ISNUMBER(F7),ROUND(F7*G7,2),"Укажите цену"))</f>
        <v/>
      </c>
      <c r="I7" s="57" t="n">
        <v>93</v>
      </c>
      <c r="J7" s="57" t="n">
        <v>14.1</v>
      </c>
      <c r="K7" s="57" t="s">
        <v>987</v>
      </c>
      <c r="L7" s="57" t="n">
        <v>32</v>
      </c>
      <c r="M7" s="57" t="s">
        <v>284</v>
      </c>
      <c r="N7" s="57" t="n">
        <v>128</v>
      </c>
      <c r="O7" s="57" t="s">
        <v>696</v>
      </c>
      <c r="P7" s="58" t="n">
        <v>0.095</v>
      </c>
      <c r="Q7" s="90" t="s">
        <v>996</v>
      </c>
      <c r="R7" s="145" t="s">
        <v>997</v>
      </c>
      <c r="S7" s="60" t="s">
        <v>96</v>
      </c>
      <c r="T7" s="87"/>
      <c r="U7" s="61"/>
      <c r="V7" s="61"/>
      <c r="W7" s="61"/>
      <c r="X7" s="61"/>
      <c r="Y7" s="61"/>
      <c r="Z7" s="61"/>
    </row>
    <row r="8" s="62" customFormat="true" ht="115" hidden="false" customHeight="true" outlineLevel="2" collapsed="false">
      <c r="A8" s="51" t="s">
        <v>998</v>
      </c>
      <c r="B8" s="52"/>
      <c r="C8" s="57"/>
      <c r="D8" s="53" t="s">
        <v>999</v>
      </c>
      <c r="E8" s="53" t="s">
        <v>103</v>
      </c>
      <c r="F8" s="54" t="n">
        <v>375.12</v>
      </c>
      <c r="G8" s="55"/>
      <c r="H8" s="56" t="str">
        <f aca="false">IF(ISBLANK(G8),"",IF(ISNUMBER(F8),ROUND(F8*G8,2),"Укажите цену"))</f>
        <v/>
      </c>
      <c r="I8" s="57" t="n">
        <v>119</v>
      </c>
      <c r="J8" s="57" t="n">
        <v>17.5</v>
      </c>
      <c r="K8" s="57" t="s">
        <v>987</v>
      </c>
      <c r="L8" s="57" t="n">
        <v>32</v>
      </c>
      <c r="M8" s="57" t="s">
        <v>284</v>
      </c>
      <c r="N8" s="57" t="n">
        <v>128</v>
      </c>
      <c r="O8" s="57" t="s">
        <v>696</v>
      </c>
      <c r="P8" s="58" t="n">
        <v>0.095</v>
      </c>
      <c r="Q8" s="90" t="s">
        <v>1000</v>
      </c>
      <c r="R8" s="145" t="s">
        <v>1001</v>
      </c>
      <c r="S8" s="60" t="s">
        <v>96</v>
      </c>
      <c r="T8" s="87"/>
      <c r="U8" s="61"/>
      <c r="V8" s="61"/>
      <c r="W8" s="61"/>
      <c r="X8" s="61"/>
      <c r="Y8" s="61"/>
      <c r="Z8" s="61"/>
    </row>
    <row r="9" s="34" customFormat="true" ht="115" hidden="false" customHeight="true" outlineLevel="2" collapsed="false">
      <c r="A9" s="51" t="s">
        <v>1002</v>
      </c>
      <c r="B9" s="57"/>
      <c r="C9" s="57"/>
      <c r="D9" s="53" t="s">
        <v>1003</v>
      </c>
      <c r="E9" s="53" t="s">
        <v>103</v>
      </c>
      <c r="F9" s="54" t="n">
        <v>489.28</v>
      </c>
      <c r="G9" s="55"/>
      <c r="H9" s="56" t="str">
        <f aca="false">IF(ISBLANK(G9),"",IF(ISNUMBER(F9),ROUND(F9*G9,2),"Укажите цену"))</f>
        <v/>
      </c>
      <c r="I9" s="57" t="n">
        <v>111</v>
      </c>
      <c r="J9" s="57" t="n">
        <v>16.38</v>
      </c>
      <c r="K9" s="57" t="s">
        <v>987</v>
      </c>
      <c r="L9" s="57" t="n">
        <v>32</v>
      </c>
      <c r="M9" s="57" t="s">
        <v>284</v>
      </c>
      <c r="N9" s="57" t="n">
        <v>128</v>
      </c>
      <c r="O9" s="57" t="s">
        <v>696</v>
      </c>
      <c r="P9" s="58" t="n">
        <v>0.095</v>
      </c>
      <c r="Q9" s="68" t="s">
        <v>1004</v>
      </c>
      <c r="R9" s="69" t="s">
        <v>1005</v>
      </c>
      <c r="S9" s="60" t="s">
        <v>96</v>
      </c>
      <c r="T9" s="61"/>
    </row>
    <row r="10" s="34" customFormat="true" ht="115" hidden="false" customHeight="true" outlineLevel="2" collapsed="false">
      <c r="A10" s="51" t="s">
        <v>1006</v>
      </c>
      <c r="B10" s="57"/>
      <c r="C10" s="57"/>
      <c r="D10" s="53" t="s">
        <v>1007</v>
      </c>
      <c r="E10" s="53" t="s">
        <v>103</v>
      </c>
      <c r="F10" s="54" t="n">
        <v>538.21</v>
      </c>
      <c r="G10" s="55"/>
      <c r="H10" s="56" t="str">
        <f aca="false">IF(ISBLANK(G10),"",IF(ISNUMBER(F10),ROUND(F10*G10,2),"Укажите цену"))</f>
        <v/>
      </c>
      <c r="I10" s="57" t="n">
        <v>139</v>
      </c>
      <c r="J10" s="57" t="n">
        <v>19.89</v>
      </c>
      <c r="K10" s="57" t="s">
        <v>987</v>
      </c>
      <c r="L10" s="57" t="n">
        <v>32</v>
      </c>
      <c r="M10" s="57" t="s">
        <v>284</v>
      </c>
      <c r="N10" s="57" t="n">
        <v>128</v>
      </c>
      <c r="O10" s="57" t="s">
        <v>696</v>
      </c>
      <c r="P10" s="58" t="n">
        <v>0.095</v>
      </c>
      <c r="Q10" s="68" t="s">
        <v>1008</v>
      </c>
      <c r="R10" s="69" t="s">
        <v>1009</v>
      </c>
      <c r="S10" s="60" t="s">
        <v>96</v>
      </c>
      <c r="T10" s="61"/>
    </row>
    <row r="11" s="34" customFormat="true" ht="115" hidden="false" customHeight="true" outlineLevel="2" collapsed="false">
      <c r="A11" s="51" t="s">
        <v>1010</v>
      </c>
      <c r="B11" s="57"/>
      <c r="C11" s="57"/>
      <c r="D11" s="53" t="s">
        <v>1011</v>
      </c>
      <c r="E11" s="53" t="s">
        <v>103</v>
      </c>
      <c r="F11" s="54" t="n">
        <v>701.3</v>
      </c>
      <c r="G11" s="55"/>
      <c r="H11" s="56" t="str">
        <f aca="false">IF(ISBLANK(G11),"",IF(ISNUMBER(F11),ROUND(F11*G11,2),"Укажите цену"))</f>
        <v/>
      </c>
      <c r="I11" s="57" t="n">
        <v>146</v>
      </c>
      <c r="J11" s="57" t="n">
        <v>20.82</v>
      </c>
      <c r="K11" s="57" t="s">
        <v>987</v>
      </c>
      <c r="L11" s="57" t="n">
        <v>32</v>
      </c>
      <c r="M11" s="57" t="s">
        <v>284</v>
      </c>
      <c r="N11" s="57" t="n">
        <v>128</v>
      </c>
      <c r="O11" s="57" t="s">
        <v>696</v>
      </c>
      <c r="P11" s="58" t="n">
        <v>0.095</v>
      </c>
      <c r="Q11" s="68" t="s">
        <v>1012</v>
      </c>
      <c r="R11" s="146" t="s">
        <v>1013</v>
      </c>
      <c r="S11" s="60" t="s">
        <v>96</v>
      </c>
      <c r="T11" s="61"/>
    </row>
    <row r="12" s="34" customFormat="true" ht="115" hidden="false" customHeight="true" outlineLevel="2" collapsed="false">
      <c r="A12" s="51" t="s">
        <v>1014</v>
      </c>
      <c r="B12" s="57"/>
      <c r="C12" s="57"/>
      <c r="D12" s="53" t="s">
        <v>1015</v>
      </c>
      <c r="E12" s="53" t="s">
        <v>103</v>
      </c>
      <c r="F12" s="54" t="n">
        <v>570.83</v>
      </c>
      <c r="G12" s="55"/>
      <c r="H12" s="56" t="str">
        <f aca="false">IF(ISBLANK(G12),"",IF(ISNUMBER(F12),ROUND(F12*G12,2),"Укажите цену"))</f>
        <v/>
      </c>
      <c r="I12" s="57" t="n">
        <v>120</v>
      </c>
      <c r="J12" s="57" t="n">
        <v>17.56</v>
      </c>
      <c r="K12" s="57" t="s">
        <v>1016</v>
      </c>
      <c r="L12" s="57" t="n">
        <v>32</v>
      </c>
      <c r="M12" s="57" t="s">
        <v>284</v>
      </c>
      <c r="N12" s="57" t="n">
        <v>128</v>
      </c>
      <c r="O12" s="57" t="s">
        <v>696</v>
      </c>
      <c r="P12" s="58" t="n">
        <v>0.095</v>
      </c>
      <c r="Q12" s="68" t="s">
        <v>1017</v>
      </c>
      <c r="R12" s="146" t="s">
        <v>1018</v>
      </c>
      <c r="S12" s="60" t="s">
        <v>96</v>
      </c>
      <c r="T12" s="61"/>
    </row>
    <row r="13" s="34" customFormat="true" ht="115" hidden="false" customHeight="true" outlineLevel="2" collapsed="false">
      <c r="A13" s="51" t="s">
        <v>1019</v>
      </c>
      <c r="B13" s="57"/>
      <c r="C13" s="57"/>
      <c r="D13" s="53" t="s">
        <v>1020</v>
      </c>
      <c r="E13" s="53" t="s">
        <v>103</v>
      </c>
      <c r="F13" s="54" t="n">
        <v>546.37</v>
      </c>
      <c r="G13" s="55"/>
      <c r="H13" s="56" t="str">
        <f aca="false">IF(ISBLANK(G13),"",IF(ISNUMBER(F13),ROUND(F13*G13,2),"Укажите цену"))</f>
        <v/>
      </c>
      <c r="I13" s="57" t="n">
        <v>120</v>
      </c>
      <c r="J13" s="57" t="n">
        <v>17.43</v>
      </c>
      <c r="K13" s="57" t="s">
        <v>1016</v>
      </c>
      <c r="L13" s="57" t="n">
        <v>32</v>
      </c>
      <c r="M13" s="57" t="s">
        <v>284</v>
      </c>
      <c r="N13" s="57" t="n">
        <v>128</v>
      </c>
      <c r="O13" s="57" t="s">
        <v>696</v>
      </c>
      <c r="P13" s="58" t="n">
        <v>0.095</v>
      </c>
      <c r="Q13" s="68" t="s">
        <v>1021</v>
      </c>
      <c r="R13" s="146" t="s">
        <v>1022</v>
      </c>
      <c r="S13" s="60" t="s">
        <v>96</v>
      </c>
      <c r="T13" s="61"/>
    </row>
    <row r="14" s="70" customFormat="true" ht="115" hidden="false" customHeight="true" outlineLevel="2" collapsed="false">
      <c r="A14" s="51" t="s">
        <v>1023</v>
      </c>
      <c r="B14" s="57"/>
      <c r="C14" s="57"/>
      <c r="D14" s="53" t="s">
        <v>1024</v>
      </c>
      <c r="E14" s="53" t="s">
        <v>103</v>
      </c>
      <c r="F14" s="54" t="n">
        <v>318.03</v>
      </c>
      <c r="G14" s="55"/>
      <c r="H14" s="56" t="str">
        <f aca="false">IF(ISBLANK(G14),"",IF(ISNUMBER(F14),ROUND(F14*G14,2),"Укажите цену"))</f>
        <v/>
      </c>
      <c r="I14" s="57" t="n">
        <v>95</v>
      </c>
      <c r="J14" s="57" t="n">
        <v>14.5</v>
      </c>
      <c r="K14" s="57" t="s">
        <v>1025</v>
      </c>
      <c r="L14" s="57" t="n">
        <v>32</v>
      </c>
      <c r="M14" s="57" t="s">
        <v>284</v>
      </c>
      <c r="N14" s="57" t="n">
        <v>128</v>
      </c>
      <c r="O14" s="57" t="s">
        <v>696</v>
      </c>
      <c r="P14" s="58" t="n">
        <v>0.095</v>
      </c>
      <c r="Q14" s="68" t="s">
        <v>1026</v>
      </c>
      <c r="R14" s="69" t="s">
        <v>1027</v>
      </c>
      <c r="S14" s="60" t="s">
        <v>1028</v>
      </c>
      <c r="T14" s="61"/>
    </row>
    <row r="15" s="70" customFormat="true" ht="115" hidden="false" customHeight="true" outlineLevel="2" collapsed="false">
      <c r="A15" s="51" t="s">
        <v>1029</v>
      </c>
      <c r="B15" s="57"/>
      <c r="C15" s="57"/>
      <c r="D15" s="53" t="s">
        <v>1030</v>
      </c>
      <c r="E15" s="53" t="s">
        <v>103</v>
      </c>
      <c r="F15" s="54" t="n">
        <v>293.57</v>
      </c>
      <c r="G15" s="55"/>
      <c r="H15" s="56" t="str">
        <f aca="false">IF(ISBLANK(G15),"",IF(ISNUMBER(F15),ROUND(F15*G15,2),"Укажите цену"))</f>
        <v/>
      </c>
      <c r="I15" s="57" t="n">
        <v>91</v>
      </c>
      <c r="J15" s="57" t="n">
        <v>13.6</v>
      </c>
      <c r="K15" s="57" t="s">
        <v>1031</v>
      </c>
      <c r="L15" s="57" t="n">
        <v>32</v>
      </c>
      <c r="M15" s="57" t="s">
        <v>284</v>
      </c>
      <c r="N15" s="57" t="n">
        <v>128</v>
      </c>
      <c r="O15" s="57" t="s">
        <v>696</v>
      </c>
      <c r="P15" s="58" t="n">
        <v>0.095</v>
      </c>
      <c r="Q15" s="68" t="s">
        <v>1032</v>
      </c>
      <c r="R15" s="69" t="s">
        <v>1033</v>
      </c>
      <c r="S15" s="60" t="s">
        <v>1034</v>
      </c>
      <c r="T15" s="61"/>
    </row>
    <row r="16" s="70" customFormat="true" ht="115" hidden="false" customHeight="true" outlineLevel="2" collapsed="false">
      <c r="A16" s="51" t="s">
        <v>1035</v>
      </c>
      <c r="B16" s="57"/>
      <c r="C16" s="57"/>
      <c r="D16" s="53" t="s">
        <v>1036</v>
      </c>
      <c r="E16" s="53" t="s">
        <v>103</v>
      </c>
      <c r="F16" s="54" t="n">
        <v>277.26</v>
      </c>
      <c r="G16" s="55"/>
      <c r="H16" s="56" t="str">
        <f aca="false">IF(ISBLANK(G16),"",IF(ISNUMBER(F16),ROUND(F16*G16,2),"Укажите цену"))</f>
        <v/>
      </c>
      <c r="I16" s="57" t="n">
        <v>87</v>
      </c>
      <c r="J16" s="57" t="n">
        <v>13.31</v>
      </c>
      <c r="K16" s="57" t="s">
        <v>1037</v>
      </c>
      <c r="L16" s="57" t="n">
        <v>32</v>
      </c>
      <c r="M16" s="57" t="s">
        <v>284</v>
      </c>
      <c r="N16" s="57" t="n">
        <v>128</v>
      </c>
      <c r="O16" s="57" t="s">
        <v>696</v>
      </c>
      <c r="P16" s="58" t="n">
        <v>0.095</v>
      </c>
      <c r="Q16" s="68" t="s">
        <v>1038</v>
      </c>
      <c r="R16" s="69" t="s">
        <v>1039</v>
      </c>
      <c r="S16" s="60" t="s">
        <v>1040</v>
      </c>
      <c r="T16" s="61"/>
    </row>
    <row r="17" s="70" customFormat="true" ht="115" hidden="false" customHeight="true" outlineLevel="2" collapsed="false">
      <c r="A17" s="51" t="s">
        <v>1041</v>
      </c>
      <c r="B17" s="57"/>
      <c r="C17" s="57"/>
      <c r="D17" s="53" t="s">
        <v>1042</v>
      </c>
      <c r="E17" s="53" t="s">
        <v>217</v>
      </c>
      <c r="F17" s="54" t="n">
        <v>277.26</v>
      </c>
      <c r="G17" s="55"/>
      <c r="H17" s="56" t="str">
        <f aca="false">IF(ISBLANK(G17),"",IF(ISNUMBER(F17),ROUND(F17*G17,2),"Укажите цену"))</f>
        <v/>
      </c>
      <c r="I17" s="57" t="n">
        <v>97</v>
      </c>
      <c r="J17" s="57" t="n">
        <v>10.65</v>
      </c>
      <c r="K17" s="57" t="s">
        <v>1043</v>
      </c>
      <c r="L17" s="57" t="n">
        <v>22</v>
      </c>
      <c r="M17" s="57" t="s">
        <v>284</v>
      </c>
      <c r="N17" s="57" t="n">
        <v>88</v>
      </c>
      <c r="O17" s="57" t="s">
        <v>696</v>
      </c>
      <c r="P17" s="58" t="n">
        <v>0.095</v>
      </c>
      <c r="Q17" s="68" t="s">
        <v>1044</v>
      </c>
      <c r="R17" s="93" t="s">
        <v>1045</v>
      </c>
      <c r="S17" s="60" t="s">
        <v>96</v>
      </c>
      <c r="T17" s="61"/>
    </row>
    <row r="18" s="70" customFormat="true" ht="115" hidden="false" customHeight="true" outlineLevel="2" collapsed="false">
      <c r="A18" s="51" t="s">
        <v>1046</v>
      </c>
      <c r="B18" s="57"/>
      <c r="C18" s="57"/>
      <c r="D18" s="53" t="s">
        <v>1047</v>
      </c>
      <c r="E18" s="53" t="s">
        <v>103</v>
      </c>
      <c r="F18" s="54" t="n">
        <v>595.29</v>
      </c>
      <c r="G18" s="55"/>
      <c r="H18" s="56" t="str">
        <f aca="false">IF(ISBLANK(G18),"",IF(ISNUMBER(F18),ROUND(F18*G18,2),"Укажите цену"))</f>
        <v/>
      </c>
      <c r="I18" s="57" t="n">
        <v>115</v>
      </c>
      <c r="J18" s="57" t="n">
        <v>18.38</v>
      </c>
      <c r="K18" s="57" t="s">
        <v>1037</v>
      </c>
      <c r="L18" s="57" t="n">
        <v>35</v>
      </c>
      <c r="M18" s="57" t="s">
        <v>284</v>
      </c>
      <c r="N18" s="57" t="n">
        <v>140</v>
      </c>
      <c r="O18" s="57" t="s">
        <v>696</v>
      </c>
      <c r="P18" s="58" t="n">
        <v>0.095</v>
      </c>
      <c r="Q18" s="68" t="s">
        <v>1048</v>
      </c>
      <c r="R18" s="77" t="s">
        <v>1049</v>
      </c>
      <c r="S18" s="73" t="s">
        <v>96</v>
      </c>
      <c r="T18" s="61"/>
    </row>
    <row r="19" s="70" customFormat="true" ht="115" hidden="false" customHeight="true" outlineLevel="2" collapsed="false">
      <c r="A19" s="51" t="s">
        <v>1050</v>
      </c>
      <c r="B19" s="57"/>
      <c r="C19" s="57"/>
      <c r="D19" s="53" t="s">
        <v>1051</v>
      </c>
      <c r="E19" s="53" t="s">
        <v>89</v>
      </c>
      <c r="F19" s="54" t="n">
        <v>554.52</v>
      </c>
      <c r="G19" s="55"/>
      <c r="H19" s="56" t="str">
        <f aca="false">IF(ISBLANK(G19),"",IF(ISNUMBER(F19),ROUND(F19*G19,2),"Укажите цену"))</f>
        <v/>
      </c>
      <c r="I19" s="57" t="n">
        <v>117</v>
      </c>
      <c r="J19" s="57" t="n">
        <v>18.5</v>
      </c>
      <c r="K19" s="57" t="s">
        <v>1037</v>
      </c>
      <c r="L19" s="57" t="n">
        <v>35</v>
      </c>
      <c r="M19" s="57" t="s">
        <v>284</v>
      </c>
      <c r="N19" s="57" t="n">
        <v>140</v>
      </c>
      <c r="O19" s="57" t="s">
        <v>696</v>
      </c>
      <c r="P19" s="58" t="n">
        <v>0.095</v>
      </c>
      <c r="Q19" s="68" t="s">
        <v>1052</v>
      </c>
      <c r="R19" s="77" t="s">
        <v>1053</v>
      </c>
      <c r="S19" s="73" t="s">
        <v>96</v>
      </c>
      <c r="T19" s="61"/>
    </row>
    <row r="20" s="62" customFormat="true" ht="115" hidden="false" customHeight="true" outlineLevel="2" collapsed="false">
      <c r="A20" s="51" t="s">
        <v>1054</v>
      </c>
      <c r="B20" s="57"/>
      <c r="C20" s="57"/>
      <c r="D20" s="53" t="s">
        <v>1055</v>
      </c>
      <c r="E20" s="53" t="s">
        <v>103</v>
      </c>
      <c r="F20" s="54" t="n">
        <v>676.84</v>
      </c>
      <c r="G20" s="55"/>
      <c r="H20" s="56" t="str">
        <f aca="false">IF(ISBLANK(G20),"",IF(ISNUMBER(F20),ROUND(F20*G20,2),"Укажите цену"))</f>
        <v/>
      </c>
      <c r="I20" s="57" t="n">
        <v>138</v>
      </c>
      <c r="J20" s="26" t="n">
        <v>21.45</v>
      </c>
      <c r="K20" s="57" t="s">
        <v>1056</v>
      </c>
      <c r="L20" s="57" t="n">
        <v>35</v>
      </c>
      <c r="M20" s="57" t="s">
        <v>284</v>
      </c>
      <c r="N20" s="57" t="n">
        <v>140</v>
      </c>
      <c r="O20" s="57" t="s">
        <v>696</v>
      </c>
      <c r="P20" s="58" t="n">
        <v>0.095</v>
      </c>
      <c r="Q20" s="59" t="s">
        <v>1057</v>
      </c>
      <c r="R20" s="77" t="s">
        <v>1058</v>
      </c>
      <c r="S20" s="73" t="s">
        <v>96</v>
      </c>
      <c r="T20" s="87"/>
      <c r="U20" s="87"/>
      <c r="V20" s="61"/>
      <c r="W20" s="61"/>
      <c r="X20" s="61"/>
      <c r="Y20" s="61"/>
      <c r="Z20" s="61"/>
    </row>
    <row r="21" s="62" customFormat="true" ht="115" hidden="false" customHeight="true" outlineLevel="2" collapsed="false">
      <c r="A21" s="51" t="s">
        <v>1059</v>
      </c>
      <c r="B21" s="57"/>
      <c r="C21" s="57"/>
      <c r="D21" s="53" t="s">
        <v>1060</v>
      </c>
      <c r="E21" s="53" t="s">
        <v>103</v>
      </c>
      <c r="F21" s="54" t="n">
        <v>668.69</v>
      </c>
      <c r="G21" s="55"/>
      <c r="H21" s="56" t="str">
        <f aca="false">IF(ISBLANK(G21),"",IF(ISNUMBER(F21),ROUND(F21*G21,2),"Укажите цену"))</f>
        <v/>
      </c>
      <c r="I21" s="57" t="n">
        <v>137</v>
      </c>
      <c r="J21" s="26" t="n">
        <v>21.5</v>
      </c>
      <c r="K21" s="57" t="s">
        <v>1056</v>
      </c>
      <c r="L21" s="57" t="n">
        <v>35</v>
      </c>
      <c r="M21" s="57" t="s">
        <v>284</v>
      </c>
      <c r="N21" s="57" t="n">
        <v>140</v>
      </c>
      <c r="O21" s="57" t="s">
        <v>696</v>
      </c>
      <c r="P21" s="58" t="n">
        <v>0.095</v>
      </c>
      <c r="Q21" s="59" t="s">
        <v>1061</v>
      </c>
      <c r="R21" s="77" t="s">
        <v>1062</v>
      </c>
      <c r="S21" s="73" t="s">
        <v>96</v>
      </c>
      <c r="T21" s="87"/>
      <c r="U21" s="87"/>
      <c r="V21" s="61"/>
      <c r="W21" s="61"/>
      <c r="X21" s="61"/>
      <c r="Y21" s="61"/>
      <c r="Z21" s="61"/>
    </row>
    <row r="22" s="4" customFormat="true" ht="5.25" hidden="false" customHeight="true" outlineLevel="2" collapsed="false">
      <c r="A22" s="135"/>
      <c r="B22" s="135"/>
      <c r="C22" s="135"/>
      <c r="D22" s="135"/>
      <c r="E22" s="135"/>
      <c r="F22" s="135"/>
      <c r="G22" s="135"/>
      <c r="H22" s="135"/>
      <c r="I22" s="135"/>
      <c r="J22" s="135"/>
      <c r="K22" s="135"/>
      <c r="L22" s="135"/>
      <c r="M22" s="135"/>
      <c r="N22" s="135"/>
      <c r="O22" s="135"/>
      <c r="P22" s="135"/>
      <c r="Q22" s="135"/>
      <c r="R22" s="135"/>
      <c r="S22" s="136"/>
      <c r="T22" s="61"/>
    </row>
    <row r="23" s="147" customFormat="true" ht="27" hidden="false" customHeight="true" outlineLevel="1" collapsed="false">
      <c r="A23" s="49" t="s">
        <v>1063</v>
      </c>
      <c r="B23" s="49"/>
      <c r="C23" s="49"/>
      <c r="D23" s="49"/>
      <c r="E23" s="49"/>
      <c r="F23" s="49"/>
      <c r="G23" s="49"/>
      <c r="H23" s="49"/>
      <c r="I23" s="49"/>
      <c r="J23" s="49"/>
      <c r="K23" s="49"/>
      <c r="L23" s="49"/>
      <c r="M23" s="49"/>
      <c r="N23" s="49"/>
      <c r="O23" s="49"/>
      <c r="P23" s="49"/>
      <c r="Q23" s="49"/>
      <c r="R23" s="49"/>
      <c r="S23" s="49"/>
      <c r="T23" s="49"/>
    </row>
    <row r="24" s="150" customFormat="true" ht="115" hidden="false" customHeight="true" outlineLevel="2" collapsed="false">
      <c r="A24" s="51" t="s">
        <v>1064</v>
      </c>
      <c r="B24" s="57"/>
      <c r="C24" s="57"/>
      <c r="D24" s="53" t="s">
        <v>1065</v>
      </c>
      <c r="E24" s="53" t="s">
        <v>103</v>
      </c>
      <c r="F24" s="54" t="n">
        <v>195.71</v>
      </c>
      <c r="G24" s="55"/>
      <c r="H24" s="56" t="str">
        <f aca="false">IF(ISBLANK(G24),"",IF(ISNUMBER(F24),ROUND(F24*G24,2),"Укажите цену"))</f>
        <v/>
      </c>
      <c r="I24" s="57" t="n">
        <v>55</v>
      </c>
      <c r="J24" s="57" t="n">
        <v>8.68</v>
      </c>
      <c r="K24" s="57" t="s">
        <v>1066</v>
      </c>
      <c r="L24" s="57" t="n">
        <v>20</v>
      </c>
      <c r="M24" s="57" t="s">
        <v>640</v>
      </c>
      <c r="N24" s="57" t="n">
        <v>120</v>
      </c>
      <c r="O24" s="57" t="s">
        <v>641</v>
      </c>
      <c r="P24" s="58" t="n">
        <v>0.074</v>
      </c>
      <c r="Q24" s="68" t="s">
        <v>1067</v>
      </c>
      <c r="R24" s="93" t="s">
        <v>1068</v>
      </c>
      <c r="S24" s="148" t="s">
        <v>96</v>
      </c>
      <c r="T24" s="149"/>
      <c r="U24" s="149"/>
    </row>
    <row r="25" s="150" customFormat="true" ht="115" hidden="false" customHeight="true" outlineLevel="2" collapsed="false">
      <c r="A25" s="51" t="s">
        <v>1069</v>
      </c>
      <c r="B25" s="57"/>
      <c r="C25" s="57"/>
      <c r="D25" s="53" t="s">
        <v>1070</v>
      </c>
      <c r="E25" s="53" t="s">
        <v>103</v>
      </c>
      <c r="F25" s="54" t="n">
        <v>236.49</v>
      </c>
      <c r="G25" s="55"/>
      <c r="H25" s="56" t="str">
        <f aca="false">IF(ISBLANK(G25),"",IF(ISNUMBER(F25),ROUND(F25*G25,2),"Укажите цену"))</f>
        <v/>
      </c>
      <c r="I25" s="57" t="n">
        <v>82</v>
      </c>
      <c r="J25" s="57" t="n">
        <v>11.72</v>
      </c>
      <c r="K25" s="57" t="s">
        <v>1066</v>
      </c>
      <c r="L25" s="57" t="n">
        <v>20</v>
      </c>
      <c r="M25" s="57" t="s">
        <v>640</v>
      </c>
      <c r="N25" s="57" t="n">
        <v>120</v>
      </c>
      <c r="O25" s="57" t="s">
        <v>641</v>
      </c>
      <c r="P25" s="58" t="n">
        <v>0.074</v>
      </c>
      <c r="Q25" s="68" t="s">
        <v>1071</v>
      </c>
      <c r="R25" s="93" t="s">
        <v>1072</v>
      </c>
      <c r="S25" s="148" t="s">
        <v>96</v>
      </c>
      <c r="T25" s="149"/>
      <c r="U25" s="149"/>
    </row>
    <row r="26" s="150" customFormat="true" ht="115" hidden="false" customHeight="true" outlineLevel="2" collapsed="false">
      <c r="A26" s="51" t="s">
        <v>1073</v>
      </c>
      <c r="B26" s="57"/>
      <c r="C26" s="57"/>
      <c r="D26" s="53" t="s">
        <v>1074</v>
      </c>
      <c r="E26" s="53" t="s">
        <v>103</v>
      </c>
      <c r="F26" s="54" t="n">
        <v>171.25</v>
      </c>
      <c r="G26" s="55"/>
      <c r="H26" s="56" t="str">
        <f aca="false">IF(ISBLANK(G26),"",IF(ISNUMBER(F26),ROUND(F26*G26,2),"Укажите цену"))</f>
        <v/>
      </c>
      <c r="I26" s="57" t="n">
        <v>55</v>
      </c>
      <c r="J26" s="57" t="n">
        <v>8.7</v>
      </c>
      <c r="K26" s="57" t="s">
        <v>1066</v>
      </c>
      <c r="L26" s="57" t="n">
        <v>20</v>
      </c>
      <c r="M26" s="57" t="s">
        <v>640</v>
      </c>
      <c r="N26" s="57" t="n">
        <v>120</v>
      </c>
      <c r="O26" s="57" t="s">
        <v>641</v>
      </c>
      <c r="P26" s="58" t="n">
        <v>0.074</v>
      </c>
      <c r="Q26" s="68" t="s">
        <v>1075</v>
      </c>
      <c r="R26" s="93" t="s">
        <v>1076</v>
      </c>
      <c r="S26" s="148" t="s">
        <v>96</v>
      </c>
      <c r="T26" s="149"/>
      <c r="U26" s="149"/>
    </row>
    <row r="27" s="150" customFormat="true" ht="115" hidden="false" customHeight="true" outlineLevel="2" collapsed="false">
      <c r="A27" s="51" t="s">
        <v>1077</v>
      </c>
      <c r="B27" s="57"/>
      <c r="C27" s="57"/>
      <c r="D27" s="53" t="s">
        <v>1078</v>
      </c>
      <c r="E27" s="53" t="s">
        <v>103</v>
      </c>
      <c r="F27" s="54" t="n">
        <v>208.76</v>
      </c>
      <c r="G27" s="55"/>
      <c r="H27" s="56" t="str">
        <f aca="false">IF(ISBLANK(G27),"",IF(ISNUMBER(F27),ROUND(F27*G27,2),"Укажите цену"))</f>
        <v/>
      </c>
      <c r="I27" s="57" t="n">
        <v>81</v>
      </c>
      <c r="J27" s="57" t="n">
        <v>11.73</v>
      </c>
      <c r="K27" s="57" t="s">
        <v>1066</v>
      </c>
      <c r="L27" s="57" t="n">
        <v>20</v>
      </c>
      <c r="M27" s="57" t="s">
        <v>640</v>
      </c>
      <c r="N27" s="57" t="n">
        <v>120</v>
      </c>
      <c r="O27" s="57" t="s">
        <v>641</v>
      </c>
      <c r="P27" s="58" t="n">
        <v>0.074</v>
      </c>
      <c r="Q27" s="68" t="s">
        <v>1079</v>
      </c>
      <c r="R27" s="93" t="s">
        <v>1080</v>
      </c>
      <c r="S27" s="148" t="s">
        <v>96</v>
      </c>
      <c r="T27" s="149"/>
      <c r="U27" s="149"/>
    </row>
    <row r="28" s="150" customFormat="true" ht="115" hidden="false" customHeight="true" outlineLevel="2" collapsed="false">
      <c r="A28" s="51" t="s">
        <v>1081</v>
      </c>
      <c r="B28" s="57"/>
      <c r="C28" s="57"/>
      <c r="D28" s="53" t="s">
        <v>1082</v>
      </c>
      <c r="E28" s="53" t="s">
        <v>103</v>
      </c>
      <c r="F28" s="54" t="n">
        <v>143.52</v>
      </c>
      <c r="G28" s="55"/>
      <c r="H28" s="56" t="str">
        <f aca="false">IF(ISBLANK(G28),"",IF(ISNUMBER(F28),ROUND(F28*G28,2),"Укажите цену"))</f>
        <v/>
      </c>
      <c r="I28" s="57" t="n">
        <v>54</v>
      </c>
      <c r="J28" s="57" t="n">
        <v>8.5</v>
      </c>
      <c r="K28" s="57" t="s">
        <v>1066</v>
      </c>
      <c r="L28" s="57" t="n">
        <v>20</v>
      </c>
      <c r="M28" s="57" t="s">
        <v>640</v>
      </c>
      <c r="N28" s="57" t="n">
        <v>120</v>
      </c>
      <c r="O28" s="57" t="s">
        <v>641</v>
      </c>
      <c r="P28" s="58" t="n">
        <v>0.074</v>
      </c>
      <c r="Q28" s="68" t="s">
        <v>1083</v>
      </c>
      <c r="R28" s="93" t="s">
        <v>1084</v>
      </c>
      <c r="S28" s="148" t="s">
        <v>96</v>
      </c>
      <c r="T28" s="149"/>
      <c r="U28" s="149"/>
    </row>
    <row r="29" s="150" customFormat="true" ht="115" hidden="false" customHeight="true" outlineLevel="2" collapsed="false">
      <c r="A29" s="51" t="s">
        <v>1085</v>
      </c>
      <c r="B29" s="57"/>
      <c r="C29" s="57"/>
      <c r="D29" s="53" t="s">
        <v>1086</v>
      </c>
      <c r="E29" s="53" t="s">
        <v>103</v>
      </c>
      <c r="F29" s="54" t="n">
        <v>171.25</v>
      </c>
      <c r="G29" s="55"/>
      <c r="H29" s="56" t="str">
        <f aca="false">IF(ISBLANK(G29),"",IF(ISNUMBER(F29),ROUND(F29*G29,2),"Укажите цену"))</f>
        <v/>
      </c>
      <c r="I29" s="57" t="n">
        <v>80</v>
      </c>
      <c r="J29" s="57" t="n">
        <v>11.57</v>
      </c>
      <c r="K29" s="57" t="s">
        <v>1066</v>
      </c>
      <c r="L29" s="57" t="n">
        <v>20</v>
      </c>
      <c r="M29" s="57" t="s">
        <v>640</v>
      </c>
      <c r="N29" s="57" t="n">
        <v>120</v>
      </c>
      <c r="O29" s="57" t="s">
        <v>641</v>
      </c>
      <c r="P29" s="58" t="n">
        <v>0.074</v>
      </c>
      <c r="Q29" s="68" t="s">
        <v>1087</v>
      </c>
      <c r="R29" s="93" t="s">
        <v>1088</v>
      </c>
      <c r="S29" s="148" t="s">
        <v>96</v>
      </c>
      <c r="T29" s="149"/>
      <c r="U29" s="149"/>
    </row>
    <row r="30" s="62" customFormat="true" ht="115" hidden="false" customHeight="true" outlineLevel="2" collapsed="false">
      <c r="A30" s="51" t="s">
        <v>1089</v>
      </c>
      <c r="B30" s="52"/>
      <c r="C30" s="57"/>
      <c r="D30" s="53" t="s">
        <v>1090</v>
      </c>
      <c r="E30" s="53" t="s">
        <v>89</v>
      </c>
      <c r="F30" s="54" t="n">
        <v>309.88</v>
      </c>
      <c r="G30" s="55"/>
      <c r="H30" s="56" t="str">
        <f aca="false">IF(ISBLANK(G30),"",IF(ISNUMBER(F30),ROUND(F30*G30,2),"Укажите цену"))</f>
        <v/>
      </c>
      <c r="I30" s="57" t="s">
        <v>936</v>
      </c>
      <c r="J30" s="26" t="s">
        <v>936</v>
      </c>
      <c r="K30" s="57" t="s">
        <v>936</v>
      </c>
      <c r="L30" s="57" t="n">
        <v>20</v>
      </c>
      <c r="M30" s="57" t="s">
        <v>640</v>
      </c>
      <c r="N30" s="57" t="n">
        <v>120</v>
      </c>
      <c r="O30" s="57" t="s">
        <v>641</v>
      </c>
      <c r="P30" s="58" t="n">
        <v>0.074</v>
      </c>
      <c r="Q30" s="124" t="s">
        <v>1091</v>
      </c>
      <c r="R30" s="125" t="s">
        <v>1092</v>
      </c>
      <c r="S30" s="60" t="s">
        <v>96</v>
      </c>
      <c r="T30" s="87"/>
      <c r="U30" s="61"/>
      <c r="V30" s="61"/>
      <c r="W30" s="61"/>
      <c r="X30" s="61"/>
      <c r="Y30" s="61"/>
      <c r="Z30" s="61"/>
    </row>
    <row r="31" s="62" customFormat="true" ht="115" hidden="false" customHeight="true" outlineLevel="2" collapsed="false">
      <c r="A31" s="51" t="s">
        <v>1093</v>
      </c>
      <c r="B31" s="52"/>
      <c r="C31" s="57"/>
      <c r="D31" s="53" t="s">
        <v>1094</v>
      </c>
      <c r="E31" s="53" t="s">
        <v>89</v>
      </c>
      <c r="F31" s="54" t="n">
        <v>350.65</v>
      </c>
      <c r="G31" s="55"/>
      <c r="H31" s="56" t="str">
        <f aca="false">IF(ISBLANK(G31),"",IF(ISNUMBER(F31),ROUND(F31*G31,2),"Укажите цену"))</f>
        <v/>
      </c>
      <c r="I31" s="57" t="s">
        <v>936</v>
      </c>
      <c r="J31" s="26" t="s">
        <v>936</v>
      </c>
      <c r="K31" s="57" t="s">
        <v>936</v>
      </c>
      <c r="L31" s="57" t="n">
        <v>20</v>
      </c>
      <c r="M31" s="57" t="s">
        <v>640</v>
      </c>
      <c r="N31" s="57" t="n">
        <v>120</v>
      </c>
      <c r="O31" s="57" t="s">
        <v>641</v>
      </c>
      <c r="P31" s="58" t="n">
        <v>0.074</v>
      </c>
      <c r="Q31" s="124" t="s">
        <v>1095</v>
      </c>
      <c r="R31" s="125" t="s">
        <v>1096</v>
      </c>
      <c r="S31" s="60" t="s">
        <v>96</v>
      </c>
      <c r="T31" s="87"/>
      <c r="U31" s="61"/>
      <c r="V31" s="61"/>
      <c r="W31" s="61"/>
      <c r="X31" s="61"/>
      <c r="Y31" s="61"/>
      <c r="Z31" s="61"/>
    </row>
    <row r="32" s="34" customFormat="true" ht="115" hidden="false" customHeight="true" outlineLevel="2" collapsed="false">
      <c r="A32" s="51" t="s">
        <v>1097</v>
      </c>
      <c r="B32" s="57"/>
      <c r="C32" s="57"/>
      <c r="D32" s="53" t="s">
        <v>1098</v>
      </c>
      <c r="E32" s="53" t="s">
        <v>89</v>
      </c>
      <c r="F32" s="54" t="n">
        <v>195.71</v>
      </c>
      <c r="G32" s="55"/>
      <c r="H32" s="56" t="str">
        <f aca="false">IF(ISBLANK(G32),"",IF(ISNUMBER(F32),ROUND(F32*G32,2),"Укажите цену"))</f>
        <v/>
      </c>
      <c r="I32" s="57" t="n">
        <v>58</v>
      </c>
      <c r="J32" s="57" t="n">
        <v>8.96</v>
      </c>
      <c r="K32" s="57" t="s">
        <v>1066</v>
      </c>
      <c r="L32" s="57" t="n">
        <v>20</v>
      </c>
      <c r="M32" s="57" t="s">
        <v>640</v>
      </c>
      <c r="N32" s="57" t="n">
        <v>120</v>
      </c>
      <c r="O32" s="57" t="s">
        <v>641</v>
      </c>
      <c r="P32" s="58" t="n">
        <v>0.074</v>
      </c>
      <c r="Q32" s="68" t="s">
        <v>1099</v>
      </c>
      <c r="R32" s="93" t="s">
        <v>1100</v>
      </c>
      <c r="S32" s="60" t="s">
        <v>96</v>
      </c>
      <c r="T32" s="61"/>
    </row>
    <row r="33" s="34" customFormat="true" ht="115" hidden="false" customHeight="true" outlineLevel="2" collapsed="false">
      <c r="A33" s="51" t="s">
        <v>1101</v>
      </c>
      <c r="B33" s="57"/>
      <c r="C33" s="57"/>
      <c r="D33" s="53" t="s">
        <v>1102</v>
      </c>
      <c r="E33" s="53" t="s">
        <v>89</v>
      </c>
      <c r="F33" s="54" t="n">
        <v>174.51</v>
      </c>
      <c r="G33" s="55"/>
      <c r="H33" s="56" t="str">
        <f aca="false">IF(ISBLANK(G33),"",IF(ISNUMBER(F33),ROUND(F33*G33,2),"Укажите цену"))</f>
        <v/>
      </c>
      <c r="I33" s="57" t="n">
        <v>57</v>
      </c>
      <c r="J33" s="57" t="n">
        <v>8.83</v>
      </c>
      <c r="K33" s="57" t="s">
        <v>1066</v>
      </c>
      <c r="L33" s="57" t="n">
        <v>20</v>
      </c>
      <c r="M33" s="57" t="s">
        <v>640</v>
      </c>
      <c r="N33" s="57" t="n">
        <v>120</v>
      </c>
      <c r="O33" s="57" t="s">
        <v>641</v>
      </c>
      <c r="P33" s="58" t="n">
        <v>0.074</v>
      </c>
      <c r="Q33" s="68" t="s">
        <v>1103</v>
      </c>
      <c r="R33" s="93" t="s">
        <v>1104</v>
      </c>
      <c r="S33" s="60" t="s">
        <v>96</v>
      </c>
      <c r="T33" s="61"/>
    </row>
    <row r="34" s="34" customFormat="true" ht="60" hidden="false" customHeight="true" outlineLevel="2" collapsed="false">
      <c r="A34" s="63" t="s">
        <v>1105</v>
      </c>
      <c r="B34" s="57"/>
      <c r="C34" s="57"/>
      <c r="D34" s="53" t="s">
        <v>1106</v>
      </c>
      <c r="E34" s="53" t="s">
        <v>89</v>
      </c>
      <c r="F34" s="54" t="n">
        <v>153.31</v>
      </c>
      <c r="G34" s="55"/>
      <c r="H34" s="56" t="str">
        <f aca="false">IF(ISBLANK(G34),"",IF(ISNUMBER(F34),ROUND(F34*G34,2),"Укажите цену"))</f>
        <v/>
      </c>
      <c r="I34" s="57" t="n">
        <v>56</v>
      </c>
      <c r="J34" s="57" t="n">
        <v>8.66</v>
      </c>
      <c r="K34" s="57" t="s">
        <v>1066</v>
      </c>
      <c r="L34" s="57" t="n">
        <v>20</v>
      </c>
      <c r="M34" s="57" t="s">
        <v>640</v>
      </c>
      <c r="N34" s="57" t="n">
        <v>120</v>
      </c>
      <c r="O34" s="57" t="s">
        <v>641</v>
      </c>
      <c r="P34" s="58" t="n">
        <v>0.074</v>
      </c>
      <c r="Q34" s="68" t="s">
        <v>1107</v>
      </c>
      <c r="R34" s="93" t="s">
        <v>1108</v>
      </c>
      <c r="S34" s="60" t="s">
        <v>96</v>
      </c>
      <c r="T34" s="61"/>
    </row>
    <row r="35" s="34" customFormat="true" ht="60" hidden="false" customHeight="true" outlineLevel="2" collapsed="false">
      <c r="A35" s="63"/>
      <c r="B35" s="57"/>
      <c r="C35" s="57"/>
      <c r="D35" s="53" t="s">
        <v>1109</v>
      </c>
      <c r="E35" s="53" t="s">
        <v>103</v>
      </c>
      <c r="F35" s="54" t="n">
        <v>153.31</v>
      </c>
      <c r="G35" s="55"/>
      <c r="H35" s="56" t="str">
        <f aca="false">IF(ISBLANK(G35),"",IF(ISNUMBER(F35),ROUND(F35*G35,2),"Укажите цену"))</f>
        <v/>
      </c>
      <c r="I35" s="57"/>
      <c r="J35" s="57"/>
      <c r="K35" s="57"/>
      <c r="L35" s="57"/>
      <c r="M35" s="57"/>
      <c r="N35" s="57"/>
      <c r="O35" s="57"/>
      <c r="P35" s="58"/>
      <c r="Q35" s="68"/>
      <c r="R35" s="93"/>
      <c r="S35" s="60"/>
      <c r="T35" s="61"/>
    </row>
    <row r="36" s="34" customFormat="true" ht="60" hidden="false" customHeight="true" outlineLevel="2" collapsed="false">
      <c r="A36" s="63" t="s">
        <v>1110</v>
      </c>
      <c r="B36" s="57"/>
      <c r="C36" s="57"/>
      <c r="D36" s="53" t="s">
        <v>1111</v>
      </c>
      <c r="E36" s="53" t="s">
        <v>89</v>
      </c>
      <c r="F36" s="54" t="n">
        <v>120.69</v>
      </c>
      <c r="G36" s="55"/>
      <c r="H36" s="56" t="str">
        <f aca="false">IF(ISBLANK(G36),"",IF(ISNUMBER(F36),ROUND(F36*G36,2),"Укажите цену"))</f>
        <v/>
      </c>
      <c r="I36" s="57" t="n">
        <v>78</v>
      </c>
      <c r="J36" s="57" t="n">
        <v>11.43</v>
      </c>
      <c r="K36" s="57" t="s">
        <v>1066</v>
      </c>
      <c r="L36" s="57" t="n">
        <v>20</v>
      </c>
      <c r="M36" s="57" t="s">
        <v>640</v>
      </c>
      <c r="N36" s="57" t="n">
        <v>120</v>
      </c>
      <c r="O36" s="57" t="s">
        <v>641</v>
      </c>
      <c r="P36" s="58" t="n">
        <v>0.074</v>
      </c>
      <c r="Q36" s="68" t="s">
        <v>1112</v>
      </c>
      <c r="R36" s="93" t="s">
        <v>1113</v>
      </c>
      <c r="S36" s="60" t="s">
        <v>96</v>
      </c>
      <c r="T36" s="61"/>
    </row>
    <row r="37" s="34" customFormat="true" ht="60" hidden="false" customHeight="true" outlineLevel="2" collapsed="false">
      <c r="A37" s="63"/>
      <c r="B37" s="57"/>
      <c r="C37" s="57"/>
      <c r="D37" s="53" t="s">
        <v>1114</v>
      </c>
      <c r="E37" s="53" t="s">
        <v>103</v>
      </c>
      <c r="F37" s="54" t="n">
        <v>120.69</v>
      </c>
      <c r="G37" s="55"/>
      <c r="H37" s="56" t="str">
        <f aca="false">IF(ISBLANK(G37),"",IF(ISNUMBER(F37),ROUND(F37*G37,2),"Укажите цену"))</f>
        <v/>
      </c>
      <c r="I37" s="57"/>
      <c r="J37" s="57"/>
      <c r="K37" s="57"/>
      <c r="L37" s="57"/>
      <c r="M37" s="57"/>
      <c r="N37" s="57"/>
      <c r="O37" s="57"/>
      <c r="P37" s="58"/>
      <c r="Q37" s="68"/>
      <c r="R37" s="93"/>
      <c r="S37" s="60"/>
      <c r="T37" s="61"/>
    </row>
    <row r="38" s="34" customFormat="true" ht="60" hidden="false" customHeight="true" outlineLevel="2" collapsed="false">
      <c r="A38" s="63" t="s">
        <v>1115</v>
      </c>
      <c r="B38" s="57"/>
      <c r="C38" s="57"/>
      <c r="D38" s="53" t="s">
        <v>1116</v>
      </c>
      <c r="E38" s="53" t="s">
        <v>89</v>
      </c>
      <c r="F38" s="54" t="n">
        <v>181.03</v>
      </c>
      <c r="G38" s="55"/>
      <c r="H38" s="56" t="str">
        <f aca="false">IF(ISBLANK(G38),"",IF(ISNUMBER(F38),ROUND(F38*G38,2),"Укажите цену"))</f>
        <v/>
      </c>
      <c r="I38" s="57" t="n">
        <v>65</v>
      </c>
      <c r="J38" s="57" t="n">
        <v>9.7</v>
      </c>
      <c r="K38" s="57" t="s">
        <v>1117</v>
      </c>
      <c r="L38" s="57" t="n">
        <v>20</v>
      </c>
      <c r="M38" s="57" t="s">
        <v>640</v>
      </c>
      <c r="N38" s="57" t="n">
        <v>120</v>
      </c>
      <c r="O38" s="57" t="s">
        <v>641</v>
      </c>
      <c r="P38" s="58" t="n">
        <v>0.074</v>
      </c>
      <c r="Q38" s="68" t="s">
        <v>1118</v>
      </c>
      <c r="R38" s="77" t="s">
        <v>1119</v>
      </c>
      <c r="S38" s="60" t="s">
        <v>1120</v>
      </c>
      <c r="T38" s="61"/>
    </row>
    <row r="39" s="34" customFormat="true" ht="60" hidden="false" customHeight="true" outlineLevel="2" collapsed="false">
      <c r="A39" s="63"/>
      <c r="B39" s="57"/>
      <c r="C39" s="57"/>
      <c r="D39" s="53" t="s">
        <v>1121</v>
      </c>
      <c r="E39" s="53" t="s">
        <v>103</v>
      </c>
      <c r="F39" s="54" t="n">
        <v>181.03</v>
      </c>
      <c r="G39" s="55"/>
      <c r="H39" s="56" t="str">
        <f aca="false">IF(ISBLANK(G39),"",IF(ISNUMBER(F39),ROUND(F39*G39,2),"Укажите цену"))</f>
        <v/>
      </c>
      <c r="I39" s="57"/>
      <c r="J39" s="57"/>
      <c r="K39" s="57"/>
      <c r="L39" s="57"/>
      <c r="M39" s="57"/>
      <c r="N39" s="57"/>
      <c r="O39" s="57"/>
      <c r="P39" s="58"/>
      <c r="Q39" s="68"/>
      <c r="R39" s="77"/>
      <c r="S39" s="60"/>
      <c r="T39" s="61"/>
    </row>
    <row r="40" s="34" customFormat="true" ht="60" hidden="false" customHeight="true" outlineLevel="2" collapsed="false">
      <c r="A40" s="63" t="s">
        <v>1122</v>
      </c>
      <c r="B40" s="57"/>
      <c r="C40" s="57"/>
      <c r="D40" s="53" t="s">
        <v>1123</v>
      </c>
      <c r="E40" s="53" t="s">
        <v>89</v>
      </c>
      <c r="F40" s="54" t="n">
        <v>241.38</v>
      </c>
      <c r="G40" s="55"/>
      <c r="H40" s="56" t="str">
        <f aca="false">IF(ISBLANK(G40),"",IF(ISNUMBER(F40),ROUND(F40*G40,2),"Укажите цену"))</f>
        <v/>
      </c>
      <c r="I40" s="57" t="n">
        <v>91</v>
      </c>
      <c r="J40" s="57" t="n">
        <v>12.9</v>
      </c>
      <c r="K40" s="57" t="s">
        <v>1117</v>
      </c>
      <c r="L40" s="57" t="n">
        <v>20</v>
      </c>
      <c r="M40" s="57" t="s">
        <v>640</v>
      </c>
      <c r="N40" s="57" t="n">
        <v>120</v>
      </c>
      <c r="O40" s="57" t="s">
        <v>641</v>
      </c>
      <c r="P40" s="58" t="n">
        <v>0.074</v>
      </c>
      <c r="Q40" s="68" t="s">
        <v>1124</v>
      </c>
      <c r="R40" s="77" t="s">
        <v>1125</v>
      </c>
      <c r="S40" s="60" t="s">
        <v>1120</v>
      </c>
      <c r="T40" s="61"/>
    </row>
    <row r="41" s="34" customFormat="true" ht="60" hidden="false" customHeight="true" outlineLevel="2" collapsed="false">
      <c r="A41" s="63"/>
      <c r="B41" s="57"/>
      <c r="C41" s="57"/>
      <c r="D41" s="53" t="s">
        <v>1126</v>
      </c>
      <c r="E41" s="53" t="s">
        <v>103</v>
      </c>
      <c r="F41" s="54" t="n">
        <v>241.38</v>
      </c>
      <c r="G41" s="55"/>
      <c r="H41" s="56" t="str">
        <f aca="false">IF(ISBLANK(G41),"",IF(ISNUMBER(F41),ROUND(F41*G41,2),"Укажите цену"))</f>
        <v/>
      </c>
      <c r="I41" s="57"/>
      <c r="J41" s="57"/>
      <c r="K41" s="57"/>
      <c r="L41" s="57"/>
      <c r="M41" s="57"/>
      <c r="N41" s="57"/>
      <c r="O41" s="57"/>
      <c r="P41" s="58"/>
      <c r="Q41" s="68"/>
      <c r="R41" s="77"/>
      <c r="S41" s="60"/>
      <c r="T41" s="61"/>
    </row>
    <row r="42" s="34" customFormat="true" ht="60" hidden="false" customHeight="true" outlineLevel="2" collapsed="false">
      <c r="A42" s="63" t="s">
        <v>1127</v>
      </c>
      <c r="B42" s="57"/>
      <c r="C42" s="57"/>
      <c r="D42" s="53" t="s">
        <v>1128</v>
      </c>
      <c r="E42" s="53" t="s">
        <v>89</v>
      </c>
      <c r="F42" s="54" t="n">
        <v>220.18</v>
      </c>
      <c r="G42" s="55"/>
      <c r="H42" s="56" t="str">
        <f aca="false">IF(ISBLANK(G42),"",IF(ISNUMBER(F42),ROUND(F42*G42,2),"Укажите цену"))</f>
        <v/>
      </c>
      <c r="I42" s="57" t="n">
        <v>91</v>
      </c>
      <c r="J42" s="57" t="n">
        <v>12.8</v>
      </c>
      <c r="K42" s="57" t="s">
        <v>1117</v>
      </c>
      <c r="L42" s="57" t="n">
        <v>20</v>
      </c>
      <c r="M42" s="57" t="s">
        <v>640</v>
      </c>
      <c r="N42" s="57" t="n">
        <v>120</v>
      </c>
      <c r="O42" s="57" t="s">
        <v>641</v>
      </c>
      <c r="P42" s="58" t="n">
        <v>0.074</v>
      </c>
      <c r="Q42" s="68" t="s">
        <v>1129</v>
      </c>
      <c r="R42" s="77" t="s">
        <v>1130</v>
      </c>
      <c r="S42" s="60" t="s">
        <v>1120</v>
      </c>
      <c r="T42" s="61"/>
    </row>
    <row r="43" s="34" customFormat="true" ht="60" hidden="false" customHeight="true" outlineLevel="2" collapsed="false">
      <c r="A43" s="63"/>
      <c r="B43" s="57"/>
      <c r="C43" s="57"/>
      <c r="D43" s="53" t="s">
        <v>1131</v>
      </c>
      <c r="E43" s="53" t="s">
        <v>103</v>
      </c>
      <c r="F43" s="54" t="n">
        <v>220.18</v>
      </c>
      <c r="G43" s="55"/>
      <c r="H43" s="56" t="str">
        <f aca="false">IF(ISBLANK(G43),"",IF(ISNUMBER(F43),ROUND(F43*G43,2),"Укажите цену"))</f>
        <v/>
      </c>
      <c r="I43" s="57"/>
      <c r="J43" s="57"/>
      <c r="K43" s="57"/>
      <c r="L43" s="57"/>
      <c r="M43" s="57"/>
      <c r="N43" s="57"/>
      <c r="O43" s="57"/>
      <c r="P43" s="58"/>
      <c r="Q43" s="68"/>
      <c r="R43" s="77"/>
      <c r="S43" s="60"/>
      <c r="T43" s="61"/>
    </row>
    <row r="44" s="34" customFormat="true" ht="60" hidden="false" customHeight="true" outlineLevel="2" collapsed="false">
      <c r="A44" s="63" t="s">
        <v>1132</v>
      </c>
      <c r="B44" s="57"/>
      <c r="C44" s="57"/>
      <c r="D44" s="53" t="s">
        <v>1133</v>
      </c>
      <c r="E44" s="53" t="s">
        <v>89</v>
      </c>
      <c r="F44" s="54" t="n">
        <v>146.78</v>
      </c>
      <c r="G44" s="55"/>
      <c r="H44" s="56" t="str">
        <f aca="false">IF(ISBLANK(G44),"",IF(ISNUMBER(F44),ROUND(F44*G44,2),"Укажите цену"))</f>
        <v/>
      </c>
      <c r="I44" s="57" t="n">
        <v>64</v>
      </c>
      <c r="J44" s="57" t="n">
        <v>9.7</v>
      </c>
      <c r="K44" s="57" t="s">
        <v>1117</v>
      </c>
      <c r="L44" s="57" t="n">
        <v>20</v>
      </c>
      <c r="M44" s="57" t="s">
        <v>640</v>
      </c>
      <c r="N44" s="57" t="n">
        <v>120</v>
      </c>
      <c r="O44" s="57" t="s">
        <v>641</v>
      </c>
      <c r="P44" s="58" t="n">
        <v>0.074</v>
      </c>
      <c r="Q44" s="68" t="s">
        <v>1134</v>
      </c>
      <c r="R44" s="77" t="s">
        <v>1135</v>
      </c>
      <c r="S44" s="60" t="s">
        <v>1136</v>
      </c>
      <c r="T44" s="61"/>
    </row>
    <row r="45" s="34" customFormat="true" ht="60" hidden="false" customHeight="true" outlineLevel="2" collapsed="false">
      <c r="A45" s="63"/>
      <c r="B45" s="57"/>
      <c r="C45" s="57"/>
      <c r="D45" s="53" t="s">
        <v>1137</v>
      </c>
      <c r="E45" s="53" t="s">
        <v>103</v>
      </c>
      <c r="F45" s="54" t="n">
        <v>146.78</v>
      </c>
      <c r="G45" s="55"/>
      <c r="H45" s="56" t="str">
        <f aca="false">IF(ISBLANK(G45),"",IF(ISNUMBER(F45),ROUND(F45*G45,2),"Укажите цену"))</f>
        <v/>
      </c>
      <c r="I45" s="57"/>
      <c r="J45" s="57"/>
      <c r="K45" s="57"/>
      <c r="L45" s="57"/>
      <c r="M45" s="57"/>
      <c r="N45" s="57"/>
      <c r="O45" s="57"/>
      <c r="P45" s="58"/>
      <c r="Q45" s="68"/>
      <c r="R45" s="77"/>
      <c r="S45" s="60"/>
      <c r="T45" s="61"/>
    </row>
    <row r="46" s="34" customFormat="true" ht="60" hidden="false" customHeight="true" outlineLevel="2" collapsed="false">
      <c r="A46" s="63" t="s">
        <v>1138</v>
      </c>
      <c r="B46" s="57"/>
      <c r="C46" s="57"/>
      <c r="D46" s="53" t="s">
        <v>1139</v>
      </c>
      <c r="E46" s="53" t="s">
        <v>89</v>
      </c>
      <c r="F46" s="54" t="n">
        <v>207.13</v>
      </c>
      <c r="G46" s="55"/>
      <c r="H46" s="56" t="str">
        <f aca="false">IF(ISBLANK(G46),"",IF(ISNUMBER(F46),ROUND(F46*G46,2),"Укажите цену"))</f>
        <v/>
      </c>
      <c r="I46" s="57" t="n">
        <v>91</v>
      </c>
      <c r="J46" s="57" t="n">
        <v>12.77</v>
      </c>
      <c r="K46" s="57" t="s">
        <v>1117</v>
      </c>
      <c r="L46" s="57" t="n">
        <v>20</v>
      </c>
      <c r="M46" s="57" t="s">
        <v>640</v>
      </c>
      <c r="N46" s="57" t="n">
        <v>120</v>
      </c>
      <c r="O46" s="57" t="s">
        <v>641</v>
      </c>
      <c r="P46" s="58" t="n">
        <v>0.074</v>
      </c>
      <c r="Q46" s="68" t="s">
        <v>1140</v>
      </c>
      <c r="R46" s="77" t="s">
        <v>1141</v>
      </c>
      <c r="S46" s="60" t="s">
        <v>1136</v>
      </c>
      <c r="T46" s="61"/>
    </row>
    <row r="47" s="34" customFormat="true" ht="60" hidden="false" customHeight="true" outlineLevel="2" collapsed="false">
      <c r="A47" s="63"/>
      <c r="B47" s="57"/>
      <c r="C47" s="57"/>
      <c r="D47" s="53" t="s">
        <v>1142</v>
      </c>
      <c r="E47" s="53" t="s">
        <v>103</v>
      </c>
      <c r="F47" s="54" t="n">
        <v>207.13</v>
      </c>
      <c r="G47" s="55"/>
      <c r="H47" s="56" t="str">
        <f aca="false">IF(ISBLANK(G47),"",IF(ISNUMBER(F47),ROUND(F47*G47,2),"Укажите цену"))</f>
        <v/>
      </c>
      <c r="I47" s="57"/>
      <c r="J47" s="57"/>
      <c r="K47" s="57"/>
      <c r="L47" s="57"/>
      <c r="M47" s="57"/>
      <c r="N47" s="57"/>
      <c r="O47" s="57"/>
      <c r="P47" s="58"/>
      <c r="Q47" s="68"/>
      <c r="R47" s="77"/>
      <c r="S47" s="60"/>
      <c r="T47" s="61"/>
    </row>
    <row r="48" s="34" customFormat="true" ht="60" hidden="false" customHeight="true" outlineLevel="2" collapsed="false">
      <c r="A48" s="63" t="s">
        <v>1143</v>
      </c>
      <c r="B48" s="57"/>
      <c r="C48" s="57"/>
      <c r="D48" s="53" t="s">
        <v>1144</v>
      </c>
      <c r="E48" s="53" t="s">
        <v>89</v>
      </c>
      <c r="F48" s="54" t="n">
        <v>184.3</v>
      </c>
      <c r="G48" s="55"/>
      <c r="H48" s="56" t="str">
        <f aca="false">IF(ISBLANK(G48),"",IF(ISNUMBER(F48),ROUND(F48*G48,2),"Укажите цену"))</f>
        <v/>
      </c>
      <c r="I48" s="57" t="n">
        <v>89</v>
      </c>
      <c r="J48" s="57" t="n">
        <v>12.6</v>
      </c>
      <c r="K48" s="57" t="s">
        <v>1117</v>
      </c>
      <c r="L48" s="57" t="n">
        <v>20</v>
      </c>
      <c r="M48" s="57" t="s">
        <v>640</v>
      </c>
      <c r="N48" s="57" t="n">
        <v>120</v>
      </c>
      <c r="O48" s="57" t="s">
        <v>641</v>
      </c>
      <c r="P48" s="58" t="n">
        <v>0.074</v>
      </c>
      <c r="Q48" s="68" t="s">
        <v>1145</v>
      </c>
      <c r="R48" s="77" t="s">
        <v>1146</v>
      </c>
      <c r="S48" s="60" t="s">
        <v>1136</v>
      </c>
      <c r="T48" s="61"/>
    </row>
    <row r="49" s="34" customFormat="true" ht="60" hidden="false" customHeight="true" outlineLevel="2" collapsed="false">
      <c r="A49" s="63"/>
      <c r="B49" s="57"/>
      <c r="C49" s="57"/>
      <c r="D49" s="53" t="s">
        <v>1147</v>
      </c>
      <c r="E49" s="53" t="s">
        <v>103</v>
      </c>
      <c r="F49" s="54" t="n">
        <v>184.3</v>
      </c>
      <c r="G49" s="55"/>
      <c r="H49" s="56" t="str">
        <f aca="false">IF(ISBLANK(G49),"",IF(ISNUMBER(F49),ROUND(F49*G49,2),"Укажите цену"))</f>
        <v/>
      </c>
      <c r="I49" s="57"/>
      <c r="J49" s="57"/>
      <c r="K49" s="57"/>
      <c r="L49" s="57"/>
      <c r="M49" s="57"/>
      <c r="N49" s="57"/>
      <c r="O49" s="57"/>
      <c r="P49" s="58"/>
      <c r="Q49" s="68"/>
      <c r="R49" s="77"/>
      <c r="S49" s="60"/>
      <c r="T49" s="61"/>
    </row>
    <row r="50" s="34" customFormat="true" ht="60" hidden="false" customHeight="true" outlineLevel="2" collapsed="false">
      <c r="A50" s="63" t="s">
        <v>1148</v>
      </c>
      <c r="B50" s="57"/>
      <c r="C50" s="57"/>
      <c r="D50" s="53" t="s">
        <v>1149</v>
      </c>
      <c r="E50" s="53" t="s">
        <v>89</v>
      </c>
      <c r="F50" s="54" t="n">
        <v>140.26</v>
      </c>
      <c r="G50" s="55"/>
      <c r="H50" s="56" t="str">
        <f aca="false">IF(ISBLANK(G50),"",IF(ISNUMBER(F50),ROUND(F50*G50,2),"Укажите цену"))</f>
        <v/>
      </c>
      <c r="I50" s="57" t="n">
        <v>60</v>
      </c>
      <c r="J50" s="57" t="n">
        <v>9.14</v>
      </c>
      <c r="K50" s="57" t="s">
        <v>1117</v>
      </c>
      <c r="L50" s="57" t="n">
        <v>20</v>
      </c>
      <c r="M50" s="57" t="s">
        <v>640</v>
      </c>
      <c r="N50" s="57" t="n">
        <v>120</v>
      </c>
      <c r="O50" s="57" t="s">
        <v>641</v>
      </c>
      <c r="P50" s="58" t="n">
        <v>0.074</v>
      </c>
      <c r="Q50" s="68" t="s">
        <v>1150</v>
      </c>
      <c r="R50" s="77" t="s">
        <v>1151</v>
      </c>
      <c r="S50" s="60" t="s">
        <v>1152</v>
      </c>
      <c r="T50" s="61"/>
    </row>
    <row r="51" s="34" customFormat="true" ht="60" hidden="false" customHeight="true" outlineLevel="2" collapsed="false">
      <c r="A51" s="63"/>
      <c r="B51" s="57"/>
      <c r="C51" s="57"/>
      <c r="D51" s="53" t="s">
        <v>1153</v>
      </c>
      <c r="E51" s="53" t="s">
        <v>103</v>
      </c>
      <c r="F51" s="54" t="n">
        <v>140.26</v>
      </c>
      <c r="G51" s="55"/>
      <c r="H51" s="56" t="str">
        <f aca="false">IF(ISBLANK(G51),"",IF(ISNUMBER(F51),ROUND(F51*G51,2),"Укажите цену"))</f>
        <v/>
      </c>
      <c r="I51" s="57"/>
      <c r="J51" s="57"/>
      <c r="K51" s="57"/>
      <c r="L51" s="57"/>
      <c r="M51" s="57"/>
      <c r="N51" s="57"/>
      <c r="O51" s="57"/>
      <c r="P51" s="58"/>
      <c r="Q51" s="68"/>
      <c r="R51" s="77"/>
      <c r="S51" s="60"/>
      <c r="T51" s="61"/>
    </row>
    <row r="52" s="34" customFormat="true" ht="115" hidden="false" customHeight="true" outlineLevel="2" collapsed="false">
      <c r="A52" s="51" t="s">
        <v>1154</v>
      </c>
      <c r="B52" s="57"/>
      <c r="C52" s="57"/>
      <c r="D52" s="53" t="s">
        <v>1155</v>
      </c>
      <c r="E52" s="53" t="s">
        <v>103</v>
      </c>
      <c r="F52" s="54" t="n">
        <v>200.61</v>
      </c>
      <c r="G52" s="55"/>
      <c r="H52" s="56" t="str">
        <f aca="false">IF(ISBLANK(G52),"",IF(ISNUMBER(F52),ROUND(F52*G52,2),"Укажите цену"))</f>
        <v/>
      </c>
      <c r="I52" s="57" t="n">
        <v>86</v>
      </c>
      <c r="J52" s="57" t="n">
        <v>12.3</v>
      </c>
      <c r="K52" s="57" t="s">
        <v>1117</v>
      </c>
      <c r="L52" s="57" t="n">
        <v>20</v>
      </c>
      <c r="M52" s="57" t="s">
        <v>640</v>
      </c>
      <c r="N52" s="57" t="n">
        <v>120</v>
      </c>
      <c r="O52" s="57" t="s">
        <v>641</v>
      </c>
      <c r="P52" s="58" t="n">
        <v>0.074</v>
      </c>
      <c r="Q52" s="68" t="s">
        <v>1156</v>
      </c>
      <c r="R52" s="77" t="s">
        <v>1157</v>
      </c>
      <c r="S52" s="60" t="s">
        <v>1152</v>
      </c>
      <c r="T52" s="61"/>
    </row>
    <row r="53" s="34" customFormat="true" ht="60" hidden="false" customHeight="true" outlineLevel="2" collapsed="false">
      <c r="A53" s="63" t="s">
        <v>1158</v>
      </c>
      <c r="B53" s="57"/>
      <c r="C53" s="57"/>
      <c r="D53" s="53" t="s">
        <v>1159</v>
      </c>
      <c r="E53" s="53" t="s">
        <v>89</v>
      </c>
      <c r="F53" s="54" t="n">
        <v>110.9</v>
      </c>
      <c r="G53" s="55"/>
      <c r="H53" s="56" t="str">
        <f aca="false">IF(ISBLANK(G53),"",IF(ISNUMBER(F53),ROUND(F53*G53,2),"Укажите цену"))</f>
        <v/>
      </c>
      <c r="I53" s="57" t="n">
        <v>59</v>
      </c>
      <c r="J53" s="57" t="n">
        <v>8.9</v>
      </c>
      <c r="K53" s="57" t="s">
        <v>1117</v>
      </c>
      <c r="L53" s="57" t="n">
        <v>20</v>
      </c>
      <c r="M53" s="57" t="s">
        <v>640</v>
      </c>
      <c r="N53" s="57" t="n">
        <v>120</v>
      </c>
      <c r="O53" s="57" t="s">
        <v>641</v>
      </c>
      <c r="P53" s="58" t="n">
        <v>0.074</v>
      </c>
      <c r="Q53" s="68" t="s">
        <v>1160</v>
      </c>
      <c r="R53" s="77" t="s">
        <v>1161</v>
      </c>
      <c r="S53" s="60" t="s">
        <v>1162</v>
      </c>
      <c r="T53" s="61"/>
    </row>
    <row r="54" s="34" customFormat="true" ht="60" hidden="false" customHeight="true" outlineLevel="2" collapsed="false">
      <c r="A54" s="63"/>
      <c r="B54" s="57"/>
      <c r="C54" s="57"/>
      <c r="D54" s="53" t="s">
        <v>1163</v>
      </c>
      <c r="E54" s="53" t="s">
        <v>103</v>
      </c>
      <c r="F54" s="54" t="n">
        <v>110.9</v>
      </c>
      <c r="G54" s="55"/>
      <c r="H54" s="56" t="str">
        <f aca="false">IF(ISBLANK(G54),"",IF(ISNUMBER(F54),ROUND(F54*G54,2),"Укажите цену"))</f>
        <v/>
      </c>
      <c r="I54" s="57"/>
      <c r="J54" s="57"/>
      <c r="K54" s="57"/>
      <c r="L54" s="57"/>
      <c r="M54" s="57"/>
      <c r="N54" s="57"/>
      <c r="O54" s="57"/>
      <c r="P54" s="58"/>
      <c r="Q54" s="68"/>
      <c r="R54" s="77"/>
      <c r="S54" s="60"/>
      <c r="T54" s="61"/>
    </row>
    <row r="55" s="34" customFormat="true" ht="60" hidden="false" customHeight="true" outlineLevel="2" collapsed="false">
      <c r="A55" s="63" t="s">
        <v>1164</v>
      </c>
      <c r="B55" s="57"/>
      <c r="C55" s="57"/>
      <c r="D55" s="53" t="s">
        <v>1165</v>
      </c>
      <c r="E55" s="53" t="s">
        <v>89</v>
      </c>
      <c r="F55" s="54" t="n">
        <v>171.25</v>
      </c>
      <c r="G55" s="55"/>
      <c r="H55" s="56" t="str">
        <f aca="false">IF(ISBLANK(G55),"",IF(ISNUMBER(F55),ROUND(F55*G55,2),"Укажите цену"))</f>
        <v/>
      </c>
      <c r="I55" s="57" t="n">
        <v>85</v>
      </c>
      <c r="J55" s="57" t="n">
        <v>12.2</v>
      </c>
      <c r="K55" s="57" t="s">
        <v>1117</v>
      </c>
      <c r="L55" s="57" t="n">
        <v>20</v>
      </c>
      <c r="M55" s="57" t="s">
        <v>640</v>
      </c>
      <c r="N55" s="57" t="n">
        <v>120</v>
      </c>
      <c r="O55" s="57" t="s">
        <v>641</v>
      </c>
      <c r="P55" s="58" t="n">
        <v>0.074</v>
      </c>
      <c r="Q55" s="68" t="s">
        <v>1166</v>
      </c>
      <c r="R55" s="77" t="s">
        <v>1167</v>
      </c>
      <c r="S55" s="60" t="s">
        <v>1162</v>
      </c>
      <c r="T55" s="61"/>
    </row>
    <row r="56" s="34" customFormat="true" ht="60" hidden="false" customHeight="true" outlineLevel="2" collapsed="false">
      <c r="A56" s="63"/>
      <c r="B56" s="57"/>
      <c r="C56" s="57"/>
      <c r="D56" s="53" t="s">
        <v>1168</v>
      </c>
      <c r="E56" s="53" t="s">
        <v>103</v>
      </c>
      <c r="F56" s="54" t="n">
        <v>171.25</v>
      </c>
      <c r="G56" s="55"/>
      <c r="H56" s="56" t="str">
        <f aca="false">IF(ISBLANK(G56),"",IF(ISNUMBER(F56),ROUND(F56*G56,2),"Укажите цену"))</f>
        <v/>
      </c>
      <c r="I56" s="57"/>
      <c r="J56" s="57"/>
      <c r="K56" s="57"/>
      <c r="L56" s="57"/>
      <c r="M56" s="57"/>
      <c r="N56" s="57"/>
      <c r="O56" s="57"/>
      <c r="P56" s="58"/>
      <c r="Q56" s="68"/>
      <c r="R56" s="77"/>
      <c r="S56" s="60"/>
      <c r="T56" s="61"/>
    </row>
    <row r="57" s="34" customFormat="true" ht="60" hidden="false" customHeight="true" outlineLevel="2" collapsed="false">
      <c r="A57" s="63" t="s">
        <v>1169</v>
      </c>
      <c r="B57" s="57"/>
      <c r="C57" s="57"/>
      <c r="D57" s="53" t="s">
        <v>1170</v>
      </c>
      <c r="E57" s="53" t="s">
        <v>89</v>
      </c>
      <c r="F57" s="54" t="n">
        <v>150.05</v>
      </c>
      <c r="G57" s="55"/>
      <c r="H57" s="56" t="str">
        <f aca="false">IF(ISBLANK(G57),"",IF(ISNUMBER(F57),ROUND(F57*G57,2),"Укажите цену"))</f>
        <v/>
      </c>
      <c r="I57" s="57" t="n">
        <v>85</v>
      </c>
      <c r="J57" s="57" t="n">
        <v>12.1</v>
      </c>
      <c r="K57" s="57" t="s">
        <v>1117</v>
      </c>
      <c r="L57" s="57" t="n">
        <v>20</v>
      </c>
      <c r="M57" s="57" t="s">
        <v>640</v>
      </c>
      <c r="N57" s="57" t="n">
        <v>120</v>
      </c>
      <c r="O57" s="57" t="s">
        <v>641</v>
      </c>
      <c r="P57" s="58" t="n">
        <v>0.074</v>
      </c>
      <c r="Q57" s="68" t="s">
        <v>1171</v>
      </c>
      <c r="R57" s="77" t="s">
        <v>1172</v>
      </c>
      <c r="S57" s="60" t="s">
        <v>1162</v>
      </c>
      <c r="T57" s="61"/>
    </row>
    <row r="58" s="34" customFormat="true" ht="60" hidden="false" customHeight="true" outlineLevel="2" collapsed="false">
      <c r="A58" s="63"/>
      <c r="B58" s="57"/>
      <c r="C58" s="57"/>
      <c r="D58" s="53" t="s">
        <v>1173</v>
      </c>
      <c r="E58" s="53" t="s">
        <v>103</v>
      </c>
      <c r="F58" s="54" t="n">
        <v>150.05</v>
      </c>
      <c r="G58" s="55"/>
      <c r="H58" s="56" t="str">
        <f aca="false">IF(ISBLANK(G58),"",IF(ISNUMBER(F58),ROUND(F58*G58,2),"Укажите цену"))</f>
        <v/>
      </c>
      <c r="I58" s="57"/>
      <c r="J58" s="57"/>
      <c r="K58" s="57"/>
      <c r="L58" s="57"/>
      <c r="M58" s="57"/>
      <c r="N58" s="57"/>
      <c r="O58" s="57"/>
      <c r="P58" s="58"/>
      <c r="Q58" s="68"/>
      <c r="R58" s="77"/>
      <c r="S58" s="60"/>
      <c r="T58" s="61"/>
    </row>
    <row r="59" s="34" customFormat="true" ht="60" hidden="false" customHeight="true" outlineLevel="2" collapsed="false">
      <c r="A59" s="63" t="s">
        <v>1174</v>
      </c>
      <c r="B59" s="57"/>
      <c r="C59" s="57"/>
      <c r="D59" s="53" t="s">
        <v>1175</v>
      </c>
      <c r="E59" s="53" t="s">
        <v>89</v>
      </c>
      <c r="F59" s="54" t="n">
        <v>109.27</v>
      </c>
      <c r="G59" s="55"/>
      <c r="H59" s="56" t="str">
        <f aca="false">IF(ISBLANK(G59),"",IF(ISNUMBER(F59),ROUND(F59*G59,2),"Укажите цену"))</f>
        <v/>
      </c>
      <c r="I59" s="57" t="n">
        <v>58</v>
      </c>
      <c r="J59" s="57" t="n">
        <v>8.88</v>
      </c>
      <c r="K59" s="57" t="s">
        <v>1176</v>
      </c>
      <c r="L59" s="57" t="n">
        <v>20</v>
      </c>
      <c r="M59" s="57" t="s">
        <v>640</v>
      </c>
      <c r="N59" s="57" t="n">
        <v>120</v>
      </c>
      <c r="O59" s="57" t="s">
        <v>641</v>
      </c>
      <c r="P59" s="58" t="n">
        <v>0.074</v>
      </c>
      <c r="Q59" s="68" t="s">
        <v>1177</v>
      </c>
      <c r="R59" s="77" t="s">
        <v>1178</v>
      </c>
      <c r="S59" s="60" t="s">
        <v>1179</v>
      </c>
      <c r="T59" s="61"/>
    </row>
    <row r="60" s="34" customFormat="true" ht="60" hidden="false" customHeight="true" outlineLevel="2" collapsed="false">
      <c r="A60" s="63"/>
      <c r="B60" s="57"/>
      <c r="C60" s="57"/>
      <c r="D60" s="53" t="s">
        <v>1180</v>
      </c>
      <c r="E60" s="53" t="s">
        <v>103</v>
      </c>
      <c r="F60" s="54" t="n">
        <v>109.27</v>
      </c>
      <c r="G60" s="55"/>
      <c r="H60" s="56" t="str">
        <f aca="false">IF(ISBLANK(G60),"",IF(ISNUMBER(F60),ROUND(F60*G60,2),"Укажите цену"))</f>
        <v/>
      </c>
      <c r="I60" s="57"/>
      <c r="J60" s="57"/>
      <c r="K60" s="57"/>
      <c r="L60" s="57"/>
      <c r="M60" s="57"/>
      <c r="N60" s="57"/>
      <c r="O60" s="57"/>
      <c r="P60" s="58"/>
      <c r="Q60" s="68"/>
      <c r="R60" s="77"/>
      <c r="S60" s="60"/>
      <c r="T60" s="61"/>
    </row>
    <row r="61" s="34" customFormat="true" ht="60" hidden="false" customHeight="true" outlineLevel="2" collapsed="false">
      <c r="A61" s="63" t="s">
        <v>1181</v>
      </c>
      <c r="B61" s="57"/>
      <c r="C61" s="57"/>
      <c r="D61" s="53" t="s">
        <v>1182</v>
      </c>
      <c r="E61" s="53" t="s">
        <v>89</v>
      </c>
      <c r="F61" s="54" t="n">
        <v>132.11</v>
      </c>
      <c r="G61" s="55"/>
      <c r="H61" s="56" t="str">
        <f aca="false">IF(ISBLANK(G61),"",IF(ISNUMBER(F61),ROUND(F61*G61,2),"Укажите цену"))</f>
        <v/>
      </c>
      <c r="I61" s="57" t="n">
        <v>86</v>
      </c>
      <c r="J61" s="57" t="n">
        <v>11.76</v>
      </c>
      <c r="K61" s="57" t="s">
        <v>1176</v>
      </c>
      <c r="L61" s="57" t="n">
        <v>20</v>
      </c>
      <c r="M61" s="57" t="s">
        <v>640</v>
      </c>
      <c r="N61" s="57" t="n">
        <v>120</v>
      </c>
      <c r="O61" s="57" t="s">
        <v>641</v>
      </c>
      <c r="P61" s="58" t="n">
        <v>0.074</v>
      </c>
      <c r="Q61" s="68" t="s">
        <v>1183</v>
      </c>
      <c r="R61" s="77" t="s">
        <v>1184</v>
      </c>
      <c r="S61" s="60" t="s">
        <v>1179</v>
      </c>
      <c r="T61" s="61"/>
    </row>
    <row r="62" s="34" customFormat="true" ht="60" hidden="false" customHeight="true" outlineLevel="2" collapsed="false">
      <c r="A62" s="63"/>
      <c r="B62" s="57"/>
      <c r="C62" s="57"/>
      <c r="D62" s="53" t="s">
        <v>1185</v>
      </c>
      <c r="E62" s="53" t="s">
        <v>103</v>
      </c>
      <c r="F62" s="54" t="n">
        <v>132.11</v>
      </c>
      <c r="G62" s="55"/>
      <c r="H62" s="56" t="str">
        <f aca="false">IF(ISBLANK(G62),"",IF(ISNUMBER(F62),ROUND(F62*G62,2),"Укажите цену"))</f>
        <v/>
      </c>
      <c r="I62" s="57"/>
      <c r="J62" s="57"/>
      <c r="K62" s="57"/>
      <c r="L62" s="57"/>
      <c r="M62" s="57"/>
      <c r="N62" s="57"/>
      <c r="O62" s="57"/>
      <c r="P62" s="58"/>
      <c r="Q62" s="68"/>
      <c r="R62" s="77"/>
      <c r="S62" s="60"/>
      <c r="T62" s="61"/>
    </row>
    <row r="63" s="34" customFormat="true" ht="60" hidden="false" customHeight="true" outlineLevel="2" collapsed="false">
      <c r="A63" s="63" t="s">
        <v>1186</v>
      </c>
      <c r="B63" s="57"/>
      <c r="C63" s="57"/>
      <c r="D63" s="53" t="s">
        <v>1187</v>
      </c>
      <c r="E63" s="53" t="s">
        <v>89</v>
      </c>
      <c r="F63" s="54" t="n">
        <v>137</v>
      </c>
      <c r="G63" s="55"/>
      <c r="H63" s="56" t="str">
        <f aca="false">IF(ISBLANK(G63),"",IF(ISNUMBER(F63),ROUND(F63*G63,2),"Укажите цену"))</f>
        <v/>
      </c>
      <c r="I63" s="57" t="n">
        <v>86</v>
      </c>
      <c r="J63" s="57" t="n">
        <v>12.25</v>
      </c>
      <c r="K63" s="57" t="s">
        <v>1176</v>
      </c>
      <c r="L63" s="57" t="n">
        <v>20</v>
      </c>
      <c r="M63" s="57" t="s">
        <v>640</v>
      </c>
      <c r="N63" s="57" t="n">
        <v>120</v>
      </c>
      <c r="O63" s="57" t="s">
        <v>641</v>
      </c>
      <c r="P63" s="58" t="n">
        <v>0.074</v>
      </c>
      <c r="Q63" s="68" t="s">
        <v>1188</v>
      </c>
      <c r="R63" s="77" t="s">
        <v>1189</v>
      </c>
      <c r="S63" s="60" t="s">
        <v>1179</v>
      </c>
      <c r="T63" s="61"/>
    </row>
    <row r="64" s="34" customFormat="true" ht="60" hidden="false" customHeight="true" outlineLevel="2" collapsed="false">
      <c r="A64" s="63"/>
      <c r="B64" s="57"/>
      <c r="C64" s="57"/>
      <c r="D64" s="53" t="s">
        <v>1190</v>
      </c>
      <c r="E64" s="53" t="s">
        <v>103</v>
      </c>
      <c r="F64" s="54" t="n">
        <v>137</v>
      </c>
      <c r="G64" s="55"/>
      <c r="H64" s="56" t="str">
        <f aca="false">IF(ISBLANK(G64),"",IF(ISNUMBER(F64),ROUND(F64*G64,2),"Укажите цену"))</f>
        <v/>
      </c>
      <c r="I64" s="57"/>
      <c r="J64" s="57"/>
      <c r="K64" s="57"/>
      <c r="L64" s="57"/>
      <c r="M64" s="57"/>
      <c r="N64" s="57"/>
      <c r="O64" s="57"/>
      <c r="P64" s="58"/>
      <c r="Q64" s="68"/>
      <c r="R64" s="77"/>
      <c r="S64" s="60"/>
      <c r="T64" s="61"/>
    </row>
    <row r="65" s="34" customFormat="true" ht="60" hidden="false" customHeight="true" outlineLevel="2" collapsed="false">
      <c r="A65" s="63" t="s">
        <v>1191</v>
      </c>
      <c r="B65" s="57"/>
      <c r="C65" s="57"/>
      <c r="D65" s="53" t="s">
        <v>1192</v>
      </c>
      <c r="E65" s="53" t="s">
        <v>89</v>
      </c>
      <c r="F65" s="54" t="n">
        <v>78.29</v>
      </c>
      <c r="G65" s="55"/>
      <c r="H65" s="56" t="str">
        <f aca="false">IF(ISBLANK(G65),"",IF(ISNUMBER(F65),ROUND(F65*G65,2),"Укажите цену"))</f>
        <v/>
      </c>
      <c r="I65" s="57" t="n">
        <v>50</v>
      </c>
      <c r="J65" s="57" t="n">
        <v>7.87</v>
      </c>
      <c r="K65" s="57" t="s">
        <v>1176</v>
      </c>
      <c r="L65" s="57" t="n">
        <v>20</v>
      </c>
      <c r="M65" s="57" t="s">
        <v>640</v>
      </c>
      <c r="N65" s="57" t="n">
        <v>120</v>
      </c>
      <c r="O65" s="57" t="s">
        <v>641</v>
      </c>
      <c r="P65" s="58" t="n">
        <v>0.074</v>
      </c>
      <c r="Q65" s="68" t="s">
        <v>1193</v>
      </c>
      <c r="R65" s="77" t="s">
        <v>1194</v>
      </c>
      <c r="S65" s="60" t="s">
        <v>1195</v>
      </c>
      <c r="T65" s="61"/>
    </row>
    <row r="66" s="34" customFormat="true" ht="60" hidden="false" customHeight="true" outlineLevel="2" collapsed="false">
      <c r="A66" s="63"/>
      <c r="B66" s="57"/>
      <c r="C66" s="57"/>
      <c r="D66" s="53" t="s">
        <v>1196</v>
      </c>
      <c r="E66" s="53" t="s">
        <v>103</v>
      </c>
      <c r="F66" s="54" t="n">
        <v>78.29</v>
      </c>
      <c r="G66" s="55"/>
      <c r="H66" s="56" t="str">
        <f aca="false">IF(ISBLANK(G66),"",IF(ISNUMBER(F66),ROUND(F66*G66,2),"Укажите цену"))</f>
        <v/>
      </c>
      <c r="I66" s="57"/>
      <c r="J66" s="57"/>
      <c r="K66" s="57"/>
      <c r="L66" s="57"/>
      <c r="M66" s="57"/>
      <c r="N66" s="57"/>
      <c r="O66" s="57"/>
      <c r="P66" s="58"/>
      <c r="Q66" s="68"/>
      <c r="R66" s="77"/>
      <c r="S66" s="60"/>
      <c r="T66" s="61"/>
    </row>
    <row r="67" s="34" customFormat="true" ht="60" hidden="false" customHeight="true" outlineLevel="2" collapsed="false">
      <c r="A67" s="63" t="s">
        <v>1197</v>
      </c>
      <c r="B67" s="57"/>
      <c r="C67" s="57"/>
      <c r="D67" s="53" t="s">
        <v>1198</v>
      </c>
      <c r="E67" s="53" t="s">
        <v>89</v>
      </c>
      <c r="F67" s="54" t="n">
        <v>110.9</v>
      </c>
      <c r="G67" s="55"/>
      <c r="H67" s="56" t="str">
        <f aca="false">IF(ISBLANK(G67),"",IF(ISNUMBER(F67),ROUND(F67*G67,2),"Укажите цену"))</f>
        <v/>
      </c>
      <c r="I67" s="57" t="n">
        <v>78</v>
      </c>
      <c r="J67" s="57" t="n">
        <v>11.29</v>
      </c>
      <c r="K67" s="57" t="s">
        <v>1176</v>
      </c>
      <c r="L67" s="57" t="n">
        <v>20</v>
      </c>
      <c r="M67" s="57" t="s">
        <v>640</v>
      </c>
      <c r="N67" s="57" t="n">
        <v>120</v>
      </c>
      <c r="O67" s="57" t="s">
        <v>641</v>
      </c>
      <c r="P67" s="58" t="n">
        <v>0.074</v>
      </c>
      <c r="Q67" s="68" t="s">
        <v>1199</v>
      </c>
      <c r="R67" s="77" t="s">
        <v>1200</v>
      </c>
      <c r="S67" s="60" t="s">
        <v>1195</v>
      </c>
      <c r="T67" s="61"/>
    </row>
    <row r="68" s="34" customFormat="true" ht="60" hidden="false" customHeight="true" outlineLevel="2" collapsed="false">
      <c r="A68" s="63"/>
      <c r="B68" s="57"/>
      <c r="C68" s="57"/>
      <c r="D68" s="53" t="s">
        <v>1201</v>
      </c>
      <c r="E68" s="53" t="s">
        <v>103</v>
      </c>
      <c r="F68" s="54" t="n">
        <v>110.9</v>
      </c>
      <c r="G68" s="55"/>
      <c r="H68" s="56" t="str">
        <f aca="false">IF(ISBLANK(G68),"",IF(ISNUMBER(F68),ROUND(F68*G68,2),"Укажите цену"))</f>
        <v/>
      </c>
      <c r="I68" s="57"/>
      <c r="J68" s="57"/>
      <c r="K68" s="57"/>
      <c r="L68" s="57"/>
      <c r="M68" s="57"/>
      <c r="N68" s="57"/>
      <c r="O68" s="57"/>
      <c r="P68" s="58"/>
      <c r="Q68" s="68"/>
      <c r="R68" s="77"/>
      <c r="S68" s="60"/>
      <c r="T68" s="61"/>
    </row>
    <row r="69" s="34" customFormat="true" ht="60" hidden="false" customHeight="true" outlineLevel="2" collapsed="false">
      <c r="A69" s="63" t="s">
        <v>1202</v>
      </c>
      <c r="B69" s="57"/>
      <c r="C69" s="57"/>
      <c r="D69" s="53" t="s">
        <v>1203</v>
      </c>
      <c r="E69" s="53" t="s">
        <v>89</v>
      </c>
      <c r="F69" s="54" t="n">
        <v>99.49</v>
      </c>
      <c r="G69" s="55"/>
      <c r="H69" s="56" t="str">
        <f aca="false">IF(ISBLANK(G69),"",IF(ISNUMBER(F69),ROUND(F69*G69,2),"Укажите цену"))</f>
        <v/>
      </c>
      <c r="I69" s="57" t="n">
        <v>78</v>
      </c>
      <c r="J69" s="57" t="n">
        <v>11.29</v>
      </c>
      <c r="K69" s="57" t="s">
        <v>1176</v>
      </c>
      <c r="L69" s="57" t="n">
        <v>20</v>
      </c>
      <c r="M69" s="57" t="s">
        <v>640</v>
      </c>
      <c r="N69" s="57" t="n">
        <v>120</v>
      </c>
      <c r="O69" s="57" t="s">
        <v>641</v>
      </c>
      <c r="P69" s="58" t="n">
        <v>0.074</v>
      </c>
      <c r="Q69" s="68" t="s">
        <v>1204</v>
      </c>
      <c r="R69" s="77" t="s">
        <v>1205</v>
      </c>
      <c r="S69" s="60" t="s">
        <v>1195</v>
      </c>
      <c r="T69" s="61"/>
    </row>
    <row r="70" s="34" customFormat="true" ht="60" hidden="false" customHeight="true" outlineLevel="2" collapsed="false">
      <c r="A70" s="63"/>
      <c r="B70" s="57"/>
      <c r="C70" s="57"/>
      <c r="D70" s="53" t="s">
        <v>1206</v>
      </c>
      <c r="E70" s="53" t="s">
        <v>103</v>
      </c>
      <c r="F70" s="54" t="n">
        <v>99.49</v>
      </c>
      <c r="G70" s="55"/>
      <c r="H70" s="56" t="str">
        <f aca="false">IF(ISBLANK(G70),"",IF(ISNUMBER(F70),ROUND(F70*G70,2),"Укажите цену"))</f>
        <v/>
      </c>
      <c r="I70" s="57"/>
      <c r="J70" s="57"/>
      <c r="K70" s="57"/>
      <c r="L70" s="57"/>
      <c r="M70" s="57"/>
      <c r="N70" s="57"/>
      <c r="O70" s="57"/>
      <c r="P70" s="58"/>
      <c r="Q70" s="68"/>
      <c r="R70" s="77"/>
      <c r="S70" s="60"/>
      <c r="T70" s="61"/>
    </row>
    <row r="71" s="34" customFormat="true" ht="60" hidden="false" customHeight="true" outlineLevel="2" collapsed="false">
      <c r="A71" s="63" t="s">
        <v>1207</v>
      </c>
      <c r="B71" s="57"/>
      <c r="C71" s="57"/>
      <c r="D71" s="53" t="s">
        <v>1208</v>
      </c>
      <c r="E71" s="53" t="s">
        <v>89</v>
      </c>
      <c r="F71" s="54" t="n">
        <v>106.01</v>
      </c>
      <c r="G71" s="55"/>
      <c r="H71" s="56" t="str">
        <f aca="false">IF(ISBLANK(G71),"",IF(ISNUMBER(F71),ROUND(F71*G71,2),"Укажите цену"))</f>
        <v/>
      </c>
      <c r="I71" s="57" t="n">
        <v>77</v>
      </c>
      <c r="J71" s="57" t="n">
        <v>11.21</v>
      </c>
      <c r="K71" s="57" t="s">
        <v>1176</v>
      </c>
      <c r="L71" s="57" t="n">
        <v>20</v>
      </c>
      <c r="M71" s="57" t="s">
        <v>640</v>
      </c>
      <c r="N71" s="57" t="n">
        <v>120</v>
      </c>
      <c r="O71" s="57" t="s">
        <v>641</v>
      </c>
      <c r="P71" s="58" t="n">
        <v>0.074</v>
      </c>
      <c r="Q71" s="68" t="s">
        <v>1209</v>
      </c>
      <c r="R71" s="77" t="s">
        <v>1210</v>
      </c>
      <c r="S71" s="60" t="s">
        <v>1195</v>
      </c>
      <c r="T71" s="61"/>
    </row>
    <row r="72" s="34" customFormat="true" ht="60" hidden="false" customHeight="true" outlineLevel="2" collapsed="false">
      <c r="A72" s="63"/>
      <c r="B72" s="57"/>
      <c r="C72" s="57"/>
      <c r="D72" s="53" t="s">
        <v>1211</v>
      </c>
      <c r="E72" s="53" t="s">
        <v>103</v>
      </c>
      <c r="F72" s="54" t="n">
        <v>106.01</v>
      </c>
      <c r="G72" s="55"/>
      <c r="H72" s="56" t="str">
        <f aca="false">IF(ISBLANK(G72),"",IF(ISNUMBER(F72),ROUND(F72*G72,2),"Укажите цену"))</f>
        <v/>
      </c>
      <c r="I72" s="57"/>
      <c r="J72" s="57"/>
      <c r="K72" s="57"/>
      <c r="L72" s="57"/>
      <c r="M72" s="57"/>
      <c r="N72" s="57"/>
      <c r="O72" s="57"/>
      <c r="P72" s="58"/>
      <c r="Q72" s="68"/>
      <c r="R72" s="77"/>
      <c r="S72" s="60"/>
      <c r="T72" s="61"/>
    </row>
    <row r="73" s="70" customFormat="true" ht="115" hidden="false" customHeight="true" outlineLevel="2" collapsed="false">
      <c r="A73" s="51" t="s">
        <v>1212</v>
      </c>
      <c r="B73" s="57"/>
      <c r="C73" s="57"/>
      <c r="D73" s="53" t="s">
        <v>1213</v>
      </c>
      <c r="E73" s="53" t="s">
        <v>103</v>
      </c>
      <c r="F73" s="54" t="n">
        <v>274</v>
      </c>
      <c r="G73" s="55"/>
      <c r="H73" s="56" t="str">
        <f aca="false">IF(ISBLANK(G73),"",IF(ISNUMBER(F73),ROUND(F73*G73,2),"Укажите цену"))</f>
        <v/>
      </c>
      <c r="I73" s="57" t="n">
        <v>61</v>
      </c>
      <c r="J73" s="57" t="n">
        <v>20.6</v>
      </c>
      <c r="K73" s="57" t="s">
        <v>1214</v>
      </c>
      <c r="L73" s="57" t="n">
        <v>76</v>
      </c>
      <c r="M73" s="57" t="s">
        <v>284</v>
      </c>
      <c r="N73" s="57" t="n">
        <v>304</v>
      </c>
      <c r="O73" s="57" t="s">
        <v>1215</v>
      </c>
      <c r="P73" s="58" t="n">
        <v>0.107</v>
      </c>
      <c r="Q73" s="68" t="s">
        <v>1216</v>
      </c>
      <c r="R73" s="69" t="s">
        <v>1217</v>
      </c>
      <c r="S73" s="60" t="s">
        <v>96</v>
      </c>
      <c r="T73" s="61"/>
    </row>
    <row r="74" s="70" customFormat="true" ht="115" hidden="false" customHeight="true" outlineLevel="2" collapsed="false">
      <c r="A74" s="51" t="s">
        <v>1218</v>
      </c>
      <c r="B74" s="57"/>
      <c r="C74" s="57"/>
      <c r="D74" s="53" t="s">
        <v>1219</v>
      </c>
      <c r="E74" s="53" t="s">
        <v>103</v>
      </c>
      <c r="F74" s="54" t="n">
        <v>212.02</v>
      </c>
      <c r="G74" s="55"/>
      <c r="H74" s="56" t="str">
        <f aca="false">IF(ISBLANK(G74),"",IF(ISNUMBER(F74),ROUND(F74*G74,2),"Укажите цену"))</f>
        <v/>
      </c>
      <c r="I74" s="57" t="n">
        <v>55</v>
      </c>
      <c r="J74" s="57" t="n">
        <v>18.6</v>
      </c>
      <c r="K74" s="57" t="s">
        <v>1214</v>
      </c>
      <c r="L74" s="57" t="n">
        <v>76</v>
      </c>
      <c r="M74" s="57" t="s">
        <v>284</v>
      </c>
      <c r="N74" s="57" t="n">
        <v>304</v>
      </c>
      <c r="O74" s="57" t="s">
        <v>1215</v>
      </c>
      <c r="P74" s="58" t="n">
        <v>0.107</v>
      </c>
      <c r="Q74" s="68" t="s">
        <v>1220</v>
      </c>
      <c r="R74" s="69" t="s">
        <v>1221</v>
      </c>
      <c r="S74" s="60" t="s">
        <v>96</v>
      </c>
      <c r="T74" s="61"/>
    </row>
    <row r="75" s="70" customFormat="true" ht="115" hidden="false" customHeight="true" outlineLevel="2" collapsed="false">
      <c r="A75" s="51" t="s">
        <v>1222</v>
      </c>
      <c r="B75" s="57"/>
      <c r="C75" s="57"/>
      <c r="D75" s="53" t="s">
        <v>1223</v>
      </c>
      <c r="E75" s="53" t="s">
        <v>103</v>
      </c>
      <c r="F75" s="54" t="n">
        <v>148.42</v>
      </c>
      <c r="G75" s="55"/>
      <c r="H75" s="56" t="str">
        <f aca="false">IF(ISBLANK(G75),"",IF(ISNUMBER(F75),ROUND(F75*G75,2),"Укажите цену"))</f>
        <v/>
      </c>
      <c r="I75" s="57" t="n">
        <v>53</v>
      </c>
      <c r="J75" s="57" t="n">
        <v>18.3</v>
      </c>
      <c r="K75" s="57" t="s">
        <v>1214</v>
      </c>
      <c r="L75" s="57" t="n">
        <v>76</v>
      </c>
      <c r="M75" s="57" t="s">
        <v>284</v>
      </c>
      <c r="N75" s="57" t="n">
        <v>304</v>
      </c>
      <c r="O75" s="57" t="s">
        <v>1215</v>
      </c>
      <c r="P75" s="58" t="n">
        <v>0.107</v>
      </c>
      <c r="Q75" s="68" t="s">
        <v>1224</v>
      </c>
      <c r="R75" s="69" t="s">
        <v>1225</v>
      </c>
      <c r="S75" s="60" t="s">
        <v>96</v>
      </c>
      <c r="T75" s="61"/>
    </row>
    <row r="76" s="70" customFormat="true" ht="115" hidden="false" customHeight="true" outlineLevel="2" collapsed="false">
      <c r="A76" s="51" t="s">
        <v>1226</v>
      </c>
      <c r="B76" s="57"/>
      <c r="C76" s="57"/>
      <c r="D76" s="53" t="s">
        <v>1227</v>
      </c>
      <c r="E76" s="53" t="s">
        <v>103</v>
      </c>
      <c r="F76" s="54" t="n">
        <v>143.52</v>
      </c>
      <c r="G76" s="55"/>
      <c r="H76" s="56" t="str">
        <f aca="false">IF(ISBLANK(G76),"",IF(ISNUMBER(F76),ROUND(F76*G76,2),"Укажите цену"))</f>
        <v/>
      </c>
      <c r="I76" s="57" t="n">
        <v>52</v>
      </c>
      <c r="J76" s="57" t="n">
        <v>18.1</v>
      </c>
      <c r="K76" s="57" t="s">
        <v>1214</v>
      </c>
      <c r="L76" s="57" t="n">
        <v>76</v>
      </c>
      <c r="M76" s="57" t="s">
        <v>284</v>
      </c>
      <c r="N76" s="57" t="n">
        <v>304</v>
      </c>
      <c r="O76" s="57" t="s">
        <v>1215</v>
      </c>
      <c r="P76" s="58" t="n">
        <v>0.107</v>
      </c>
      <c r="Q76" s="68" t="s">
        <v>1228</v>
      </c>
      <c r="R76" s="69" t="s">
        <v>1229</v>
      </c>
      <c r="S76" s="71" t="s">
        <v>1230</v>
      </c>
      <c r="T76" s="61"/>
    </row>
    <row r="77" s="70" customFormat="true" ht="115" hidden="false" customHeight="true" outlineLevel="2" collapsed="false">
      <c r="A77" s="51" t="s">
        <v>1231</v>
      </c>
      <c r="B77" s="57"/>
      <c r="C77" s="57"/>
      <c r="D77" s="53" t="s">
        <v>1232</v>
      </c>
      <c r="E77" s="53" t="s">
        <v>103</v>
      </c>
      <c r="F77" s="54" t="n">
        <v>164.73</v>
      </c>
      <c r="G77" s="55"/>
      <c r="H77" s="56" t="str">
        <f aca="false">IF(ISBLANK(G77),"",IF(ISNUMBER(F77),ROUND(F77*G77,2),"Укажите цену"))</f>
        <v/>
      </c>
      <c r="I77" s="57" t="n">
        <v>75</v>
      </c>
      <c r="J77" s="57" t="n">
        <v>18.3</v>
      </c>
      <c r="K77" s="57" t="s">
        <v>1233</v>
      </c>
      <c r="L77" s="57" t="n">
        <v>54</v>
      </c>
      <c r="M77" s="57" t="s">
        <v>284</v>
      </c>
      <c r="N77" s="57" t="n">
        <v>216</v>
      </c>
      <c r="O77" s="57" t="s">
        <v>1215</v>
      </c>
      <c r="P77" s="58" t="n">
        <v>0.107</v>
      </c>
      <c r="Q77" s="68" t="s">
        <v>1234</v>
      </c>
      <c r="R77" s="69" t="s">
        <v>1235</v>
      </c>
      <c r="S77" s="60" t="s">
        <v>96</v>
      </c>
      <c r="T77" s="61"/>
    </row>
    <row r="78" s="70" customFormat="true" ht="115" hidden="false" customHeight="true" outlineLevel="2" collapsed="false">
      <c r="A78" s="51" t="s">
        <v>1236</v>
      </c>
      <c r="B78" s="57"/>
      <c r="C78" s="57"/>
      <c r="D78" s="53" t="s">
        <v>1237</v>
      </c>
      <c r="E78" s="53" t="s">
        <v>103</v>
      </c>
      <c r="F78" s="54" t="n">
        <v>171.25</v>
      </c>
      <c r="G78" s="55"/>
      <c r="H78" s="56" t="str">
        <f aca="false">IF(ISBLANK(G78),"",IF(ISNUMBER(F78),ROUND(F78*G78,2),"Укажите цену"))</f>
        <v/>
      </c>
      <c r="I78" s="57" t="n">
        <v>75</v>
      </c>
      <c r="J78" s="57" t="n">
        <v>18.3</v>
      </c>
      <c r="K78" s="57" t="s">
        <v>1233</v>
      </c>
      <c r="L78" s="57" t="n">
        <v>54</v>
      </c>
      <c r="M78" s="57" t="s">
        <v>284</v>
      </c>
      <c r="N78" s="57" t="n">
        <v>216</v>
      </c>
      <c r="O78" s="57" t="s">
        <v>1215</v>
      </c>
      <c r="P78" s="58" t="n">
        <v>0.107</v>
      </c>
      <c r="Q78" s="68" t="s">
        <v>1238</v>
      </c>
      <c r="R78" s="69" t="s">
        <v>1239</v>
      </c>
      <c r="S78" s="60" t="s">
        <v>96</v>
      </c>
      <c r="T78" s="61"/>
    </row>
    <row r="79" s="70" customFormat="true" ht="115" hidden="false" customHeight="true" outlineLevel="2" collapsed="false">
      <c r="A79" s="51" t="s">
        <v>1240</v>
      </c>
      <c r="B79" s="57"/>
      <c r="C79" s="57"/>
      <c r="D79" s="53" t="s">
        <v>1241</v>
      </c>
      <c r="E79" s="53" t="s">
        <v>103</v>
      </c>
      <c r="F79" s="54" t="n">
        <v>110.9</v>
      </c>
      <c r="G79" s="55"/>
      <c r="H79" s="56" t="str">
        <f aca="false">IF(ISBLANK(G79),"",IF(ISNUMBER(F79),ROUND(F79*G79,2),"Укажите цену"))</f>
        <v/>
      </c>
      <c r="I79" s="57" t="n">
        <v>47</v>
      </c>
      <c r="J79" s="57" t="n">
        <v>16.7</v>
      </c>
      <c r="K79" s="57" t="s">
        <v>1214</v>
      </c>
      <c r="L79" s="57" t="n">
        <v>76</v>
      </c>
      <c r="M79" s="57" t="s">
        <v>284</v>
      </c>
      <c r="N79" s="57" t="n">
        <v>304</v>
      </c>
      <c r="O79" s="57" t="s">
        <v>1215</v>
      </c>
      <c r="P79" s="58" t="n">
        <v>0.107</v>
      </c>
      <c r="Q79" s="68" t="s">
        <v>1242</v>
      </c>
      <c r="R79" s="69" t="s">
        <v>1243</v>
      </c>
      <c r="S79" s="60" t="s">
        <v>96</v>
      </c>
      <c r="T79" s="61"/>
    </row>
    <row r="80" s="4" customFormat="true" ht="5.25" hidden="false" customHeight="true" outlineLevel="2" collapsed="false">
      <c r="A80" s="135"/>
      <c r="B80" s="135"/>
      <c r="C80" s="135"/>
      <c r="D80" s="135"/>
      <c r="E80" s="135"/>
      <c r="F80" s="135"/>
      <c r="G80" s="135"/>
      <c r="H80" s="135"/>
      <c r="I80" s="135"/>
      <c r="J80" s="135"/>
      <c r="K80" s="135"/>
      <c r="L80" s="135"/>
      <c r="M80" s="135"/>
      <c r="N80" s="135"/>
      <c r="O80" s="135"/>
      <c r="P80" s="135"/>
      <c r="Q80" s="135"/>
      <c r="R80" s="135"/>
      <c r="S80" s="136"/>
      <c r="T80" s="61"/>
    </row>
    <row r="81" s="50" customFormat="true" ht="27" hidden="false" customHeight="true" outlineLevel="1" collapsed="false">
      <c r="A81" s="49" t="s">
        <v>1244</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c r="DA81" s="49"/>
      <c r="DB81" s="49"/>
      <c r="DC81" s="49"/>
      <c r="DD81" s="49"/>
      <c r="DE81" s="49"/>
      <c r="DF81" s="49"/>
      <c r="DG81" s="49"/>
      <c r="DH81" s="49"/>
      <c r="DI81" s="49"/>
      <c r="DJ81" s="49"/>
      <c r="DK81" s="49"/>
      <c r="DL81" s="49"/>
      <c r="DM81" s="49"/>
      <c r="DN81" s="49"/>
      <c r="DO81" s="49"/>
      <c r="DP81" s="49"/>
      <c r="DQ81" s="49"/>
      <c r="DR81" s="49"/>
      <c r="DS81" s="49"/>
      <c r="DT81" s="49"/>
      <c r="DU81" s="49"/>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49"/>
      <c r="HW81" s="49"/>
      <c r="HX81" s="49"/>
      <c r="HY81" s="49"/>
      <c r="HZ81" s="49"/>
      <c r="IA81" s="49"/>
      <c r="IB81" s="49"/>
      <c r="IC81" s="49"/>
      <c r="ID81" s="49"/>
      <c r="IE81" s="49"/>
      <c r="IF81" s="49"/>
      <c r="IG81" s="49"/>
      <c r="IH81" s="49"/>
      <c r="II81" s="49"/>
      <c r="IJ81" s="49"/>
      <c r="IK81" s="49"/>
      <c r="IL81" s="49"/>
      <c r="IM81" s="49"/>
      <c r="IN81" s="49"/>
      <c r="IO81" s="49"/>
      <c r="IP81" s="49"/>
      <c r="IQ81" s="49"/>
      <c r="IR81" s="49"/>
      <c r="IS81" s="49"/>
      <c r="IT81" s="49"/>
      <c r="IU81" s="49"/>
      <c r="IV81" s="49"/>
      <c r="IW81" s="49"/>
    </row>
    <row r="82" s="62" customFormat="true" ht="115" hidden="false" customHeight="true" outlineLevel="2" collapsed="false">
      <c r="A82" s="51" t="s">
        <v>1245</v>
      </c>
      <c r="B82" s="52"/>
      <c r="C82" s="57"/>
      <c r="D82" s="53" t="s">
        <v>1246</v>
      </c>
      <c r="E82" s="53" t="s">
        <v>103</v>
      </c>
      <c r="F82" s="54" t="n">
        <v>212.02</v>
      </c>
      <c r="G82" s="55"/>
      <c r="H82" s="56" t="str">
        <f aca="false">IF(ISBLANK(G82),"",IF(ISNUMBER(F82),ROUND(F82*G82,2),"Укажите цену"))</f>
        <v/>
      </c>
      <c r="I82" s="57" t="n">
        <v>79</v>
      </c>
      <c r="J82" s="26" t="n">
        <v>11.73</v>
      </c>
      <c r="K82" s="57" t="s">
        <v>1247</v>
      </c>
      <c r="L82" s="57" t="n">
        <v>20</v>
      </c>
      <c r="M82" s="57" t="s">
        <v>640</v>
      </c>
      <c r="N82" s="57" t="n">
        <v>120</v>
      </c>
      <c r="O82" s="57" t="s">
        <v>641</v>
      </c>
      <c r="P82" s="58" t="n">
        <v>0.0744208</v>
      </c>
      <c r="Q82" s="68" t="s">
        <v>1248</v>
      </c>
      <c r="R82" s="125" t="s">
        <v>1249</v>
      </c>
      <c r="S82" s="60" t="s">
        <v>96</v>
      </c>
      <c r="T82" s="87"/>
      <c r="U82" s="61"/>
      <c r="V82" s="61"/>
      <c r="W82" s="61"/>
      <c r="X82" s="61"/>
      <c r="Y82" s="61"/>
      <c r="Z82" s="61"/>
    </row>
    <row r="83" s="62" customFormat="true" ht="115" hidden="false" customHeight="true" outlineLevel="2" collapsed="false">
      <c r="A83" s="51" t="s">
        <v>1250</v>
      </c>
      <c r="B83" s="52"/>
      <c r="C83" s="57"/>
      <c r="D83" s="53" t="s">
        <v>1251</v>
      </c>
      <c r="E83" s="53" t="s">
        <v>103</v>
      </c>
      <c r="F83" s="54" t="n">
        <v>252.8</v>
      </c>
      <c r="G83" s="55"/>
      <c r="H83" s="56" t="str">
        <f aca="false">IF(ISBLANK(G83),"",IF(ISNUMBER(F83),ROUND(F83*G83,2),"Укажите цену"))</f>
        <v/>
      </c>
      <c r="I83" s="57" t="n">
        <v>107</v>
      </c>
      <c r="J83" s="26" t="n">
        <v>14.76</v>
      </c>
      <c r="K83" s="57" t="s">
        <v>1247</v>
      </c>
      <c r="L83" s="57" t="n">
        <v>20</v>
      </c>
      <c r="M83" s="57" t="s">
        <v>640</v>
      </c>
      <c r="N83" s="57" t="n">
        <v>120</v>
      </c>
      <c r="O83" s="57" t="s">
        <v>641</v>
      </c>
      <c r="P83" s="58" t="n">
        <v>0.074</v>
      </c>
      <c r="Q83" s="68" t="s">
        <v>1252</v>
      </c>
      <c r="R83" s="125" t="s">
        <v>1253</v>
      </c>
      <c r="S83" s="60" t="s">
        <v>96</v>
      </c>
      <c r="T83" s="87"/>
      <c r="U83" s="61"/>
      <c r="V83" s="61"/>
      <c r="W83" s="61"/>
      <c r="X83" s="61"/>
      <c r="Y83" s="61"/>
      <c r="Z83" s="61"/>
    </row>
    <row r="84" s="62" customFormat="true" ht="115" hidden="false" customHeight="true" outlineLevel="2" collapsed="false">
      <c r="A84" s="51" t="s">
        <v>1254</v>
      </c>
      <c r="B84" s="52"/>
      <c r="C84" s="57"/>
      <c r="D84" s="53" t="s">
        <v>1255</v>
      </c>
      <c r="E84" s="53" t="s">
        <v>103</v>
      </c>
      <c r="F84" s="54" t="n">
        <v>208.76</v>
      </c>
      <c r="G84" s="55"/>
      <c r="H84" s="56" t="str">
        <f aca="false">IF(ISBLANK(G84),"",IF(ISNUMBER(F84),ROUND(F84*G84,2),"Укажите цену"))</f>
        <v/>
      </c>
      <c r="I84" s="57" t="n">
        <v>70</v>
      </c>
      <c r="J84" s="26" t="n">
        <v>10.53</v>
      </c>
      <c r="K84" s="57" t="s">
        <v>1247</v>
      </c>
      <c r="L84" s="57" t="n">
        <v>20</v>
      </c>
      <c r="M84" s="57" t="s">
        <v>640</v>
      </c>
      <c r="N84" s="57" t="n">
        <v>120</v>
      </c>
      <c r="O84" s="57" t="s">
        <v>641</v>
      </c>
      <c r="P84" s="58" t="n">
        <v>0.074</v>
      </c>
      <c r="Q84" s="68" t="s">
        <v>1256</v>
      </c>
      <c r="R84" s="125" t="s">
        <v>1257</v>
      </c>
      <c r="S84" s="60" t="s">
        <v>96</v>
      </c>
      <c r="T84" s="87"/>
      <c r="U84" s="61"/>
      <c r="V84" s="61"/>
      <c r="W84" s="61"/>
      <c r="X84" s="61"/>
      <c r="Y84" s="61"/>
      <c r="Z84" s="61"/>
    </row>
    <row r="85" s="62" customFormat="true" ht="115" hidden="false" customHeight="true" outlineLevel="2" collapsed="false">
      <c r="A85" s="51" t="s">
        <v>1258</v>
      </c>
      <c r="B85" s="52"/>
      <c r="C85" s="57"/>
      <c r="D85" s="53" t="s">
        <v>1259</v>
      </c>
      <c r="E85" s="53" t="s">
        <v>103</v>
      </c>
      <c r="F85" s="54" t="n">
        <v>247.9</v>
      </c>
      <c r="G85" s="55"/>
      <c r="H85" s="56" t="str">
        <f aca="false">IF(ISBLANK(G85),"",IF(ISNUMBER(F85),ROUND(F85*G85,2),"Укажите цену"))</f>
        <v/>
      </c>
      <c r="I85" s="57" t="n">
        <v>97</v>
      </c>
      <c r="J85" s="26" t="n">
        <v>13.64</v>
      </c>
      <c r="K85" s="57" t="s">
        <v>1247</v>
      </c>
      <c r="L85" s="57" t="n">
        <v>20</v>
      </c>
      <c r="M85" s="57" t="s">
        <v>640</v>
      </c>
      <c r="N85" s="57" t="n">
        <v>120</v>
      </c>
      <c r="O85" s="57" t="s">
        <v>641</v>
      </c>
      <c r="P85" s="58" t="n">
        <v>0.074</v>
      </c>
      <c r="Q85" s="68" t="s">
        <v>1260</v>
      </c>
      <c r="R85" s="125" t="s">
        <v>1261</v>
      </c>
      <c r="S85" s="60" t="s">
        <v>96</v>
      </c>
      <c r="T85" s="87"/>
      <c r="U85" s="61"/>
      <c r="V85" s="61"/>
      <c r="W85" s="61"/>
      <c r="X85" s="61"/>
      <c r="Y85" s="61"/>
      <c r="Z85" s="61"/>
    </row>
    <row r="86" s="34" customFormat="true" ht="115" hidden="false" customHeight="true" outlineLevel="2" collapsed="false">
      <c r="A86" s="51" t="s">
        <v>1262</v>
      </c>
      <c r="B86" s="57"/>
      <c r="C86" s="57"/>
      <c r="D86" s="53" t="s">
        <v>1263</v>
      </c>
      <c r="E86" s="53" t="s">
        <v>103</v>
      </c>
      <c r="F86" s="54" t="n">
        <v>104.38</v>
      </c>
      <c r="G86" s="55"/>
      <c r="H86" s="56" t="str">
        <f aca="false">IF(ISBLANK(G86),"",IF(ISNUMBER(F86),ROUND(F86*G86,2),"Укажите цену"))</f>
        <v/>
      </c>
      <c r="I86" s="57" t="n">
        <v>48</v>
      </c>
      <c r="J86" s="57" t="n">
        <v>16.52</v>
      </c>
      <c r="K86" s="57" t="s">
        <v>1264</v>
      </c>
      <c r="L86" s="57" t="n">
        <v>50</v>
      </c>
      <c r="M86" s="57" t="s">
        <v>640</v>
      </c>
      <c r="N86" s="57" t="n">
        <v>300</v>
      </c>
      <c r="O86" s="57" t="s">
        <v>641</v>
      </c>
      <c r="P86" s="58" t="n">
        <v>0.074</v>
      </c>
      <c r="Q86" s="92" t="s">
        <v>1265</v>
      </c>
      <c r="R86" s="93" t="s">
        <v>1266</v>
      </c>
      <c r="S86" s="60" t="s">
        <v>96</v>
      </c>
      <c r="T86" s="61"/>
    </row>
    <row r="87" s="34" customFormat="true" ht="115" hidden="false" customHeight="true" outlineLevel="2" collapsed="false">
      <c r="A87" s="51" t="s">
        <v>1267</v>
      </c>
      <c r="B87" s="57"/>
      <c r="C87" s="57"/>
      <c r="D87" s="53" t="s">
        <v>1268</v>
      </c>
      <c r="E87" s="53" t="s">
        <v>103</v>
      </c>
      <c r="F87" s="54" t="n">
        <v>143.52</v>
      </c>
      <c r="G87" s="55"/>
      <c r="H87" s="56" t="str">
        <f aca="false">IF(ISBLANK(G87),"",IF(ISNUMBER(F87),ROUND(F87*G87,2),"Укажите цену"))</f>
        <v/>
      </c>
      <c r="I87" s="57" t="n">
        <v>75</v>
      </c>
      <c r="J87" s="57" t="n">
        <v>24.36</v>
      </c>
      <c r="K87" s="57" t="s">
        <v>1264</v>
      </c>
      <c r="L87" s="57" t="n">
        <v>50</v>
      </c>
      <c r="M87" s="57" t="s">
        <v>640</v>
      </c>
      <c r="N87" s="57" t="n">
        <v>300</v>
      </c>
      <c r="O87" s="57" t="s">
        <v>641</v>
      </c>
      <c r="P87" s="58" t="n">
        <v>0.074</v>
      </c>
      <c r="Q87" s="92" t="s">
        <v>1269</v>
      </c>
      <c r="R87" s="93" t="s">
        <v>1270</v>
      </c>
      <c r="S87" s="60" t="s">
        <v>96</v>
      </c>
      <c r="T87" s="61"/>
    </row>
    <row r="88" s="34" customFormat="true" ht="115" hidden="false" customHeight="true" outlineLevel="2" collapsed="false">
      <c r="A88" s="51" t="s">
        <v>1271</v>
      </c>
      <c r="B88" s="57"/>
      <c r="C88" s="57"/>
      <c r="D88" s="53" t="s">
        <v>1272</v>
      </c>
      <c r="E88" s="53" t="s">
        <v>103</v>
      </c>
      <c r="F88" s="54" t="n">
        <v>94.59</v>
      </c>
      <c r="G88" s="55"/>
      <c r="H88" s="56" t="str">
        <f aca="false">IF(ISBLANK(G88),"",IF(ISNUMBER(F88),ROUND(F88*G88,2),"Укажите цену"))</f>
        <v/>
      </c>
      <c r="I88" s="57" t="n">
        <v>42</v>
      </c>
      <c r="J88" s="57" t="n">
        <v>14.63</v>
      </c>
      <c r="K88" s="57" t="s">
        <v>1273</v>
      </c>
      <c r="L88" s="57" t="n">
        <v>50</v>
      </c>
      <c r="M88" s="57" t="s">
        <v>640</v>
      </c>
      <c r="N88" s="57" t="n">
        <v>300</v>
      </c>
      <c r="O88" s="57" t="s">
        <v>641</v>
      </c>
      <c r="P88" s="58" t="n">
        <v>0.074</v>
      </c>
      <c r="Q88" s="92" t="s">
        <v>1274</v>
      </c>
      <c r="R88" s="93" t="s">
        <v>1275</v>
      </c>
      <c r="S88" s="60" t="s">
        <v>96</v>
      </c>
      <c r="T88" s="61"/>
    </row>
    <row r="89" s="34" customFormat="true" ht="115" hidden="false" customHeight="true" outlineLevel="2" collapsed="false">
      <c r="A89" s="51" t="s">
        <v>1276</v>
      </c>
      <c r="B89" s="57"/>
      <c r="C89" s="57"/>
      <c r="D89" s="53" t="s">
        <v>1277</v>
      </c>
      <c r="E89" s="53" t="s">
        <v>103</v>
      </c>
      <c r="F89" s="54" t="n">
        <v>119.06</v>
      </c>
      <c r="G89" s="55"/>
      <c r="H89" s="56" t="str">
        <f aca="false">IF(ISBLANK(G89),"",IF(ISNUMBER(F89),ROUND(F89*G89,2),"Укажите цену"))</f>
        <v/>
      </c>
      <c r="I89" s="57" t="n">
        <v>70</v>
      </c>
      <c r="J89" s="57" t="n">
        <v>23.07</v>
      </c>
      <c r="K89" s="57" t="s">
        <v>1273</v>
      </c>
      <c r="L89" s="57" t="n">
        <v>50</v>
      </c>
      <c r="M89" s="57" t="s">
        <v>640</v>
      </c>
      <c r="N89" s="57" t="n">
        <v>300</v>
      </c>
      <c r="O89" s="57" t="s">
        <v>641</v>
      </c>
      <c r="P89" s="58" t="n">
        <v>0.074</v>
      </c>
      <c r="Q89" s="92" t="s">
        <v>1278</v>
      </c>
      <c r="R89" s="93" t="s">
        <v>1279</v>
      </c>
      <c r="S89" s="60" t="s">
        <v>96</v>
      </c>
      <c r="T89" s="61"/>
    </row>
    <row r="90" s="34" customFormat="true" ht="115" hidden="false" customHeight="true" outlineLevel="2" collapsed="false">
      <c r="A90" s="51" t="s">
        <v>1280</v>
      </c>
      <c r="B90" s="57"/>
      <c r="C90" s="57"/>
      <c r="D90" s="53" t="s">
        <v>1281</v>
      </c>
      <c r="E90" s="53" t="s">
        <v>221</v>
      </c>
      <c r="F90" s="54" t="n">
        <v>122.32</v>
      </c>
      <c r="G90" s="55"/>
      <c r="H90" s="56" t="str">
        <f aca="false">IF(ISBLANK(G90),"",IF(ISNUMBER(F90),ROUND(F90*G90,2),"Укажите цену"))</f>
        <v/>
      </c>
      <c r="I90" s="57" t="n">
        <v>70</v>
      </c>
      <c r="J90" s="57" t="n">
        <v>22.95</v>
      </c>
      <c r="K90" s="57" t="s">
        <v>1273</v>
      </c>
      <c r="L90" s="57" t="n">
        <v>50</v>
      </c>
      <c r="M90" s="57" t="s">
        <v>640</v>
      </c>
      <c r="N90" s="57" t="n">
        <v>300</v>
      </c>
      <c r="O90" s="57" t="s">
        <v>641</v>
      </c>
      <c r="P90" s="58" t="n">
        <v>0.074</v>
      </c>
      <c r="Q90" s="92" t="s">
        <v>1282</v>
      </c>
      <c r="R90" s="93" t="s">
        <v>1283</v>
      </c>
      <c r="S90" s="60" t="s">
        <v>96</v>
      </c>
      <c r="T90" s="61"/>
    </row>
    <row r="91" s="34" customFormat="true" ht="115" hidden="false" customHeight="true" outlineLevel="2" collapsed="false">
      <c r="A91" s="51" t="s">
        <v>1284</v>
      </c>
      <c r="B91" s="57"/>
      <c r="C91" s="57"/>
      <c r="D91" s="53" t="s">
        <v>1285</v>
      </c>
      <c r="E91" s="53" t="s">
        <v>103</v>
      </c>
      <c r="F91" s="54" t="n">
        <v>60.34</v>
      </c>
      <c r="G91" s="55"/>
      <c r="H91" s="56" t="str">
        <f aca="false">IF(ISBLANK(G91),"",IF(ISNUMBER(F91),ROUND(F91*G91,2),"Укажите цену"))</f>
        <v/>
      </c>
      <c r="I91" s="57" t="n">
        <v>41</v>
      </c>
      <c r="J91" s="57" t="n">
        <v>14.3</v>
      </c>
      <c r="K91" s="57" t="s">
        <v>1286</v>
      </c>
      <c r="L91" s="57" t="n">
        <v>50</v>
      </c>
      <c r="M91" s="57" t="s">
        <v>640</v>
      </c>
      <c r="N91" s="57" t="n">
        <v>300</v>
      </c>
      <c r="O91" s="57" t="s">
        <v>641</v>
      </c>
      <c r="P91" s="58" t="n">
        <v>0.074</v>
      </c>
      <c r="Q91" s="68" t="s">
        <v>1287</v>
      </c>
      <c r="R91" s="93" t="s">
        <v>1288</v>
      </c>
      <c r="S91" s="60" t="s">
        <v>96</v>
      </c>
      <c r="T91" s="61"/>
    </row>
    <row r="92" s="34" customFormat="true" ht="115" hidden="false" customHeight="true" outlineLevel="2" collapsed="false">
      <c r="A92" s="51" t="s">
        <v>1289</v>
      </c>
      <c r="B92" s="57"/>
      <c r="C92" s="57"/>
      <c r="D92" s="53" t="s">
        <v>1290</v>
      </c>
      <c r="E92" s="53" t="s">
        <v>103</v>
      </c>
      <c r="F92" s="54" t="n">
        <v>83.18</v>
      </c>
      <c r="G92" s="55"/>
      <c r="H92" s="56" t="str">
        <f aca="false">IF(ISBLANK(G92),"",IF(ISNUMBER(F92),ROUND(F92*G92,2),"Укажите цену"))</f>
        <v/>
      </c>
      <c r="I92" s="57" t="n">
        <v>69</v>
      </c>
      <c r="J92" s="57" t="n">
        <v>22.61</v>
      </c>
      <c r="K92" s="57" t="s">
        <v>1286</v>
      </c>
      <c r="L92" s="57" t="n">
        <v>50</v>
      </c>
      <c r="M92" s="57" t="s">
        <v>640</v>
      </c>
      <c r="N92" s="57" t="n">
        <v>300</v>
      </c>
      <c r="O92" s="57" t="s">
        <v>641</v>
      </c>
      <c r="P92" s="58" t="n">
        <v>0.074</v>
      </c>
      <c r="Q92" s="68" t="s">
        <v>1291</v>
      </c>
      <c r="R92" s="93" t="s">
        <v>1292</v>
      </c>
      <c r="S92" s="60" t="s">
        <v>96</v>
      </c>
      <c r="T92" s="61"/>
    </row>
    <row r="93" s="34" customFormat="true" ht="115" hidden="false" customHeight="true" outlineLevel="2" collapsed="false">
      <c r="A93" s="51" t="s">
        <v>1293</v>
      </c>
      <c r="B93" s="57"/>
      <c r="C93" s="57"/>
      <c r="D93" s="53" t="s">
        <v>1294</v>
      </c>
      <c r="E93" s="53" t="s">
        <v>103</v>
      </c>
      <c r="F93" s="54" t="n">
        <v>88.07</v>
      </c>
      <c r="G93" s="55"/>
      <c r="H93" s="56" t="str">
        <f aca="false">IF(ISBLANK(G93),"",IF(ISNUMBER(F93),ROUND(F93*G93,2),"Укажите цену"))</f>
        <v/>
      </c>
      <c r="I93" s="57" t="n">
        <v>69</v>
      </c>
      <c r="J93" s="57" t="n">
        <v>22.68</v>
      </c>
      <c r="K93" s="57" t="s">
        <v>1286</v>
      </c>
      <c r="L93" s="57" t="n">
        <v>50</v>
      </c>
      <c r="M93" s="57" t="s">
        <v>640</v>
      </c>
      <c r="N93" s="57" t="n">
        <v>300</v>
      </c>
      <c r="O93" s="57" t="s">
        <v>641</v>
      </c>
      <c r="P93" s="58" t="n">
        <v>0.074</v>
      </c>
      <c r="Q93" s="68" t="s">
        <v>1295</v>
      </c>
      <c r="R93" s="93" t="s">
        <v>1296</v>
      </c>
      <c r="S93" s="60" t="s">
        <v>96</v>
      </c>
      <c r="T93" s="61"/>
    </row>
    <row r="94" s="34" customFormat="true" ht="115" hidden="false" customHeight="true" outlineLevel="2" collapsed="false">
      <c r="A94" s="51" t="s">
        <v>1297</v>
      </c>
      <c r="B94" s="57"/>
      <c r="C94" s="57"/>
      <c r="D94" s="53" t="s">
        <v>1298</v>
      </c>
      <c r="E94" s="53" t="s">
        <v>103</v>
      </c>
      <c r="F94" s="54" t="n">
        <v>350.65</v>
      </c>
      <c r="G94" s="55"/>
      <c r="H94" s="56" t="str">
        <f aca="false">IF(ISBLANK(G94),"",IF(ISNUMBER(F94),ROUND(F94*G94,2),"Укажите цену"))</f>
        <v/>
      </c>
      <c r="I94" s="57" t="n">
        <v>97</v>
      </c>
      <c r="J94" s="57" t="n">
        <v>20.02</v>
      </c>
      <c r="K94" s="57" t="s">
        <v>1299</v>
      </c>
      <c r="L94" s="57" t="n">
        <v>46</v>
      </c>
      <c r="M94" s="57" t="s">
        <v>284</v>
      </c>
      <c r="N94" s="57" t="n">
        <v>184</v>
      </c>
      <c r="O94" s="57" t="s">
        <v>696</v>
      </c>
      <c r="P94" s="58" t="n">
        <v>0.095</v>
      </c>
      <c r="Q94" s="68" t="s">
        <v>1300</v>
      </c>
      <c r="R94" s="69" t="s">
        <v>1301</v>
      </c>
      <c r="S94" s="60" t="s">
        <v>96</v>
      </c>
      <c r="T94" s="61"/>
    </row>
    <row r="95" s="34" customFormat="true" ht="115" hidden="false" customHeight="true" outlineLevel="2" collapsed="false">
      <c r="A95" s="51" t="s">
        <v>1302</v>
      </c>
      <c r="B95" s="57"/>
      <c r="C95" s="57"/>
      <c r="D95" s="53" t="s">
        <v>1303</v>
      </c>
      <c r="E95" s="53" t="s">
        <v>103</v>
      </c>
      <c r="F95" s="54" t="n">
        <v>391.43</v>
      </c>
      <c r="G95" s="55"/>
      <c r="H95" s="56" t="str">
        <f aca="false">IF(ISBLANK(G95),"",IF(ISNUMBER(F95),ROUND(F95*G95,2),"Укажите цену"))</f>
        <v/>
      </c>
      <c r="I95" s="57" t="n">
        <v>123</v>
      </c>
      <c r="J95" s="57" t="n">
        <v>24.74</v>
      </c>
      <c r="K95" s="57" t="s">
        <v>1299</v>
      </c>
      <c r="L95" s="57" t="n">
        <v>46</v>
      </c>
      <c r="M95" s="57" t="s">
        <v>284</v>
      </c>
      <c r="N95" s="57" t="n">
        <v>184</v>
      </c>
      <c r="O95" s="57" t="s">
        <v>696</v>
      </c>
      <c r="P95" s="58" t="n">
        <v>0.095</v>
      </c>
      <c r="Q95" s="68" t="s">
        <v>1304</v>
      </c>
      <c r="R95" s="93" t="s">
        <v>1305</v>
      </c>
      <c r="S95" s="60" t="s">
        <v>96</v>
      </c>
      <c r="T95" s="61"/>
    </row>
    <row r="96" s="34" customFormat="true" ht="115" hidden="false" customHeight="true" outlineLevel="2" collapsed="false">
      <c r="A96" s="51" t="s">
        <v>1306</v>
      </c>
      <c r="B96" s="57"/>
      <c r="C96" s="57"/>
      <c r="D96" s="53" t="s">
        <v>1307</v>
      </c>
      <c r="E96" s="53" t="s">
        <v>103</v>
      </c>
      <c r="F96" s="54" t="n">
        <v>203.87</v>
      </c>
      <c r="G96" s="55"/>
      <c r="H96" s="56" t="str">
        <f aca="false">IF(ISBLANK(G96),"",IF(ISNUMBER(F96),ROUND(F96*G96,2),"Укажите цену"))</f>
        <v/>
      </c>
      <c r="I96" s="57" t="n">
        <v>71</v>
      </c>
      <c r="J96" s="57" t="n">
        <v>10.62</v>
      </c>
      <c r="K96" s="57" t="s">
        <v>1066</v>
      </c>
      <c r="L96" s="57" t="n">
        <v>20</v>
      </c>
      <c r="M96" s="57" t="s">
        <v>640</v>
      </c>
      <c r="N96" s="57" t="n">
        <v>120</v>
      </c>
      <c r="O96" s="57" t="s">
        <v>641</v>
      </c>
      <c r="P96" s="58" t="n">
        <v>0.074</v>
      </c>
      <c r="Q96" s="119" t="s">
        <v>1308</v>
      </c>
      <c r="R96" s="93" t="s">
        <v>1309</v>
      </c>
      <c r="S96" s="60" t="s">
        <v>96</v>
      </c>
      <c r="T96" s="61"/>
    </row>
    <row r="97" s="34" customFormat="true" ht="115" hidden="false" customHeight="true" outlineLevel="2" collapsed="false">
      <c r="A97" s="51" t="s">
        <v>1310</v>
      </c>
      <c r="B97" s="57"/>
      <c r="C97" s="57"/>
      <c r="D97" s="53" t="s">
        <v>1311</v>
      </c>
      <c r="E97" s="53" t="s">
        <v>103</v>
      </c>
      <c r="F97" s="54" t="n">
        <v>260.95</v>
      </c>
      <c r="G97" s="55"/>
      <c r="H97" s="56" t="str">
        <f aca="false">IF(ISBLANK(G97),"",IF(ISNUMBER(F97),ROUND(F97*G97,2),"Укажите цену"))</f>
        <v/>
      </c>
      <c r="I97" s="57" t="n">
        <v>97</v>
      </c>
      <c r="J97" s="57" t="n">
        <v>13.84</v>
      </c>
      <c r="K97" s="57" t="s">
        <v>1066</v>
      </c>
      <c r="L97" s="57" t="n">
        <v>20</v>
      </c>
      <c r="M97" s="57" t="s">
        <v>640</v>
      </c>
      <c r="N97" s="57" t="n">
        <v>120</v>
      </c>
      <c r="O97" s="57" t="s">
        <v>641</v>
      </c>
      <c r="P97" s="58" t="n">
        <v>0.074</v>
      </c>
      <c r="Q97" s="119" t="s">
        <v>1312</v>
      </c>
      <c r="R97" s="93" t="s">
        <v>1313</v>
      </c>
      <c r="S97" s="60" t="s">
        <v>96</v>
      </c>
      <c r="T97" s="61"/>
    </row>
    <row r="98" s="34" customFormat="true" ht="115" hidden="false" customHeight="true" outlineLevel="2" collapsed="false">
      <c r="A98" s="51" t="s">
        <v>1314</v>
      </c>
      <c r="B98" s="57"/>
      <c r="C98" s="57"/>
      <c r="D98" s="53" t="s">
        <v>1315</v>
      </c>
      <c r="E98" s="53" t="s">
        <v>103</v>
      </c>
      <c r="F98" s="54" t="n">
        <v>236.49</v>
      </c>
      <c r="G98" s="55"/>
      <c r="H98" s="56" t="str">
        <f aca="false">IF(ISBLANK(G98),"",IF(ISNUMBER(F98),ROUND(F98*G98,2),"Укажите цену"))</f>
        <v/>
      </c>
      <c r="I98" s="57" t="n">
        <v>97</v>
      </c>
      <c r="J98" s="57" t="n">
        <v>13.71</v>
      </c>
      <c r="K98" s="57" t="s">
        <v>1066</v>
      </c>
      <c r="L98" s="57" t="n">
        <v>20</v>
      </c>
      <c r="M98" s="57" t="s">
        <v>640</v>
      </c>
      <c r="N98" s="57" t="n">
        <v>120</v>
      </c>
      <c r="O98" s="57" t="s">
        <v>641</v>
      </c>
      <c r="P98" s="58" t="n">
        <v>0.074</v>
      </c>
      <c r="Q98" s="119" t="s">
        <v>1316</v>
      </c>
      <c r="R98" s="93" t="s">
        <v>1317</v>
      </c>
      <c r="S98" s="60" t="s">
        <v>96</v>
      </c>
      <c r="T98" s="61"/>
    </row>
    <row r="99" s="34" customFormat="true" ht="115" hidden="false" customHeight="true" outlineLevel="2" collapsed="false">
      <c r="A99" s="51" t="s">
        <v>1318</v>
      </c>
      <c r="B99" s="57"/>
      <c r="C99" s="57"/>
      <c r="D99" s="53" t="s">
        <v>1319</v>
      </c>
      <c r="E99" s="53" t="s">
        <v>103</v>
      </c>
      <c r="F99" s="54" t="n">
        <v>187.56</v>
      </c>
      <c r="G99" s="55"/>
      <c r="H99" s="56" t="str">
        <f aca="false">IF(ISBLANK(G99),"",IF(ISNUMBER(F99),ROUND(F99*G99,2),"Укажите цену"))</f>
        <v/>
      </c>
      <c r="I99" s="57" t="n">
        <v>70</v>
      </c>
      <c r="J99" s="57" t="n">
        <v>10.49</v>
      </c>
      <c r="K99" s="57" t="s">
        <v>1066</v>
      </c>
      <c r="L99" s="57" t="n">
        <v>20</v>
      </c>
      <c r="M99" s="57" t="s">
        <v>640</v>
      </c>
      <c r="N99" s="57" t="n">
        <v>120</v>
      </c>
      <c r="O99" s="57" t="s">
        <v>641</v>
      </c>
      <c r="P99" s="58" t="n">
        <v>0.074</v>
      </c>
      <c r="Q99" s="119" t="s">
        <v>1320</v>
      </c>
      <c r="R99" s="93" t="s">
        <v>1321</v>
      </c>
      <c r="S99" s="60" t="s">
        <v>96</v>
      </c>
      <c r="T99" s="61"/>
    </row>
    <row r="100" s="34" customFormat="true" ht="115" hidden="false" customHeight="true" outlineLevel="2" collapsed="false">
      <c r="A100" s="51" t="s">
        <v>1322</v>
      </c>
      <c r="B100" s="57"/>
      <c r="C100" s="57"/>
      <c r="D100" s="53" t="s">
        <v>1323</v>
      </c>
      <c r="E100" s="53" t="s">
        <v>103</v>
      </c>
      <c r="F100" s="54" t="n">
        <v>133.74</v>
      </c>
      <c r="G100" s="55"/>
      <c r="H100" s="56" t="str">
        <f aca="false">IF(ISBLANK(G100),"",IF(ISNUMBER(F100),ROUND(F100*G100,2),"Укажите цену"))</f>
        <v/>
      </c>
      <c r="I100" s="57" t="n">
        <v>94</v>
      </c>
      <c r="J100" s="57" t="n">
        <v>13.36</v>
      </c>
      <c r="K100" s="57" t="s">
        <v>1066</v>
      </c>
      <c r="L100" s="57" t="n">
        <v>20</v>
      </c>
      <c r="M100" s="57" t="s">
        <v>640</v>
      </c>
      <c r="N100" s="57" t="n">
        <v>120</v>
      </c>
      <c r="O100" s="57" t="s">
        <v>641</v>
      </c>
      <c r="P100" s="58" t="n">
        <v>0.074</v>
      </c>
      <c r="Q100" s="119" t="s">
        <v>1324</v>
      </c>
      <c r="R100" s="93" t="s">
        <v>1325</v>
      </c>
      <c r="S100" s="60" t="s">
        <v>96</v>
      </c>
      <c r="T100" s="61"/>
    </row>
    <row r="101" s="34" customFormat="true" ht="115" hidden="false" customHeight="true" outlineLevel="2" collapsed="false">
      <c r="A101" s="51" t="s">
        <v>1326</v>
      </c>
      <c r="B101" s="57"/>
      <c r="C101" s="57"/>
      <c r="D101" s="53" t="s">
        <v>1327</v>
      </c>
      <c r="E101" s="53" t="s">
        <v>103</v>
      </c>
      <c r="F101" s="54" t="n">
        <v>154.94</v>
      </c>
      <c r="G101" s="55"/>
      <c r="H101" s="56" t="str">
        <f aca="false">IF(ISBLANK(G101),"",IF(ISNUMBER(F101),ROUND(F101*G101,2),"Укажите цену"))</f>
        <v/>
      </c>
      <c r="I101" s="57" t="n">
        <v>56</v>
      </c>
      <c r="J101" s="57" t="n">
        <v>8.8</v>
      </c>
      <c r="K101" s="57" t="s">
        <v>1066</v>
      </c>
      <c r="L101" s="57" t="n">
        <v>20</v>
      </c>
      <c r="M101" s="57" t="s">
        <v>640</v>
      </c>
      <c r="N101" s="57" t="n">
        <v>120</v>
      </c>
      <c r="O101" s="57" t="s">
        <v>641</v>
      </c>
      <c r="P101" s="58" t="n">
        <v>0.0736496</v>
      </c>
      <c r="Q101" s="68" t="s">
        <v>1328</v>
      </c>
      <c r="R101" s="69" t="s">
        <v>1329</v>
      </c>
      <c r="S101" s="60" t="s">
        <v>96</v>
      </c>
      <c r="T101" s="61"/>
    </row>
    <row r="102" s="34" customFormat="true" ht="115" hidden="false" customHeight="true" outlineLevel="2" collapsed="false">
      <c r="A102" s="51" t="s">
        <v>1330</v>
      </c>
      <c r="B102" s="57"/>
      <c r="C102" s="57"/>
      <c r="D102" s="53" t="s">
        <v>1331</v>
      </c>
      <c r="E102" s="53" t="s">
        <v>103</v>
      </c>
      <c r="F102" s="54" t="n">
        <v>122.32</v>
      </c>
      <c r="G102" s="55"/>
      <c r="H102" s="56" t="str">
        <f aca="false">IF(ISBLANK(G102),"",IF(ISNUMBER(F102),ROUND(F102*G102,2),"Укажите цену"))</f>
        <v/>
      </c>
      <c r="I102" s="57" t="n">
        <v>53</v>
      </c>
      <c r="J102" s="57" t="n">
        <v>8.57</v>
      </c>
      <c r="K102" s="57" t="s">
        <v>1066</v>
      </c>
      <c r="L102" s="57" t="n">
        <v>20</v>
      </c>
      <c r="M102" s="57" t="s">
        <v>640</v>
      </c>
      <c r="N102" s="57" t="n">
        <v>120</v>
      </c>
      <c r="O102" s="57" t="s">
        <v>641</v>
      </c>
      <c r="P102" s="58" t="n">
        <v>0.074</v>
      </c>
      <c r="Q102" s="68" t="s">
        <v>1332</v>
      </c>
      <c r="R102" s="93" t="s">
        <v>1333</v>
      </c>
      <c r="S102" s="60" t="s">
        <v>96</v>
      </c>
      <c r="T102" s="61"/>
    </row>
    <row r="103" s="34" customFormat="true" ht="115" hidden="false" customHeight="true" outlineLevel="2" collapsed="false">
      <c r="A103" s="51" t="s">
        <v>1334</v>
      </c>
      <c r="B103" s="57"/>
      <c r="C103" s="57"/>
      <c r="D103" s="53" t="s">
        <v>1335</v>
      </c>
      <c r="E103" s="53" t="s">
        <v>103</v>
      </c>
      <c r="F103" s="54" t="n">
        <v>182.67</v>
      </c>
      <c r="G103" s="55"/>
      <c r="H103" s="56" t="str">
        <f aca="false">IF(ISBLANK(G103),"",IF(ISNUMBER(F103),ROUND(F103*G103,2),"Укажите цену"))</f>
        <v/>
      </c>
      <c r="I103" s="57" t="n">
        <v>80</v>
      </c>
      <c r="J103" s="57" t="n">
        <v>11.68</v>
      </c>
      <c r="K103" s="57" t="s">
        <v>1066</v>
      </c>
      <c r="L103" s="57" t="n">
        <v>20</v>
      </c>
      <c r="M103" s="57" t="s">
        <v>640</v>
      </c>
      <c r="N103" s="57" t="n">
        <v>120</v>
      </c>
      <c r="O103" s="57" t="s">
        <v>641</v>
      </c>
      <c r="P103" s="58" t="n">
        <v>0.074</v>
      </c>
      <c r="Q103" s="68" t="s">
        <v>1336</v>
      </c>
      <c r="R103" s="93" t="s">
        <v>1337</v>
      </c>
      <c r="S103" s="60" t="s">
        <v>96</v>
      </c>
      <c r="T103" s="61"/>
    </row>
    <row r="104" s="34" customFormat="true" ht="115" hidden="false" customHeight="true" outlineLevel="2" collapsed="false">
      <c r="A104" s="51" t="s">
        <v>1338</v>
      </c>
      <c r="B104" s="57"/>
      <c r="C104" s="57"/>
      <c r="D104" s="53" t="s">
        <v>1339</v>
      </c>
      <c r="E104" s="53" t="s">
        <v>103</v>
      </c>
      <c r="F104" s="54" t="n">
        <v>159.83</v>
      </c>
      <c r="G104" s="55"/>
      <c r="H104" s="56" t="str">
        <f aca="false">IF(ISBLANK(G104),"",IF(ISNUMBER(F104),ROUND(F104*G104,2),"Укажите цену"))</f>
        <v/>
      </c>
      <c r="I104" s="57" t="n">
        <v>79</v>
      </c>
      <c r="J104" s="57" t="n">
        <v>11.63</v>
      </c>
      <c r="K104" s="57" t="s">
        <v>1066</v>
      </c>
      <c r="L104" s="57" t="n">
        <v>20</v>
      </c>
      <c r="M104" s="57" t="s">
        <v>640</v>
      </c>
      <c r="N104" s="57" t="n">
        <v>120</v>
      </c>
      <c r="O104" s="57" t="s">
        <v>641</v>
      </c>
      <c r="P104" s="58" t="n">
        <v>0.074</v>
      </c>
      <c r="Q104" s="68" t="s">
        <v>1340</v>
      </c>
      <c r="R104" s="93" t="s">
        <v>1341</v>
      </c>
      <c r="S104" s="60" t="s">
        <v>96</v>
      </c>
      <c r="T104" s="61"/>
    </row>
    <row r="105" s="34" customFormat="true" ht="115" hidden="false" customHeight="true" outlineLevel="2" collapsed="false">
      <c r="A105" s="51" t="s">
        <v>1342</v>
      </c>
      <c r="B105" s="57"/>
      <c r="C105" s="57"/>
      <c r="D105" s="53" t="s">
        <v>1343</v>
      </c>
      <c r="E105" s="53" t="s">
        <v>103</v>
      </c>
      <c r="F105" s="54" t="n">
        <v>110.9</v>
      </c>
      <c r="G105" s="55"/>
      <c r="H105" s="56" t="str">
        <f aca="false">IF(ISBLANK(G105),"",IF(ISNUMBER(F105),ROUND(F105*G105,2),"Укажите цену"))</f>
        <v/>
      </c>
      <c r="I105" s="57" t="n">
        <v>55</v>
      </c>
      <c r="J105" s="57" t="n">
        <v>8.56</v>
      </c>
      <c r="K105" s="57" t="s">
        <v>1066</v>
      </c>
      <c r="L105" s="57" t="n">
        <v>20</v>
      </c>
      <c r="M105" s="57" t="s">
        <v>640</v>
      </c>
      <c r="N105" s="57" t="n">
        <v>120</v>
      </c>
      <c r="O105" s="57" t="s">
        <v>641</v>
      </c>
      <c r="P105" s="58" t="n">
        <v>0.074</v>
      </c>
      <c r="Q105" s="68" t="s">
        <v>1344</v>
      </c>
      <c r="R105" s="93" t="s">
        <v>1345</v>
      </c>
      <c r="S105" s="60" t="s">
        <v>96</v>
      </c>
      <c r="T105" s="61"/>
    </row>
    <row r="106" s="34" customFormat="true" ht="115" hidden="false" customHeight="true" outlineLevel="2" collapsed="false">
      <c r="A106" s="51" t="s">
        <v>1346</v>
      </c>
      <c r="B106" s="57"/>
      <c r="C106" s="57"/>
      <c r="D106" s="53" t="s">
        <v>1347</v>
      </c>
      <c r="E106" s="53" t="s">
        <v>103</v>
      </c>
      <c r="F106" s="54" t="n">
        <v>130.48</v>
      </c>
      <c r="G106" s="55"/>
      <c r="H106" s="56" t="str">
        <f aca="false">IF(ISBLANK(G106),"",IF(ISNUMBER(F106),ROUND(F106*G106,2),"Укажите цену"))</f>
        <v/>
      </c>
      <c r="I106" s="57" t="n">
        <v>82</v>
      </c>
      <c r="J106" s="57" t="n">
        <v>11.92</v>
      </c>
      <c r="K106" s="57" t="s">
        <v>1066</v>
      </c>
      <c r="L106" s="57" t="n">
        <v>20</v>
      </c>
      <c r="M106" s="57" t="s">
        <v>640</v>
      </c>
      <c r="N106" s="57" t="n">
        <v>120</v>
      </c>
      <c r="O106" s="57" t="s">
        <v>641</v>
      </c>
      <c r="P106" s="58" t="n">
        <v>0.074</v>
      </c>
      <c r="Q106" s="68" t="s">
        <v>1348</v>
      </c>
      <c r="R106" s="93" t="s">
        <v>1349</v>
      </c>
      <c r="S106" s="60" t="s">
        <v>96</v>
      </c>
      <c r="T106" s="61"/>
    </row>
    <row r="107" s="34" customFormat="true" ht="115" hidden="false" customHeight="true" outlineLevel="2" collapsed="false">
      <c r="A107" s="51" t="s">
        <v>1350</v>
      </c>
      <c r="B107" s="57"/>
      <c r="C107" s="57"/>
      <c r="D107" s="53" t="s">
        <v>1351</v>
      </c>
      <c r="E107" s="53" t="s">
        <v>103</v>
      </c>
      <c r="F107" s="54" t="n">
        <v>137</v>
      </c>
      <c r="G107" s="55"/>
      <c r="H107" s="56" t="str">
        <f aca="false">IF(ISBLANK(G107),"",IF(ISNUMBER(F107),ROUND(F107*G107,2),"Укажите цену"))</f>
        <v/>
      </c>
      <c r="I107" s="57" t="n">
        <v>81</v>
      </c>
      <c r="J107" s="57" t="n">
        <v>11.73</v>
      </c>
      <c r="K107" s="57" t="s">
        <v>1066</v>
      </c>
      <c r="L107" s="57" t="n">
        <v>20</v>
      </c>
      <c r="M107" s="57" t="s">
        <v>640</v>
      </c>
      <c r="N107" s="57" t="n">
        <v>120</v>
      </c>
      <c r="O107" s="57" t="s">
        <v>641</v>
      </c>
      <c r="P107" s="58" t="n">
        <v>0.074</v>
      </c>
      <c r="Q107" s="68" t="s">
        <v>1352</v>
      </c>
      <c r="R107" s="93" t="s">
        <v>1353</v>
      </c>
      <c r="S107" s="60" t="s">
        <v>96</v>
      </c>
      <c r="T107" s="61"/>
    </row>
    <row r="108" s="34" customFormat="true" ht="115" hidden="false" customHeight="true" outlineLevel="2" collapsed="false">
      <c r="A108" s="51" t="s">
        <v>1354</v>
      </c>
      <c r="B108" s="57"/>
      <c r="C108" s="57"/>
      <c r="D108" s="53" t="s">
        <v>1355</v>
      </c>
      <c r="E108" s="53" t="s">
        <v>103</v>
      </c>
      <c r="F108" s="54" t="n">
        <v>78.29</v>
      </c>
      <c r="G108" s="55"/>
      <c r="H108" s="56" t="str">
        <f aca="false">IF(ISBLANK(G108),"",IF(ISNUMBER(F108),ROUND(F108*G108,2),"Укажите цену"))</f>
        <v/>
      </c>
      <c r="I108" s="57" t="n">
        <v>50</v>
      </c>
      <c r="J108" s="57" t="n">
        <v>8.05</v>
      </c>
      <c r="K108" s="57" t="s">
        <v>1066</v>
      </c>
      <c r="L108" s="57" t="n">
        <v>20</v>
      </c>
      <c r="M108" s="57" t="s">
        <v>640</v>
      </c>
      <c r="N108" s="57" t="n">
        <v>120</v>
      </c>
      <c r="O108" s="57" t="s">
        <v>641</v>
      </c>
      <c r="P108" s="58" t="n">
        <v>0.074</v>
      </c>
      <c r="Q108" s="68" t="s">
        <v>1356</v>
      </c>
      <c r="R108" s="93" t="s">
        <v>1357</v>
      </c>
      <c r="S108" s="60" t="s">
        <v>96</v>
      </c>
      <c r="T108" s="61"/>
    </row>
    <row r="109" s="34" customFormat="true" ht="115" hidden="false" customHeight="true" outlineLevel="2" collapsed="false">
      <c r="A109" s="51" t="s">
        <v>1358</v>
      </c>
      <c r="B109" s="57"/>
      <c r="C109" s="57"/>
      <c r="D109" s="53" t="s">
        <v>1359</v>
      </c>
      <c r="E109" s="53" t="s">
        <v>103</v>
      </c>
      <c r="F109" s="54" t="n">
        <v>110.9</v>
      </c>
      <c r="G109" s="55"/>
      <c r="H109" s="56" t="str">
        <f aca="false">IF(ISBLANK(G109),"",IF(ISNUMBER(F109),ROUND(F109*G109,2),"Укажите цену"))</f>
        <v/>
      </c>
      <c r="I109" s="57" t="n">
        <v>78</v>
      </c>
      <c r="J109" s="57" t="n">
        <v>11.37</v>
      </c>
      <c r="K109" s="57" t="s">
        <v>1066</v>
      </c>
      <c r="L109" s="57" t="n">
        <v>20</v>
      </c>
      <c r="M109" s="57" t="s">
        <v>640</v>
      </c>
      <c r="N109" s="57" t="n">
        <v>120</v>
      </c>
      <c r="O109" s="57" t="s">
        <v>641</v>
      </c>
      <c r="P109" s="58" t="n">
        <v>0.074</v>
      </c>
      <c r="Q109" s="68" t="s">
        <v>1360</v>
      </c>
      <c r="R109" s="93" t="s">
        <v>1361</v>
      </c>
      <c r="S109" s="60" t="s">
        <v>96</v>
      </c>
      <c r="T109" s="61"/>
    </row>
    <row r="110" s="34" customFormat="true" ht="115" hidden="false" customHeight="true" outlineLevel="2" collapsed="false">
      <c r="A110" s="51" t="s">
        <v>1362</v>
      </c>
      <c r="B110" s="57"/>
      <c r="C110" s="57"/>
      <c r="D110" s="53" t="s">
        <v>1363</v>
      </c>
      <c r="E110" s="53" t="s">
        <v>103</v>
      </c>
      <c r="F110" s="54" t="n">
        <v>99.49</v>
      </c>
      <c r="G110" s="55"/>
      <c r="H110" s="56" t="str">
        <f aca="false">IF(ISBLANK(G110),"",IF(ISNUMBER(F110),ROUND(F110*G110,2),"Укажите цену"))</f>
        <v/>
      </c>
      <c r="I110" s="57" t="n">
        <v>78</v>
      </c>
      <c r="J110" s="57" t="n">
        <v>11.38</v>
      </c>
      <c r="K110" s="57" t="s">
        <v>1066</v>
      </c>
      <c r="L110" s="57" t="n">
        <v>20</v>
      </c>
      <c r="M110" s="57" t="s">
        <v>640</v>
      </c>
      <c r="N110" s="57" t="n">
        <v>120</v>
      </c>
      <c r="O110" s="57" t="s">
        <v>641</v>
      </c>
      <c r="P110" s="58" t="n">
        <v>0.074</v>
      </c>
      <c r="Q110" s="68" t="s">
        <v>1364</v>
      </c>
      <c r="R110" s="93" t="s">
        <v>1365</v>
      </c>
      <c r="S110" s="60" t="s">
        <v>96</v>
      </c>
      <c r="T110" s="61"/>
    </row>
    <row r="111" s="34" customFormat="true" ht="115" hidden="false" customHeight="true" outlineLevel="2" collapsed="false">
      <c r="A111" s="51" t="s">
        <v>1366</v>
      </c>
      <c r="B111" s="57"/>
      <c r="C111" s="57"/>
      <c r="D111" s="53" t="s">
        <v>1367</v>
      </c>
      <c r="E111" s="53" t="s">
        <v>103</v>
      </c>
      <c r="F111" s="54" t="n">
        <v>106.01</v>
      </c>
      <c r="G111" s="55"/>
      <c r="H111" s="56" t="str">
        <f aca="false">IF(ISBLANK(G111),"",IF(ISNUMBER(F111),ROUND(F111*G111,2),"Укажите цену"))</f>
        <v/>
      </c>
      <c r="I111" s="57" t="n">
        <v>78</v>
      </c>
      <c r="J111" s="57" t="n">
        <v>11.38</v>
      </c>
      <c r="K111" s="57" t="s">
        <v>1066</v>
      </c>
      <c r="L111" s="57" t="n">
        <v>20</v>
      </c>
      <c r="M111" s="57" t="s">
        <v>640</v>
      </c>
      <c r="N111" s="57" t="n">
        <v>120</v>
      </c>
      <c r="O111" s="57" t="s">
        <v>641</v>
      </c>
      <c r="P111" s="58" t="n">
        <v>0.074</v>
      </c>
      <c r="Q111" s="68" t="s">
        <v>1368</v>
      </c>
      <c r="R111" s="93" t="s">
        <v>1369</v>
      </c>
      <c r="S111" s="60" t="s">
        <v>96</v>
      </c>
      <c r="T111" s="61"/>
    </row>
    <row r="112" s="34" customFormat="true" ht="115" hidden="false" customHeight="true" outlineLevel="2" collapsed="false">
      <c r="A112" s="51" t="s">
        <v>1370</v>
      </c>
      <c r="B112" s="57"/>
      <c r="C112" s="57"/>
      <c r="D112" s="53" t="s">
        <v>1371</v>
      </c>
      <c r="E112" s="53" t="s">
        <v>103</v>
      </c>
      <c r="F112" s="54" t="n">
        <v>130.48</v>
      </c>
      <c r="G112" s="55"/>
      <c r="H112" s="56" t="str">
        <f aca="false">IF(ISBLANK(G112),"",IF(ISNUMBER(F112),ROUND(F112*G112,2),"Укажите цену"))</f>
        <v/>
      </c>
      <c r="I112" s="57" t="n">
        <v>70</v>
      </c>
      <c r="J112" s="57" t="n">
        <v>19.6</v>
      </c>
      <c r="K112" s="57" t="s">
        <v>1372</v>
      </c>
      <c r="L112" s="57" t="n">
        <v>42</v>
      </c>
      <c r="M112" s="57" t="s">
        <v>640</v>
      </c>
      <c r="N112" s="57" t="n">
        <v>252</v>
      </c>
      <c r="O112" s="57" t="s">
        <v>641</v>
      </c>
      <c r="P112" s="58" t="n">
        <v>0.074</v>
      </c>
      <c r="Q112" s="119" t="s">
        <v>1373</v>
      </c>
      <c r="R112" s="93" t="s">
        <v>1374</v>
      </c>
      <c r="S112" s="60" t="s">
        <v>96</v>
      </c>
      <c r="T112" s="61"/>
    </row>
    <row r="113" s="70" customFormat="true" ht="115" hidden="false" customHeight="true" outlineLevel="2" collapsed="false">
      <c r="A113" s="51" t="s">
        <v>1375</v>
      </c>
      <c r="B113" s="57"/>
      <c r="C113" s="57"/>
      <c r="D113" s="53" t="s">
        <v>1376</v>
      </c>
      <c r="E113" s="53" t="s">
        <v>103</v>
      </c>
      <c r="F113" s="54" t="n">
        <v>122.32</v>
      </c>
      <c r="G113" s="55"/>
      <c r="H113" s="56" t="str">
        <f aca="false">IF(ISBLANK(G113),"",IF(ISNUMBER(F113),ROUND(F113*G113,2),"Укажите цену"))</f>
        <v/>
      </c>
      <c r="I113" s="57" t="n">
        <v>57</v>
      </c>
      <c r="J113" s="57" t="n">
        <v>19.1</v>
      </c>
      <c r="K113" s="57" t="s">
        <v>1377</v>
      </c>
      <c r="L113" s="57" t="n">
        <v>75</v>
      </c>
      <c r="M113" s="57" t="s">
        <v>284</v>
      </c>
      <c r="N113" s="57" t="n">
        <v>300</v>
      </c>
      <c r="O113" s="57" t="s">
        <v>696</v>
      </c>
      <c r="P113" s="58" t="n">
        <v>0.095</v>
      </c>
      <c r="Q113" s="68" t="s">
        <v>1378</v>
      </c>
      <c r="R113" s="69" t="s">
        <v>1379</v>
      </c>
      <c r="S113" s="60" t="s">
        <v>1380</v>
      </c>
      <c r="T113" s="61"/>
    </row>
    <row r="114" s="70" customFormat="true" ht="115" hidden="false" customHeight="true" outlineLevel="2" collapsed="false">
      <c r="A114" s="51" t="s">
        <v>1381</v>
      </c>
      <c r="B114" s="57"/>
      <c r="C114" s="57"/>
      <c r="D114" s="53" t="s">
        <v>1382</v>
      </c>
      <c r="E114" s="53" t="s">
        <v>103</v>
      </c>
      <c r="F114" s="54" t="n">
        <v>185.93</v>
      </c>
      <c r="G114" s="55"/>
      <c r="H114" s="56" t="str">
        <f aca="false">IF(ISBLANK(G114),"",IF(ISNUMBER(F114),ROUND(F114*G114,2),"Укажите цену"))</f>
        <v/>
      </c>
      <c r="I114" s="57" t="n">
        <v>82</v>
      </c>
      <c r="J114" s="57" t="n">
        <v>21.8</v>
      </c>
      <c r="K114" s="57" t="s">
        <v>1383</v>
      </c>
      <c r="L114" s="57" t="n">
        <v>60</v>
      </c>
      <c r="M114" s="57" t="s">
        <v>284</v>
      </c>
      <c r="N114" s="57" t="n">
        <v>240</v>
      </c>
      <c r="O114" s="57" t="s">
        <v>696</v>
      </c>
      <c r="P114" s="58" t="n">
        <v>0.095</v>
      </c>
      <c r="Q114" s="68" t="s">
        <v>1384</v>
      </c>
      <c r="R114" s="69" t="s">
        <v>1385</v>
      </c>
      <c r="S114" s="60" t="s">
        <v>1380</v>
      </c>
      <c r="T114" s="61"/>
    </row>
    <row r="115" s="70" customFormat="true" ht="115" hidden="false" customHeight="true" outlineLevel="2" collapsed="false">
      <c r="A115" s="51" t="s">
        <v>1386</v>
      </c>
      <c r="B115" s="57"/>
      <c r="C115" s="57"/>
      <c r="D115" s="53" t="s">
        <v>1387</v>
      </c>
      <c r="E115" s="53" t="s">
        <v>103</v>
      </c>
      <c r="F115" s="54" t="n">
        <v>159.83</v>
      </c>
      <c r="G115" s="55"/>
      <c r="H115" s="56" t="str">
        <f aca="false">IF(ISBLANK(G115),"",IF(ISNUMBER(F115),ROUND(F115*G115,2),"Укажите цену"))</f>
        <v/>
      </c>
      <c r="I115" s="57" t="n">
        <v>83</v>
      </c>
      <c r="J115" s="57" t="n">
        <v>21.57</v>
      </c>
      <c r="K115" s="57" t="s">
        <v>1383</v>
      </c>
      <c r="L115" s="57" t="n">
        <v>60</v>
      </c>
      <c r="M115" s="57" t="s">
        <v>284</v>
      </c>
      <c r="N115" s="57" t="n">
        <v>240</v>
      </c>
      <c r="O115" s="57" t="s">
        <v>696</v>
      </c>
      <c r="P115" s="58" t="n">
        <v>0.095</v>
      </c>
      <c r="Q115" s="68" t="s">
        <v>1388</v>
      </c>
      <c r="R115" s="69" t="s">
        <v>1389</v>
      </c>
      <c r="S115" s="60" t="s">
        <v>1380</v>
      </c>
      <c r="T115" s="61"/>
    </row>
    <row r="116" s="70" customFormat="true" ht="115" hidden="false" customHeight="true" outlineLevel="2" collapsed="false">
      <c r="A116" s="51" t="s">
        <v>1390</v>
      </c>
      <c r="B116" s="57"/>
      <c r="C116" s="57"/>
      <c r="D116" s="53" t="s">
        <v>1391</v>
      </c>
      <c r="E116" s="53" t="s">
        <v>217</v>
      </c>
      <c r="F116" s="54" t="n">
        <v>326.19</v>
      </c>
      <c r="G116" s="55"/>
      <c r="H116" s="56" t="str">
        <f aca="false">IF(ISBLANK(G116),"",IF(ISNUMBER(F116),ROUND(F116*G116,2),"Укажите цену"))</f>
        <v/>
      </c>
      <c r="I116" s="57" t="n">
        <v>78</v>
      </c>
      <c r="J116" s="57" t="n">
        <v>16.6</v>
      </c>
      <c r="K116" s="57" t="s">
        <v>1392</v>
      </c>
      <c r="L116" s="57" t="n">
        <v>46</v>
      </c>
      <c r="M116" s="57" t="s">
        <v>284</v>
      </c>
      <c r="N116" s="57" t="n">
        <v>184</v>
      </c>
      <c r="O116" s="57" t="s">
        <v>696</v>
      </c>
      <c r="P116" s="58" t="n">
        <v>0.107</v>
      </c>
      <c r="Q116" s="68" t="s">
        <v>1393</v>
      </c>
      <c r="R116" s="93" t="s">
        <v>1394</v>
      </c>
      <c r="S116" s="60" t="s">
        <v>96</v>
      </c>
      <c r="T116" s="61"/>
    </row>
    <row r="117" s="70" customFormat="true" ht="115" hidden="false" customHeight="true" outlineLevel="2" collapsed="false">
      <c r="A117" s="51" t="s">
        <v>1395</v>
      </c>
      <c r="B117" s="57"/>
      <c r="C117" s="57"/>
      <c r="D117" s="53" t="s">
        <v>1396</v>
      </c>
      <c r="E117" s="53" t="s">
        <v>217</v>
      </c>
      <c r="F117" s="54" t="n">
        <v>285.41</v>
      </c>
      <c r="G117" s="55"/>
      <c r="H117" s="56" t="str">
        <f aca="false">IF(ISBLANK(G117),"",IF(ISNUMBER(F117),ROUND(F117*G117,2),"Укажите цену"))</f>
        <v/>
      </c>
      <c r="I117" s="57" t="n">
        <v>77</v>
      </c>
      <c r="J117" s="57" t="n">
        <v>16.3</v>
      </c>
      <c r="K117" s="57" t="s">
        <v>1392</v>
      </c>
      <c r="L117" s="57" t="n">
        <v>46</v>
      </c>
      <c r="M117" s="57" t="s">
        <v>284</v>
      </c>
      <c r="N117" s="57" t="n">
        <v>184</v>
      </c>
      <c r="O117" s="57" t="s">
        <v>696</v>
      </c>
      <c r="P117" s="58" t="n">
        <v>0.107</v>
      </c>
      <c r="Q117" s="68" t="s">
        <v>1397</v>
      </c>
      <c r="R117" s="93" t="s">
        <v>1398</v>
      </c>
      <c r="S117" s="60" t="s">
        <v>96</v>
      </c>
      <c r="T117" s="61"/>
    </row>
    <row r="118" s="70" customFormat="true" ht="115" hidden="false" customHeight="true" outlineLevel="2" collapsed="false">
      <c r="A118" s="51" t="s">
        <v>1399</v>
      </c>
      <c r="B118" s="57"/>
      <c r="C118" s="57"/>
      <c r="D118" s="53" t="s">
        <v>1400</v>
      </c>
      <c r="E118" s="53" t="s">
        <v>217</v>
      </c>
      <c r="F118" s="54" t="n">
        <v>236.49</v>
      </c>
      <c r="G118" s="55"/>
      <c r="H118" s="56" t="str">
        <f aca="false">IF(ISBLANK(G118),"",IF(ISNUMBER(F118),ROUND(F118*G118,2),"Укажите цену"))</f>
        <v/>
      </c>
      <c r="I118" s="57" t="n">
        <v>72</v>
      </c>
      <c r="J118" s="57" t="n">
        <v>15.3</v>
      </c>
      <c r="K118" s="57" t="s">
        <v>1392</v>
      </c>
      <c r="L118" s="57" t="n">
        <v>46</v>
      </c>
      <c r="M118" s="57" t="s">
        <v>284</v>
      </c>
      <c r="N118" s="57" t="n">
        <v>184</v>
      </c>
      <c r="O118" s="57" t="s">
        <v>696</v>
      </c>
      <c r="P118" s="58" t="n">
        <v>0.107</v>
      </c>
      <c r="Q118" s="68" t="s">
        <v>1401</v>
      </c>
      <c r="R118" s="93" t="s">
        <v>1402</v>
      </c>
      <c r="S118" s="60" t="s">
        <v>96</v>
      </c>
      <c r="T118" s="61"/>
    </row>
    <row r="119" s="70" customFormat="true" ht="115" hidden="false" customHeight="true" outlineLevel="2" collapsed="false">
      <c r="A119" s="51" t="s">
        <v>1403</v>
      </c>
      <c r="B119" s="57"/>
      <c r="C119" s="57"/>
      <c r="D119" s="53" t="s">
        <v>1404</v>
      </c>
      <c r="E119" s="53" t="s">
        <v>217</v>
      </c>
      <c r="F119" s="54" t="n">
        <v>187.56</v>
      </c>
      <c r="G119" s="55"/>
      <c r="H119" s="56" t="str">
        <f aca="false">IF(ISBLANK(G119),"",IF(ISNUMBER(F119),ROUND(F119*G119,2),"Укажите цену"))</f>
        <v/>
      </c>
      <c r="I119" s="57" t="n">
        <v>69</v>
      </c>
      <c r="J119" s="57" t="n">
        <v>14.9</v>
      </c>
      <c r="K119" s="57" t="s">
        <v>1392</v>
      </c>
      <c r="L119" s="57" t="n">
        <v>46</v>
      </c>
      <c r="M119" s="57" t="s">
        <v>284</v>
      </c>
      <c r="N119" s="57" t="n">
        <v>184</v>
      </c>
      <c r="O119" s="57" t="s">
        <v>696</v>
      </c>
      <c r="P119" s="58" t="n">
        <v>0.107</v>
      </c>
      <c r="Q119" s="68" t="s">
        <v>1405</v>
      </c>
      <c r="R119" s="93" t="s">
        <v>1406</v>
      </c>
      <c r="S119" s="60" t="s">
        <v>96</v>
      </c>
      <c r="T119" s="61"/>
    </row>
    <row r="120" s="70" customFormat="true" ht="115" hidden="false" customHeight="true" outlineLevel="2" collapsed="false">
      <c r="A120" s="51" t="s">
        <v>1407</v>
      </c>
      <c r="B120" s="57"/>
      <c r="C120" s="57"/>
      <c r="D120" s="53" t="s">
        <v>1408</v>
      </c>
      <c r="E120" s="53" t="s">
        <v>103</v>
      </c>
      <c r="F120" s="54" t="n">
        <v>394.69</v>
      </c>
      <c r="G120" s="55"/>
      <c r="H120" s="56" t="str">
        <f aca="false">IF(ISBLANK(G120),"",IF(ISNUMBER(F120),ROUND(F120*G120,2),"Укажите цену"))</f>
        <v/>
      </c>
      <c r="I120" s="57" t="n">
        <v>114</v>
      </c>
      <c r="J120" s="57" t="n">
        <v>15.7</v>
      </c>
      <c r="K120" s="57" t="s">
        <v>1409</v>
      </c>
      <c r="L120" s="57" t="n">
        <v>30</v>
      </c>
      <c r="M120" s="57" t="s">
        <v>284</v>
      </c>
      <c r="N120" s="57" t="n">
        <v>120</v>
      </c>
      <c r="O120" s="57" t="s">
        <v>696</v>
      </c>
      <c r="P120" s="58" t="n">
        <v>0.095</v>
      </c>
      <c r="Q120" s="68" t="s">
        <v>1410</v>
      </c>
      <c r="R120" s="93" t="s">
        <v>1411</v>
      </c>
      <c r="S120" s="60" t="s">
        <v>96</v>
      </c>
      <c r="T120" s="61"/>
    </row>
    <row r="121" s="70" customFormat="true" ht="115" hidden="false" customHeight="true" outlineLevel="2" collapsed="false">
      <c r="A121" s="51" t="s">
        <v>1412</v>
      </c>
      <c r="B121" s="57"/>
      <c r="C121" s="57"/>
      <c r="D121" s="53" t="s">
        <v>1413</v>
      </c>
      <c r="E121" s="53" t="s">
        <v>1414</v>
      </c>
      <c r="F121" s="54" t="n">
        <v>371.85</v>
      </c>
      <c r="G121" s="55"/>
      <c r="H121" s="56" t="str">
        <f aca="false">IF(ISBLANK(G121),"",IF(ISNUMBER(F121),ROUND(F121*G121,2),"Укажите цену"))</f>
        <v/>
      </c>
      <c r="I121" s="57" t="n">
        <v>113</v>
      </c>
      <c r="J121" s="57" t="n">
        <v>15.7</v>
      </c>
      <c r="K121" s="57" t="s">
        <v>1409</v>
      </c>
      <c r="L121" s="57" t="n">
        <v>30</v>
      </c>
      <c r="M121" s="57" t="s">
        <v>284</v>
      </c>
      <c r="N121" s="57" t="n">
        <v>120</v>
      </c>
      <c r="O121" s="57" t="s">
        <v>696</v>
      </c>
      <c r="P121" s="58" t="n">
        <v>0.095</v>
      </c>
      <c r="Q121" s="68" t="s">
        <v>1415</v>
      </c>
      <c r="R121" s="93" t="s">
        <v>1416</v>
      </c>
      <c r="S121" s="60" t="s">
        <v>96</v>
      </c>
      <c r="T121" s="61"/>
    </row>
    <row r="122" s="70" customFormat="true" ht="115" hidden="false" customHeight="true" outlineLevel="2" collapsed="false">
      <c r="A122" s="51" t="s">
        <v>1417</v>
      </c>
      <c r="B122" s="57"/>
      <c r="C122" s="57"/>
      <c r="D122" s="53" t="s">
        <v>1418</v>
      </c>
      <c r="E122" s="53" t="s">
        <v>103</v>
      </c>
      <c r="F122" s="54" t="n">
        <v>228.33</v>
      </c>
      <c r="G122" s="55"/>
      <c r="H122" s="56" t="str">
        <f aca="false">IF(ISBLANK(G122),"",IF(ISNUMBER(F122),ROUND(F122*G122,2),"Укажите цену"))</f>
        <v/>
      </c>
      <c r="I122" s="57" t="n">
        <v>71</v>
      </c>
      <c r="J122" s="57" t="n">
        <v>15.2</v>
      </c>
      <c r="K122" s="57" t="s">
        <v>1419</v>
      </c>
      <c r="L122" s="57" t="n">
        <v>46</v>
      </c>
      <c r="M122" s="57" t="s">
        <v>284</v>
      </c>
      <c r="N122" s="57" t="n">
        <v>184</v>
      </c>
      <c r="O122" s="57" t="s">
        <v>1215</v>
      </c>
      <c r="P122" s="58" t="n">
        <v>0.10677394</v>
      </c>
      <c r="Q122" s="68" t="s">
        <v>1420</v>
      </c>
      <c r="R122" s="69" t="s">
        <v>1421</v>
      </c>
      <c r="S122" s="71" t="s">
        <v>96</v>
      </c>
      <c r="T122" s="61"/>
    </row>
    <row r="123" s="70" customFormat="true" ht="115" hidden="false" customHeight="true" outlineLevel="2" collapsed="false">
      <c r="A123" s="51" t="s">
        <v>1422</v>
      </c>
      <c r="B123" s="57"/>
      <c r="C123" s="57"/>
      <c r="D123" s="53" t="s">
        <v>1423</v>
      </c>
      <c r="E123" s="53" t="s">
        <v>103</v>
      </c>
      <c r="F123" s="54" t="n">
        <v>309.88</v>
      </c>
      <c r="G123" s="55"/>
      <c r="H123" s="56" t="str">
        <f aca="false">IF(ISBLANK(G123),"",IF(ISNUMBER(F123),ROUND(F123*G123,2),"Укажите цену"))</f>
        <v/>
      </c>
      <c r="I123" s="57" t="n">
        <v>94</v>
      </c>
      <c r="J123" s="57" t="n">
        <v>19.3</v>
      </c>
      <c r="K123" s="57" t="s">
        <v>1419</v>
      </c>
      <c r="L123" s="57" t="n">
        <v>46</v>
      </c>
      <c r="M123" s="57" t="s">
        <v>284</v>
      </c>
      <c r="N123" s="57" t="n">
        <v>184</v>
      </c>
      <c r="O123" s="57" t="s">
        <v>1215</v>
      </c>
      <c r="P123" s="58" t="n">
        <v>0.107</v>
      </c>
      <c r="Q123" s="68" t="s">
        <v>1424</v>
      </c>
      <c r="R123" s="69" t="s">
        <v>1425</v>
      </c>
      <c r="S123" s="71" t="s">
        <v>96</v>
      </c>
      <c r="T123" s="61"/>
    </row>
    <row r="124" s="70" customFormat="true" ht="115" hidden="false" customHeight="true" outlineLevel="2" collapsed="false">
      <c r="A124" s="51" t="s">
        <v>1426</v>
      </c>
      <c r="B124" s="57"/>
      <c r="C124" s="57"/>
      <c r="D124" s="53" t="s">
        <v>1427</v>
      </c>
      <c r="E124" s="53" t="s">
        <v>103</v>
      </c>
      <c r="F124" s="54" t="n">
        <v>269.11</v>
      </c>
      <c r="G124" s="55"/>
      <c r="H124" s="56" t="str">
        <f aca="false">IF(ISBLANK(G124),"",IF(ISNUMBER(F124),ROUND(F124*G124,2),"Укажите цену"))</f>
        <v/>
      </c>
      <c r="I124" s="57" t="n">
        <v>95</v>
      </c>
      <c r="J124" s="57" t="n">
        <v>19.5</v>
      </c>
      <c r="K124" s="57" t="s">
        <v>1419</v>
      </c>
      <c r="L124" s="57" t="n">
        <v>46</v>
      </c>
      <c r="M124" s="57" t="s">
        <v>284</v>
      </c>
      <c r="N124" s="57" t="n">
        <v>184</v>
      </c>
      <c r="O124" s="57" t="s">
        <v>1215</v>
      </c>
      <c r="P124" s="58" t="n">
        <v>0.107</v>
      </c>
      <c r="Q124" s="68" t="s">
        <v>1428</v>
      </c>
      <c r="R124" s="69" t="s">
        <v>1429</v>
      </c>
      <c r="S124" s="71" t="s">
        <v>96</v>
      </c>
      <c r="T124" s="61"/>
    </row>
    <row r="125" s="62" customFormat="true" ht="115" hidden="false" customHeight="true" outlineLevel="2" collapsed="false">
      <c r="A125" s="51" t="s">
        <v>1430</v>
      </c>
      <c r="B125" s="57"/>
      <c r="C125" s="57"/>
      <c r="D125" s="53" t="s">
        <v>1431</v>
      </c>
      <c r="E125" s="53" t="s">
        <v>103</v>
      </c>
      <c r="F125" s="54" t="n">
        <v>150.05</v>
      </c>
      <c r="G125" s="55"/>
      <c r="H125" s="56" t="str">
        <f aca="false">IF(ISBLANK(G125),"",IF(ISNUMBER(F125),ROUND(F125*G125,2),"Укажите цену"))</f>
        <v/>
      </c>
      <c r="I125" s="57" t="n">
        <v>70</v>
      </c>
      <c r="J125" s="26" t="n">
        <v>14.38</v>
      </c>
      <c r="K125" s="57" t="s">
        <v>1432</v>
      </c>
      <c r="L125" s="57" t="n">
        <v>44</v>
      </c>
      <c r="M125" s="57" t="s">
        <v>284</v>
      </c>
      <c r="N125" s="57" t="n">
        <v>176</v>
      </c>
      <c r="O125" s="57" t="s">
        <v>696</v>
      </c>
      <c r="P125" s="58" t="n">
        <v>0.095</v>
      </c>
      <c r="Q125" s="59" t="s">
        <v>1433</v>
      </c>
      <c r="R125" s="93" t="s">
        <v>1434</v>
      </c>
      <c r="S125" s="71" t="s">
        <v>96</v>
      </c>
      <c r="T125" s="61"/>
      <c r="U125" s="87"/>
      <c r="V125" s="61"/>
      <c r="W125" s="61"/>
      <c r="X125" s="61"/>
      <c r="Y125" s="61"/>
      <c r="Z125" s="61"/>
    </row>
    <row r="126" s="62" customFormat="true" ht="115" hidden="false" customHeight="true" outlineLevel="2" collapsed="false">
      <c r="A126" s="51" t="s">
        <v>1435</v>
      </c>
      <c r="B126" s="57"/>
      <c r="C126" s="57"/>
      <c r="D126" s="53" t="s">
        <v>1436</v>
      </c>
      <c r="E126" s="53" t="s">
        <v>103</v>
      </c>
      <c r="F126" s="54" t="n">
        <v>236.49</v>
      </c>
      <c r="G126" s="55"/>
      <c r="H126" s="56" t="str">
        <f aca="false">IF(ISBLANK(G126),"",IF(ISNUMBER(F126),ROUND(F126*G126,2),"Укажите цену"))</f>
        <v/>
      </c>
      <c r="I126" s="57" t="n">
        <v>92</v>
      </c>
      <c r="J126" s="26" t="n">
        <v>18.4</v>
      </c>
      <c r="K126" s="57" t="s">
        <v>1432</v>
      </c>
      <c r="L126" s="57" t="n">
        <v>44</v>
      </c>
      <c r="M126" s="57" t="s">
        <v>284</v>
      </c>
      <c r="N126" s="57" t="n">
        <v>176</v>
      </c>
      <c r="O126" s="57" t="s">
        <v>696</v>
      </c>
      <c r="P126" s="58" t="n">
        <v>0.095</v>
      </c>
      <c r="Q126" s="59" t="s">
        <v>1437</v>
      </c>
      <c r="R126" s="77" t="s">
        <v>1438</v>
      </c>
      <c r="S126" s="60" t="s">
        <v>96</v>
      </c>
      <c r="T126" s="61"/>
      <c r="U126" s="87"/>
      <c r="V126" s="61"/>
      <c r="W126" s="61"/>
      <c r="X126" s="61"/>
      <c r="Y126" s="61"/>
      <c r="Z126" s="61"/>
    </row>
    <row r="127" s="62" customFormat="true" ht="115" hidden="false" customHeight="true" outlineLevel="2" collapsed="false">
      <c r="A127" s="51" t="s">
        <v>1439</v>
      </c>
      <c r="B127" s="57"/>
      <c r="C127" s="57"/>
      <c r="D127" s="53" t="s">
        <v>1440</v>
      </c>
      <c r="E127" s="53" t="s">
        <v>103</v>
      </c>
      <c r="F127" s="54" t="n">
        <v>195.71</v>
      </c>
      <c r="G127" s="55"/>
      <c r="H127" s="56" t="str">
        <f aca="false">IF(ISBLANK(G127),"",IF(ISNUMBER(F127),ROUND(F127*G127,2),"Укажите цену"))</f>
        <v/>
      </c>
      <c r="I127" s="57" t="n">
        <v>93</v>
      </c>
      <c r="J127" s="26" t="n">
        <v>18.48</v>
      </c>
      <c r="K127" s="57" t="s">
        <v>1432</v>
      </c>
      <c r="L127" s="57" t="n">
        <v>44</v>
      </c>
      <c r="M127" s="57" t="s">
        <v>284</v>
      </c>
      <c r="N127" s="57" t="n">
        <v>176</v>
      </c>
      <c r="O127" s="57" t="s">
        <v>696</v>
      </c>
      <c r="P127" s="58" t="n">
        <v>0.095</v>
      </c>
      <c r="Q127" s="59" t="s">
        <v>1441</v>
      </c>
      <c r="R127" s="77" t="s">
        <v>1442</v>
      </c>
      <c r="S127" s="60" t="s">
        <v>96</v>
      </c>
      <c r="T127" s="61"/>
      <c r="U127" s="87"/>
      <c r="V127" s="61"/>
      <c r="W127" s="61"/>
      <c r="X127" s="61"/>
      <c r="Y127" s="61"/>
      <c r="Z127" s="61"/>
    </row>
    <row r="128" s="62" customFormat="true" ht="115" hidden="false" customHeight="true" outlineLevel="2" collapsed="false">
      <c r="A128" s="51" t="s">
        <v>1443</v>
      </c>
      <c r="B128" s="57"/>
      <c r="C128" s="57"/>
      <c r="D128" s="53" t="s">
        <v>1444</v>
      </c>
      <c r="E128" s="53" t="s">
        <v>103</v>
      </c>
      <c r="F128" s="54" t="n">
        <v>114.17</v>
      </c>
      <c r="G128" s="55"/>
      <c r="H128" s="56" t="str">
        <f aca="false">IF(ISBLANK(G128),"",IF(ISNUMBER(F128),ROUND(F128*G128,2),"Укажите цену"))</f>
        <v/>
      </c>
      <c r="I128" s="57" t="n">
        <v>71</v>
      </c>
      <c r="J128" s="57" t="n">
        <v>19.1</v>
      </c>
      <c r="K128" s="57" t="s">
        <v>1445</v>
      </c>
      <c r="L128" s="57" t="n">
        <v>60</v>
      </c>
      <c r="M128" s="57" t="s">
        <v>284</v>
      </c>
      <c r="N128" s="57" t="n">
        <v>240</v>
      </c>
      <c r="O128" s="57" t="s">
        <v>696</v>
      </c>
      <c r="P128" s="58" t="n">
        <v>0.095</v>
      </c>
      <c r="Q128" s="59" t="s">
        <v>1446</v>
      </c>
      <c r="R128" s="77" t="s">
        <v>1447</v>
      </c>
      <c r="S128" s="60" t="s">
        <v>96</v>
      </c>
      <c r="T128" s="61"/>
      <c r="U128" s="87"/>
      <c r="V128" s="61"/>
      <c r="W128" s="61"/>
      <c r="X128" s="61"/>
      <c r="Y128" s="61"/>
      <c r="Z128" s="61"/>
    </row>
    <row r="129" s="62" customFormat="true" ht="60" hidden="false" customHeight="true" outlineLevel="2" collapsed="false">
      <c r="A129" s="63" t="s">
        <v>1448</v>
      </c>
      <c r="B129" s="57"/>
      <c r="C129" s="57"/>
      <c r="D129" s="53" t="s">
        <v>1449</v>
      </c>
      <c r="E129" s="53" t="s">
        <v>89</v>
      </c>
      <c r="F129" s="54" t="n">
        <v>138.63</v>
      </c>
      <c r="G129" s="55"/>
      <c r="H129" s="56" t="str">
        <f aca="false">IF(ISBLANK(G129),"",IF(ISNUMBER(F129),ROUND(F129*G129,2),"Укажите цену"))</f>
        <v/>
      </c>
      <c r="I129" s="57" t="n">
        <v>52</v>
      </c>
      <c r="J129" s="26" t="n">
        <v>17.59</v>
      </c>
      <c r="K129" s="57" t="s">
        <v>1450</v>
      </c>
      <c r="L129" s="57" t="n">
        <v>75</v>
      </c>
      <c r="M129" s="57" t="s">
        <v>284</v>
      </c>
      <c r="N129" s="57" t="n">
        <v>300</v>
      </c>
      <c r="O129" s="57" t="s">
        <v>696</v>
      </c>
      <c r="P129" s="58" t="n">
        <v>0.095</v>
      </c>
      <c r="Q129" s="59" t="s">
        <v>1451</v>
      </c>
      <c r="R129" s="77" t="s">
        <v>1452</v>
      </c>
      <c r="S129" s="60" t="s">
        <v>96</v>
      </c>
      <c r="T129" s="61"/>
      <c r="U129" s="61"/>
      <c r="V129" s="61"/>
      <c r="W129" s="61"/>
      <c r="X129" s="61"/>
      <c r="Y129" s="61"/>
      <c r="Z129" s="61"/>
    </row>
    <row r="130" s="62" customFormat="true" ht="60" hidden="false" customHeight="true" outlineLevel="2" collapsed="false">
      <c r="A130" s="63"/>
      <c r="B130" s="57"/>
      <c r="C130" s="57"/>
      <c r="D130" s="53" t="s">
        <v>1453</v>
      </c>
      <c r="E130" s="53" t="s">
        <v>103</v>
      </c>
      <c r="F130" s="54" t="n">
        <v>138.63</v>
      </c>
      <c r="G130" s="55"/>
      <c r="H130" s="56" t="str">
        <f aca="false">IF(ISBLANK(G130),"",IF(ISNUMBER(F130),ROUND(F130*G130,2),"Укажите цену"))</f>
        <v/>
      </c>
      <c r="I130" s="57"/>
      <c r="J130" s="26"/>
      <c r="K130" s="57"/>
      <c r="L130" s="57"/>
      <c r="M130" s="57"/>
      <c r="N130" s="57"/>
      <c r="O130" s="57"/>
      <c r="P130" s="57"/>
      <c r="Q130" s="59"/>
      <c r="R130" s="77"/>
      <c r="S130" s="60"/>
      <c r="T130" s="61"/>
      <c r="U130" s="61"/>
      <c r="V130" s="61"/>
      <c r="W130" s="61"/>
      <c r="X130" s="61"/>
      <c r="Y130" s="61"/>
      <c r="Z130" s="61"/>
    </row>
    <row r="131" s="62" customFormat="true" ht="60" hidden="false" customHeight="true" outlineLevel="2" collapsed="false">
      <c r="A131" s="63" t="s">
        <v>1454</v>
      </c>
      <c r="B131" s="57"/>
      <c r="C131" s="57"/>
      <c r="D131" s="53" t="s">
        <v>1455</v>
      </c>
      <c r="E131" s="53" t="s">
        <v>89</v>
      </c>
      <c r="F131" s="54" t="n">
        <v>171.25</v>
      </c>
      <c r="G131" s="55"/>
      <c r="H131" s="56" t="str">
        <f aca="false">IF(ISBLANK(G131),"",IF(ISNUMBER(F131),ROUND(F131*G131,2),"Укажите цену"))</f>
        <v/>
      </c>
      <c r="I131" s="57" t="n">
        <v>76</v>
      </c>
      <c r="J131" s="26" t="n">
        <v>20.1</v>
      </c>
      <c r="K131" s="57" t="s">
        <v>1456</v>
      </c>
      <c r="L131" s="57" t="n">
        <v>60</v>
      </c>
      <c r="M131" s="57" t="s">
        <v>284</v>
      </c>
      <c r="N131" s="57" t="n">
        <v>240</v>
      </c>
      <c r="O131" s="57" t="s">
        <v>696</v>
      </c>
      <c r="P131" s="58" t="n">
        <v>0.095</v>
      </c>
      <c r="Q131" s="59" t="s">
        <v>1457</v>
      </c>
      <c r="R131" s="77" t="s">
        <v>1458</v>
      </c>
      <c r="S131" s="60" t="s">
        <v>96</v>
      </c>
      <c r="T131" s="61"/>
      <c r="U131" s="61"/>
      <c r="V131" s="61"/>
      <c r="W131" s="61"/>
      <c r="X131" s="61"/>
      <c r="Y131" s="61"/>
      <c r="Z131" s="61"/>
    </row>
    <row r="132" s="62" customFormat="true" ht="60" hidden="false" customHeight="true" outlineLevel="2" collapsed="false">
      <c r="A132" s="63"/>
      <c r="B132" s="57"/>
      <c r="C132" s="57"/>
      <c r="D132" s="53" t="s">
        <v>1459</v>
      </c>
      <c r="E132" s="53" t="s">
        <v>103</v>
      </c>
      <c r="F132" s="54" t="n">
        <v>171.25</v>
      </c>
      <c r="G132" s="55"/>
      <c r="H132" s="56" t="str">
        <f aca="false">IF(ISBLANK(G132),"",IF(ISNUMBER(F132),ROUND(F132*G132,2),"Укажите цену"))</f>
        <v/>
      </c>
      <c r="I132" s="57"/>
      <c r="J132" s="26"/>
      <c r="K132" s="57"/>
      <c r="L132" s="57"/>
      <c r="M132" s="57"/>
      <c r="N132" s="57"/>
      <c r="O132" s="57"/>
      <c r="P132" s="57"/>
      <c r="Q132" s="59"/>
      <c r="R132" s="77"/>
      <c r="S132" s="60"/>
      <c r="T132" s="61"/>
      <c r="U132" s="61"/>
      <c r="V132" s="61"/>
      <c r="W132" s="61"/>
      <c r="X132" s="61"/>
      <c r="Y132" s="61"/>
      <c r="Z132" s="61"/>
    </row>
    <row r="133" s="39" customFormat="true" ht="115" hidden="false" customHeight="true" outlineLevel="2" collapsed="false">
      <c r="A133" s="51" t="s">
        <v>1460</v>
      </c>
      <c r="B133" s="57"/>
      <c r="C133" s="57"/>
      <c r="D133" s="53" t="s">
        <v>1461</v>
      </c>
      <c r="E133" s="53" t="s">
        <v>103</v>
      </c>
      <c r="F133" s="54" t="n">
        <v>176.14</v>
      </c>
      <c r="G133" s="55"/>
      <c r="H133" s="56" t="str">
        <f aca="false">IF(ISBLANK(G133),"",IF(ISNUMBER(F133),ROUND(F133*G133,2),"Укажите цену"))</f>
        <v/>
      </c>
      <c r="I133" s="101" t="n">
        <v>73</v>
      </c>
      <c r="J133" s="76" t="n">
        <v>15.7</v>
      </c>
      <c r="K133" s="102" t="s">
        <v>1462</v>
      </c>
      <c r="L133" s="101" t="n">
        <v>48</v>
      </c>
      <c r="M133" s="57" t="s">
        <v>284</v>
      </c>
      <c r="N133" s="57" t="n">
        <v>192</v>
      </c>
      <c r="O133" s="57" t="s">
        <v>696</v>
      </c>
      <c r="P133" s="58" t="n">
        <v>0.095</v>
      </c>
      <c r="Q133" s="68" t="s">
        <v>1463</v>
      </c>
      <c r="R133" s="60" t="s">
        <v>1464</v>
      </c>
      <c r="S133" s="73" t="s">
        <v>96</v>
      </c>
      <c r="T133" s="61"/>
      <c r="U133" s="105"/>
      <c r="V133" s="34"/>
      <c r="W133" s="34"/>
      <c r="X133" s="34"/>
      <c r="Y133" s="34"/>
      <c r="Z133" s="34"/>
      <c r="AA133" s="34"/>
      <c r="AB133" s="34"/>
    </row>
    <row r="134" s="39" customFormat="true" ht="55" hidden="false" customHeight="true" outlineLevel="2" collapsed="false">
      <c r="A134" s="63" t="s">
        <v>1465</v>
      </c>
      <c r="B134" s="57"/>
      <c r="C134" s="57"/>
      <c r="D134" s="53" t="s">
        <v>1466</v>
      </c>
      <c r="E134" s="53" t="s">
        <v>89</v>
      </c>
      <c r="F134" s="54" t="n">
        <v>228.33</v>
      </c>
      <c r="G134" s="55"/>
      <c r="H134" s="56" t="str">
        <f aca="false">IF(ISBLANK(G134),"",IF(ISNUMBER(F134),ROUND(F134*G134,2),"Укажите цену"))</f>
        <v/>
      </c>
      <c r="I134" s="57" t="n">
        <v>82</v>
      </c>
      <c r="J134" s="76" t="n">
        <v>12.5</v>
      </c>
      <c r="K134" s="57" t="s">
        <v>1467</v>
      </c>
      <c r="L134" s="57" t="n">
        <v>32</v>
      </c>
      <c r="M134" s="57" t="s">
        <v>284</v>
      </c>
      <c r="N134" s="57" t="n">
        <v>128</v>
      </c>
      <c r="O134" s="57" t="s">
        <v>696</v>
      </c>
      <c r="P134" s="58" t="n">
        <v>0.095</v>
      </c>
      <c r="Q134" s="68" t="s">
        <v>1468</v>
      </c>
      <c r="R134" s="60" t="s">
        <v>1469</v>
      </c>
      <c r="S134" s="73" t="s">
        <v>96</v>
      </c>
      <c r="T134" s="61"/>
      <c r="U134" s="105"/>
      <c r="V134" s="34"/>
      <c r="W134" s="34"/>
      <c r="X134" s="34"/>
      <c r="Y134" s="34"/>
      <c r="Z134" s="34"/>
      <c r="AA134" s="34"/>
      <c r="AB134" s="34"/>
    </row>
    <row r="135" s="39" customFormat="true" ht="55" hidden="false" customHeight="true" outlineLevel="2" collapsed="false">
      <c r="A135" s="63"/>
      <c r="B135" s="57"/>
      <c r="C135" s="57"/>
      <c r="D135" s="53" t="s">
        <v>1470</v>
      </c>
      <c r="E135" s="53" t="s">
        <v>103</v>
      </c>
      <c r="F135" s="54" t="n">
        <v>228.33</v>
      </c>
      <c r="G135" s="55"/>
      <c r="H135" s="56" t="str">
        <f aca="false">IF(ISBLANK(G135),"",IF(ISNUMBER(F135),ROUND(F135*G135,2),"Укажите цену"))</f>
        <v/>
      </c>
      <c r="I135" s="57"/>
      <c r="J135" s="76"/>
      <c r="K135" s="57"/>
      <c r="L135" s="57"/>
      <c r="M135" s="57"/>
      <c r="N135" s="57"/>
      <c r="O135" s="57"/>
      <c r="P135" s="57"/>
      <c r="Q135" s="68"/>
      <c r="R135" s="60"/>
      <c r="S135" s="73"/>
      <c r="T135" s="61"/>
      <c r="U135" s="105"/>
      <c r="V135" s="34"/>
      <c r="W135" s="34"/>
      <c r="X135" s="34"/>
      <c r="Y135" s="34"/>
      <c r="Z135" s="34"/>
      <c r="AA135" s="34"/>
      <c r="AB135" s="34"/>
    </row>
    <row r="136" s="39" customFormat="true" ht="115" hidden="false" customHeight="true" outlineLevel="2" collapsed="false">
      <c r="A136" s="51" t="s">
        <v>1471</v>
      </c>
      <c r="B136" s="57"/>
      <c r="C136" s="57"/>
      <c r="D136" s="53" t="s">
        <v>1472</v>
      </c>
      <c r="E136" s="53" t="s">
        <v>103</v>
      </c>
      <c r="F136" s="54" t="n">
        <v>154.94</v>
      </c>
      <c r="G136" s="55"/>
      <c r="H136" s="56" t="str">
        <f aca="false">IF(ISBLANK(G136),"",IF(ISNUMBER(F136),ROUND(F136*G136,2),"Укажите цену"))</f>
        <v/>
      </c>
      <c r="I136" s="101" t="n">
        <v>67</v>
      </c>
      <c r="J136" s="76" t="n">
        <v>13.6</v>
      </c>
      <c r="K136" s="102" t="s">
        <v>1473</v>
      </c>
      <c r="L136" s="101" t="n">
        <v>44</v>
      </c>
      <c r="M136" s="57" t="s">
        <v>284</v>
      </c>
      <c r="N136" s="57" t="n">
        <v>176</v>
      </c>
      <c r="O136" s="57" t="s">
        <v>696</v>
      </c>
      <c r="P136" s="58" t="n">
        <v>0.095</v>
      </c>
      <c r="Q136" s="68" t="s">
        <v>1474</v>
      </c>
      <c r="R136" s="60" t="s">
        <v>1475</v>
      </c>
      <c r="S136" s="73" t="s">
        <v>96</v>
      </c>
      <c r="T136" s="61"/>
      <c r="U136" s="105"/>
      <c r="V136" s="34"/>
      <c r="W136" s="34"/>
      <c r="X136" s="34"/>
      <c r="Y136" s="34"/>
      <c r="Z136" s="34"/>
      <c r="AA136" s="34"/>
      <c r="AB136" s="34"/>
    </row>
    <row r="137" s="39" customFormat="true" ht="115" hidden="false" customHeight="true" outlineLevel="2" collapsed="false">
      <c r="A137" s="51" t="s">
        <v>1476</v>
      </c>
      <c r="B137" s="75"/>
      <c r="C137" s="57"/>
      <c r="D137" s="53" t="s">
        <v>1477</v>
      </c>
      <c r="E137" s="53" t="s">
        <v>103</v>
      </c>
      <c r="F137" s="54" t="n">
        <v>138.63</v>
      </c>
      <c r="G137" s="55"/>
      <c r="H137" s="56" t="str">
        <f aca="false">IF(ISBLANK(G137),"",IF(ISNUMBER(F137),ROUND(F137*G137,2),"Укажите цену"))</f>
        <v/>
      </c>
      <c r="I137" s="57" t="n">
        <v>56</v>
      </c>
      <c r="J137" s="76" t="n">
        <v>21.13</v>
      </c>
      <c r="K137" s="57" t="s">
        <v>1478</v>
      </c>
      <c r="L137" s="57" t="n">
        <v>83</v>
      </c>
      <c r="M137" s="26" t="s">
        <v>284</v>
      </c>
      <c r="N137" s="57" t="n">
        <v>332</v>
      </c>
      <c r="O137" s="57" t="s">
        <v>1479</v>
      </c>
      <c r="P137" s="58" t="n">
        <v>0.095</v>
      </c>
      <c r="Q137" s="68" t="s">
        <v>1480</v>
      </c>
      <c r="R137" s="60" t="s">
        <v>1481</v>
      </c>
      <c r="S137" s="72" t="s">
        <v>1482</v>
      </c>
      <c r="T137" s="61"/>
      <c r="U137" s="105"/>
      <c r="V137" s="34"/>
      <c r="W137" s="34"/>
      <c r="X137" s="34"/>
      <c r="Y137" s="34"/>
      <c r="Z137" s="34"/>
      <c r="AA137" s="34"/>
      <c r="AB137" s="34"/>
      <c r="AC137" s="34"/>
      <c r="AD137" s="34"/>
      <c r="AE137" s="34"/>
      <c r="AF137" s="34"/>
      <c r="AG137" s="34"/>
      <c r="AH137" s="34"/>
      <c r="AI137" s="34"/>
      <c r="AJ137" s="34"/>
      <c r="AK137" s="34"/>
    </row>
    <row r="138" s="39" customFormat="true" ht="115" hidden="false" customHeight="true" outlineLevel="2" collapsed="false">
      <c r="A138" s="51" t="s">
        <v>1483</v>
      </c>
      <c r="B138" s="75"/>
      <c r="C138" s="57"/>
      <c r="D138" s="53" t="s">
        <v>1484</v>
      </c>
      <c r="E138" s="53" t="s">
        <v>103</v>
      </c>
      <c r="F138" s="54" t="n">
        <v>171.25</v>
      </c>
      <c r="G138" s="55"/>
      <c r="H138" s="56" t="str">
        <f aca="false">IF(ISBLANK(G138),"",IF(ISNUMBER(F138),ROUND(F138*G138,2),"Укажите цену"))</f>
        <v/>
      </c>
      <c r="I138" s="57" t="n">
        <v>82</v>
      </c>
      <c r="J138" s="76" t="n">
        <v>17.1</v>
      </c>
      <c r="K138" s="57" t="s">
        <v>1485</v>
      </c>
      <c r="L138" s="57" t="n">
        <v>48</v>
      </c>
      <c r="M138" s="26" t="s">
        <v>284</v>
      </c>
      <c r="N138" s="57" t="n">
        <v>192</v>
      </c>
      <c r="O138" s="57" t="s">
        <v>1215</v>
      </c>
      <c r="P138" s="58" t="n">
        <v>0.10677394</v>
      </c>
      <c r="Q138" s="68" t="s">
        <v>1486</v>
      </c>
      <c r="R138" s="60" t="s">
        <v>1487</v>
      </c>
      <c r="S138" s="72" t="s">
        <v>1488</v>
      </c>
      <c r="T138" s="61"/>
      <c r="U138" s="105"/>
      <c r="V138" s="34"/>
      <c r="W138" s="34"/>
      <c r="X138" s="34"/>
      <c r="Y138" s="34"/>
      <c r="Z138" s="34"/>
      <c r="AA138" s="34"/>
      <c r="AB138" s="34"/>
      <c r="AC138" s="34"/>
      <c r="AD138" s="34"/>
      <c r="AE138" s="34"/>
      <c r="AF138" s="34"/>
      <c r="AG138" s="34"/>
      <c r="AH138" s="34"/>
      <c r="AI138" s="34"/>
      <c r="AJ138" s="34"/>
      <c r="AK138" s="34"/>
    </row>
    <row r="139" s="39" customFormat="true" ht="115" hidden="false" customHeight="true" outlineLevel="2" collapsed="false">
      <c r="A139" s="51" t="s">
        <v>1489</v>
      </c>
      <c r="B139" s="75"/>
      <c r="C139" s="57"/>
      <c r="D139" s="53" t="s">
        <v>1490</v>
      </c>
      <c r="E139" s="53" t="s">
        <v>103</v>
      </c>
      <c r="F139" s="54" t="n">
        <v>187.56</v>
      </c>
      <c r="G139" s="55"/>
      <c r="H139" s="56" t="str">
        <f aca="false">IF(ISBLANK(G139),"",IF(ISNUMBER(F139),ROUND(F139*G139,2),"Укажите цену"))</f>
        <v/>
      </c>
      <c r="I139" s="57" t="n">
        <v>82</v>
      </c>
      <c r="J139" s="76" t="n">
        <v>17.1</v>
      </c>
      <c r="K139" s="57" t="s">
        <v>1485</v>
      </c>
      <c r="L139" s="57" t="n">
        <v>48</v>
      </c>
      <c r="M139" s="26" t="s">
        <v>284</v>
      </c>
      <c r="N139" s="57" t="n">
        <v>192</v>
      </c>
      <c r="O139" s="57" t="s">
        <v>1215</v>
      </c>
      <c r="P139" s="58" t="n">
        <v>0.10677394</v>
      </c>
      <c r="Q139" s="68" t="s">
        <v>1486</v>
      </c>
      <c r="R139" s="60" t="s">
        <v>1491</v>
      </c>
      <c r="S139" s="72" t="s">
        <v>1488</v>
      </c>
      <c r="T139" s="61"/>
      <c r="U139" s="105"/>
      <c r="V139" s="34"/>
      <c r="W139" s="34"/>
      <c r="X139" s="34"/>
      <c r="Y139" s="34"/>
      <c r="Z139" s="34"/>
      <c r="AA139" s="34"/>
      <c r="AB139" s="34"/>
      <c r="AC139" s="34"/>
      <c r="AD139" s="34"/>
      <c r="AE139" s="34"/>
      <c r="AF139" s="34"/>
      <c r="AG139" s="34"/>
      <c r="AH139" s="34"/>
      <c r="AI139" s="34"/>
      <c r="AJ139" s="34"/>
      <c r="AK139" s="34"/>
    </row>
    <row r="140" s="152" customFormat="true" ht="115" hidden="false" customHeight="true" outlineLevel="2" collapsed="false">
      <c r="A140" s="51" t="s">
        <v>1492</v>
      </c>
      <c r="B140" s="57"/>
      <c r="C140" s="57"/>
      <c r="D140" s="53" t="s">
        <v>1493</v>
      </c>
      <c r="E140" s="53" t="s">
        <v>103</v>
      </c>
      <c r="F140" s="54" t="n">
        <v>138.63</v>
      </c>
      <c r="G140" s="55"/>
      <c r="H140" s="56" t="str">
        <f aca="false">IF(ISBLANK(G140),"",IF(ISNUMBER(F140),ROUND(F140*G140,2),"Укажите цену"))</f>
        <v/>
      </c>
      <c r="I140" s="57" t="n">
        <v>60</v>
      </c>
      <c r="J140" s="57" t="n">
        <v>20.2</v>
      </c>
      <c r="K140" s="57" t="s">
        <v>1494</v>
      </c>
      <c r="L140" s="57" t="n">
        <v>76</v>
      </c>
      <c r="M140" s="57" t="s">
        <v>284</v>
      </c>
      <c r="N140" s="57" t="n">
        <v>304</v>
      </c>
      <c r="O140" s="57" t="s">
        <v>1215</v>
      </c>
      <c r="P140" s="58" t="n">
        <v>0.10677394</v>
      </c>
      <c r="Q140" s="68" t="s">
        <v>1495</v>
      </c>
      <c r="R140" s="77" t="s">
        <v>1496</v>
      </c>
      <c r="S140" s="151" t="s">
        <v>96</v>
      </c>
      <c r="T140" s="61"/>
      <c r="AA140" s="153"/>
      <c r="AB140" s="153"/>
      <c r="AC140" s="154"/>
      <c r="AD140" s="154"/>
      <c r="AE140" s="154"/>
      <c r="AF140" s="154"/>
      <c r="AG140" s="154"/>
      <c r="AH140" s="154"/>
      <c r="AI140" s="154"/>
      <c r="AJ140" s="154"/>
      <c r="AK140" s="154"/>
      <c r="AL140" s="154"/>
      <c r="AM140" s="154"/>
      <c r="AN140" s="154"/>
      <c r="AO140" s="154"/>
      <c r="AP140" s="154"/>
      <c r="AQ140" s="154"/>
      <c r="AR140" s="154"/>
      <c r="AS140" s="154"/>
      <c r="AT140" s="154"/>
      <c r="AU140" s="154"/>
      <c r="AV140" s="154"/>
      <c r="AW140" s="154"/>
      <c r="AX140" s="154"/>
      <c r="AY140" s="154"/>
      <c r="AZ140" s="154"/>
      <c r="BA140" s="154"/>
      <c r="BB140" s="154"/>
      <c r="BC140" s="154"/>
      <c r="BD140" s="154"/>
      <c r="BE140" s="154"/>
      <c r="BF140" s="154"/>
      <c r="BG140" s="154"/>
      <c r="BH140" s="154"/>
      <c r="BI140" s="154"/>
      <c r="BJ140" s="154"/>
      <c r="BK140" s="154"/>
      <c r="BL140" s="154"/>
      <c r="BM140" s="154"/>
      <c r="BN140" s="154"/>
      <c r="BO140" s="154"/>
      <c r="BP140" s="154"/>
      <c r="BQ140" s="154"/>
      <c r="BR140" s="154"/>
      <c r="BS140" s="154"/>
      <c r="BT140" s="154"/>
      <c r="BU140" s="154"/>
      <c r="BV140" s="154"/>
      <c r="BW140" s="154"/>
      <c r="BX140" s="154"/>
      <c r="BY140" s="154"/>
      <c r="BZ140" s="154"/>
      <c r="CA140" s="154"/>
      <c r="CB140" s="154"/>
      <c r="CC140" s="154"/>
      <c r="CD140" s="154"/>
      <c r="CE140" s="154"/>
      <c r="CF140" s="154"/>
      <c r="CG140" s="154"/>
      <c r="CH140" s="154"/>
      <c r="CI140" s="154"/>
      <c r="CJ140" s="154"/>
      <c r="CK140" s="154"/>
      <c r="CL140" s="154"/>
      <c r="CM140" s="154"/>
      <c r="CN140" s="154"/>
      <c r="CO140" s="154"/>
      <c r="CP140" s="154"/>
      <c r="CQ140" s="154"/>
      <c r="CR140" s="154"/>
      <c r="CS140" s="154"/>
      <c r="CT140" s="154"/>
      <c r="CU140" s="154"/>
      <c r="CV140" s="154"/>
      <c r="CW140" s="154"/>
      <c r="CX140" s="154"/>
      <c r="CY140" s="154"/>
      <c r="CZ140" s="154"/>
      <c r="DA140" s="154"/>
      <c r="DB140" s="154"/>
      <c r="DC140" s="154"/>
      <c r="DD140" s="154"/>
      <c r="DE140" s="154"/>
      <c r="DF140" s="154"/>
      <c r="DG140" s="154"/>
      <c r="DH140" s="154"/>
      <c r="DI140" s="154"/>
      <c r="DJ140" s="154"/>
      <c r="DK140" s="154"/>
      <c r="DL140" s="154"/>
      <c r="DM140" s="154"/>
      <c r="DN140" s="154"/>
      <c r="DO140" s="154"/>
      <c r="DP140" s="154"/>
      <c r="DQ140" s="154"/>
      <c r="DR140" s="154"/>
      <c r="DS140" s="154"/>
      <c r="DT140" s="154"/>
      <c r="DU140" s="154"/>
      <c r="DV140" s="154"/>
      <c r="DW140" s="154"/>
      <c r="DX140" s="154"/>
      <c r="DY140" s="154"/>
      <c r="DZ140" s="154"/>
      <c r="EA140" s="154"/>
      <c r="EB140" s="154"/>
      <c r="EC140" s="154"/>
      <c r="ED140" s="154"/>
      <c r="EE140" s="154"/>
      <c r="EF140" s="154"/>
      <c r="EG140" s="154"/>
      <c r="EH140" s="154"/>
      <c r="EI140" s="154"/>
      <c r="EJ140" s="154"/>
      <c r="EK140" s="154"/>
      <c r="EL140" s="154"/>
      <c r="EM140" s="154"/>
      <c r="EN140" s="154"/>
      <c r="EO140" s="154"/>
      <c r="EP140" s="154"/>
      <c r="EQ140" s="154"/>
      <c r="ER140" s="154"/>
      <c r="ES140" s="154"/>
      <c r="ET140" s="154"/>
      <c r="EU140" s="154"/>
      <c r="EV140" s="154"/>
      <c r="EW140" s="154"/>
      <c r="EX140" s="154"/>
      <c r="EY140" s="154"/>
      <c r="EZ140" s="154"/>
      <c r="FA140" s="154"/>
      <c r="FB140" s="154"/>
      <c r="FC140" s="154"/>
      <c r="FD140" s="154"/>
      <c r="FE140" s="154"/>
      <c r="FF140" s="154"/>
      <c r="FG140" s="154"/>
      <c r="FH140" s="154"/>
      <c r="FI140" s="154"/>
      <c r="FJ140" s="154"/>
      <c r="FK140" s="154"/>
      <c r="FL140" s="154"/>
      <c r="FM140" s="154"/>
      <c r="FN140" s="154"/>
      <c r="FO140" s="154"/>
      <c r="FP140" s="154"/>
      <c r="FQ140" s="154"/>
      <c r="FR140" s="154"/>
      <c r="FS140" s="154"/>
      <c r="FT140" s="154"/>
      <c r="FU140" s="154"/>
      <c r="FV140" s="154"/>
      <c r="FW140" s="154"/>
      <c r="FX140" s="154"/>
      <c r="FY140" s="154"/>
      <c r="FZ140" s="154"/>
      <c r="GA140" s="154"/>
      <c r="GB140" s="154"/>
      <c r="GC140" s="154"/>
      <c r="GD140" s="154"/>
      <c r="GE140" s="154"/>
      <c r="GF140" s="154"/>
      <c r="GG140" s="154"/>
      <c r="GH140" s="154"/>
      <c r="GI140" s="154"/>
      <c r="GJ140" s="154"/>
      <c r="GK140" s="154"/>
      <c r="GL140" s="154"/>
      <c r="GM140" s="154"/>
      <c r="GN140" s="154"/>
      <c r="GO140" s="154"/>
      <c r="GP140" s="154"/>
      <c r="GQ140" s="154"/>
      <c r="GR140" s="154"/>
      <c r="GS140" s="154"/>
      <c r="GT140" s="154"/>
      <c r="GU140" s="154"/>
      <c r="GV140" s="154"/>
      <c r="GW140" s="154"/>
      <c r="GX140" s="154"/>
      <c r="GY140" s="154"/>
      <c r="GZ140" s="154"/>
      <c r="HA140" s="154"/>
      <c r="HB140" s="154"/>
      <c r="HC140" s="154"/>
      <c r="HD140" s="154"/>
      <c r="HE140" s="154"/>
      <c r="HF140" s="154"/>
      <c r="HG140" s="154"/>
      <c r="HH140" s="154"/>
      <c r="HI140" s="154"/>
      <c r="HJ140" s="154"/>
      <c r="HK140" s="154"/>
      <c r="HL140" s="154"/>
      <c r="HM140" s="154"/>
      <c r="HN140" s="154"/>
      <c r="HO140" s="154"/>
      <c r="HP140" s="154"/>
      <c r="HQ140" s="154"/>
      <c r="HR140" s="154"/>
      <c r="HS140" s="154"/>
      <c r="HT140" s="154"/>
      <c r="HU140" s="154"/>
      <c r="HV140" s="154"/>
      <c r="HW140" s="154"/>
      <c r="HX140" s="154"/>
      <c r="HY140" s="154"/>
      <c r="HZ140" s="154"/>
      <c r="IA140" s="154"/>
      <c r="IB140" s="154"/>
      <c r="IC140" s="154"/>
      <c r="ID140" s="154"/>
      <c r="IE140" s="154"/>
      <c r="IF140" s="154"/>
      <c r="IG140" s="154"/>
      <c r="IH140" s="154"/>
      <c r="II140" s="154"/>
      <c r="IJ140" s="154"/>
      <c r="IK140" s="154"/>
      <c r="IL140" s="154"/>
      <c r="IM140" s="154"/>
      <c r="IN140" s="154"/>
      <c r="IO140" s="154"/>
      <c r="IP140" s="154"/>
      <c r="IQ140" s="154"/>
      <c r="IR140" s="154"/>
      <c r="IS140" s="154"/>
      <c r="IT140" s="154"/>
      <c r="IU140" s="154"/>
      <c r="IV140" s="154"/>
      <c r="IW140" s="154"/>
    </row>
    <row r="141" s="70" customFormat="true" ht="115" hidden="false" customHeight="true" outlineLevel="2" collapsed="false">
      <c r="A141" s="51" t="s">
        <v>1497</v>
      </c>
      <c r="B141" s="57"/>
      <c r="C141" s="57"/>
      <c r="D141" s="53" t="s">
        <v>1498</v>
      </c>
      <c r="E141" s="53" t="s">
        <v>103</v>
      </c>
      <c r="F141" s="54" t="n">
        <v>212.02</v>
      </c>
      <c r="G141" s="55"/>
      <c r="H141" s="56" t="str">
        <f aca="false">IF(ISBLANK(G141),"",IF(ISNUMBER(F141),ROUND(F141*G141,2),"Укажите цену"))</f>
        <v/>
      </c>
      <c r="I141" s="57" t="n">
        <v>82</v>
      </c>
      <c r="J141" s="57" t="n">
        <v>17.8</v>
      </c>
      <c r="K141" s="57" t="s">
        <v>1499</v>
      </c>
      <c r="L141" s="57" t="n">
        <v>48</v>
      </c>
      <c r="M141" s="57" t="s">
        <v>284</v>
      </c>
      <c r="N141" s="57" t="n">
        <v>192</v>
      </c>
      <c r="O141" s="57" t="s">
        <v>1215</v>
      </c>
      <c r="P141" s="58" t="n">
        <v>0.10677394</v>
      </c>
      <c r="Q141" s="68" t="s">
        <v>1500</v>
      </c>
      <c r="R141" s="77" t="s">
        <v>1501</v>
      </c>
      <c r="S141" s="155" t="s">
        <v>96</v>
      </c>
      <c r="T141" s="61"/>
    </row>
    <row r="142" s="152" customFormat="true" ht="115" hidden="false" customHeight="true" outlineLevel="2" collapsed="false">
      <c r="A142" s="51" t="s">
        <v>1502</v>
      </c>
      <c r="B142" s="57"/>
      <c r="C142" s="57"/>
      <c r="D142" s="53" t="s">
        <v>1503</v>
      </c>
      <c r="E142" s="53" t="s">
        <v>103</v>
      </c>
      <c r="F142" s="54" t="n">
        <v>179.4</v>
      </c>
      <c r="G142" s="55"/>
      <c r="H142" s="56" t="str">
        <f aca="false">IF(ISBLANK(G142),"",IF(ISNUMBER(F142),ROUND(F142*G142,2),"Укажите цену"))</f>
        <v/>
      </c>
      <c r="I142" s="57" t="n">
        <v>82</v>
      </c>
      <c r="J142" s="57" t="n">
        <v>17.8</v>
      </c>
      <c r="K142" s="57" t="s">
        <v>1499</v>
      </c>
      <c r="L142" s="57" t="n">
        <v>48</v>
      </c>
      <c r="M142" s="57" t="s">
        <v>284</v>
      </c>
      <c r="N142" s="57" t="n">
        <v>192</v>
      </c>
      <c r="O142" s="57" t="s">
        <v>1215</v>
      </c>
      <c r="P142" s="58" t="n">
        <v>0.10677394</v>
      </c>
      <c r="Q142" s="68" t="s">
        <v>1504</v>
      </c>
      <c r="R142" s="77" t="s">
        <v>1505</v>
      </c>
      <c r="S142" s="156" t="s">
        <v>96</v>
      </c>
      <c r="T142" s="61"/>
      <c r="AA142" s="153"/>
      <c r="AB142" s="153"/>
      <c r="AC142" s="154"/>
      <c r="AD142" s="154"/>
      <c r="AE142" s="154"/>
      <c r="AF142" s="154"/>
      <c r="AG142" s="154"/>
      <c r="AH142" s="154"/>
      <c r="AI142" s="154"/>
      <c r="AJ142" s="154"/>
      <c r="AK142" s="154"/>
      <c r="AL142" s="154"/>
      <c r="AM142" s="154"/>
      <c r="AN142" s="154"/>
      <c r="AO142" s="154"/>
      <c r="AP142" s="154"/>
      <c r="AQ142" s="154"/>
      <c r="AR142" s="154"/>
      <c r="AS142" s="154"/>
      <c r="AT142" s="154"/>
      <c r="AU142" s="154"/>
      <c r="AV142" s="154"/>
      <c r="AW142" s="154"/>
      <c r="AX142" s="154"/>
      <c r="AY142" s="154"/>
      <c r="AZ142" s="154"/>
      <c r="BA142" s="154"/>
      <c r="BB142" s="154"/>
      <c r="BC142" s="154"/>
      <c r="BD142" s="154"/>
      <c r="BE142" s="154"/>
      <c r="BF142" s="154"/>
      <c r="BG142" s="154"/>
      <c r="BH142" s="154"/>
      <c r="BI142" s="154"/>
      <c r="BJ142" s="154"/>
      <c r="BK142" s="154"/>
      <c r="BL142" s="154"/>
      <c r="BM142" s="154"/>
      <c r="BN142" s="154"/>
      <c r="BO142" s="154"/>
      <c r="BP142" s="154"/>
      <c r="BQ142" s="154"/>
      <c r="BR142" s="154"/>
      <c r="BS142" s="154"/>
      <c r="BT142" s="154"/>
      <c r="BU142" s="154"/>
      <c r="BV142" s="154"/>
      <c r="BW142" s="154"/>
      <c r="BX142" s="154"/>
      <c r="BY142" s="154"/>
      <c r="BZ142" s="154"/>
      <c r="CA142" s="154"/>
      <c r="CB142" s="154"/>
      <c r="CC142" s="154"/>
      <c r="CD142" s="154"/>
      <c r="CE142" s="154"/>
      <c r="CF142" s="154"/>
      <c r="CG142" s="154"/>
      <c r="CH142" s="154"/>
      <c r="CI142" s="154"/>
      <c r="CJ142" s="154"/>
      <c r="CK142" s="154"/>
      <c r="CL142" s="154"/>
      <c r="CM142" s="154"/>
      <c r="CN142" s="154"/>
      <c r="CO142" s="154"/>
      <c r="CP142" s="154"/>
      <c r="CQ142" s="154"/>
      <c r="CR142" s="154"/>
      <c r="CS142" s="154"/>
      <c r="CT142" s="154"/>
      <c r="CU142" s="154"/>
      <c r="CV142" s="154"/>
      <c r="CW142" s="154"/>
      <c r="CX142" s="154"/>
      <c r="CY142" s="154"/>
      <c r="CZ142" s="154"/>
      <c r="DA142" s="154"/>
      <c r="DB142" s="154"/>
      <c r="DC142" s="154"/>
      <c r="DD142" s="154"/>
      <c r="DE142" s="154"/>
      <c r="DF142" s="154"/>
      <c r="DG142" s="154"/>
      <c r="DH142" s="154"/>
      <c r="DI142" s="154"/>
      <c r="DJ142" s="154"/>
      <c r="DK142" s="154"/>
      <c r="DL142" s="154"/>
      <c r="DM142" s="154"/>
      <c r="DN142" s="154"/>
      <c r="DO142" s="154"/>
      <c r="DP142" s="154"/>
      <c r="DQ142" s="154"/>
      <c r="DR142" s="154"/>
      <c r="DS142" s="154"/>
      <c r="DT142" s="154"/>
      <c r="DU142" s="154"/>
      <c r="DV142" s="154"/>
      <c r="DW142" s="154"/>
      <c r="DX142" s="154"/>
      <c r="DY142" s="154"/>
      <c r="DZ142" s="154"/>
      <c r="EA142" s="154"/>
      <c r="EB142" s="154"/>
      <c r="EC142" s="154"/>
      <c r="ED142" s="154"/>
      <c r="EE142" s="154"/>
      <c r="EF142" s="154"/>
      <c r="EG142" s="154"/>
      <c r="EH142" s="154"/>
      <c r="EI142" s="154"/>
      <c r="EJ142" s="154"/>
      <c r="EK142" s="154"/>
      <c r="EL142" s="154"/>
      <c r="EM142" s="154"/>
      <c r="EN142" s="154"/>
      <c r="EO142" s="154"/>
      <c r="EP142" s="154"/>
      <c r="EQ142" s="154"/>
      <c r="ER142" s="154"/>
      <c r="ES142" s="154"/>
      <c r="ET142" s="154"/>
      <c r="EU142" s="154"/>
      <c r="EV142" s="154"/>
      <c r="EW142" s="154"/>
      <c r="EX142" s="154"/>
      <c r="EY142" s="154"/>
      <c r="EZ142" s="154"/>
      <c r="FA142" s="154"/>
      <c r="FB142" s="154"/>
      <c r="FC142" s="154"/>
      <c r="FD142" s="154"/>
      <c r="FE142" s="154"/>
      <c r="FF142" s="154"/>
      <c r="FG142" s="154"/>
      <c r="FH142" s="154"/>
      <c r="FI142" s="154"/>
      <c r="FJ142" s="154"/>
      <c r="FK142" s="154"/>
      <c r="FL142" s="154"/>
      <c r="FM142" s="154"/>
      <c r="FN142" s="154"/>
      <c r="FO142" s="154"/>
      <c r="FP142" s="154"/>
      <c r="FQ142" s="154"/>
      <c r="FR142" s="154"/>
      <c r="FS142" s="154"/>
      <c r="FT142" s="154"/>
      <c r="FU142" s="154"/>
      <c r="FV142" s="154"/>
      <c r="FW142" s="154"/>
      <c r="FX142" s="154"/>
      <c r="FY142" s="154"/>
      <c r="FZ142" s="154"/>
      <c r="GA142" s="154"/>
      <c r="GB142" s="154"/>
      <c r="GC142" s="154"/>
      <c r="GD142" s="154"/>
      <c r="GE142" s="154"/>
      <c r="GF142" s="154"/>
      <c r="GG142" s="154"/>
      <c r="GH142" s="154"/>
      <c r="GI142" s="154"/>
      <c r="GJ142" s="154"/>
      <c r="GK142" s="154"/>
      <c r="GL142" s="154"/>
      <c r="GM142" s="154"/>
      <c r="GN142" s="154"/>
      <c r="GO142" s="154"/>
      <c r="GP142" s="154"/>
      <c r="GQ142" s="154"/>
      <c r="GR142" s="154"/>
      <c r="GS142" s="154"/>
      <c r="GT142" s="154"/>
      <c r="GU142" s="154"/>
      <c r="GV142" s="154"/>
      <c r="GW142" s="154"/>
      <c r="GX142" s="154"/>
      <c r="GY142" s="154"/>
      <c r="GZ142" s="154"/>
      <c r="HA142" s="154"/>
      <c r="HB142" s="154"/>
      <c r="HC142" s="154"/>
      <c r="HD142" s="154"/>
      <c r="HE142" s="154"/>
      <c r="HF142" s="154"/>
      <c r="HG142" s="154"/>
      <c r="HH142" s="154"/>
      <c r="HI142" s="154"/>
      <c r="HJ142" s="154"/>
      <c r="HK142" s="154"/>
      <c r="HL142" s="154"/>
      <c r="HM142" s="154"/>
      <c r="HN142" s="154"/>
      <c r="HO142" s="154"/>
      <c r="HP142" s="154"/>
      <c r="HQ142" s="154"/>
      <c r="HR142" s="154"/>
      <c r="HS142" s="154"/>
      <c r="HT142" s="154"/>
      <c r="HU142" s="154"/>
      <c r="HV142" s="154"/>
      <c r="HW142" s="154"/>
      <c r="HX142" s="154"/>
      <c r="HY142" s="154"/>
      <c r="HZ142" s="154"/>
      <c r="IA142" s="154"/>
      <c r="IB142" s="154"/>
      <c r="IC142" s="154"/>
      <c r="ID142" s="154"/>
      <c r="IE142" s="154"/>
      <c r="IF142" s="154"/>
      <c r="IG142" s="154"/>
      <c r="IH142" s="154"/>
      <c r="II142" s="154"/>
      <c r="IJ142" s="154"/>
      <c r="IK142" s="154"/>
      <c r="IL142" s="154"/>
      <c r="IM142" s="154"/>
      <c r="IN142" s="154"/>
      <c r="IO142" s="154"/>
      <c r="IP142" s="154"/>
      <c r="IQ142" s="154"/>
      <c r="IR142" s="154"/>
      <c r="IS142" s="154"/>
      <c r="IT142" s="154"/>
      <c r="IU142" s="154"/>
      <c r="IV142" s="154"/>
      <c r="IW142" s="154"/>
    </row>
    <row r="143" s="39" customFormat="true" ht="55" hidden="false" customHeight="true" outlineLevel="2" collapsed="false">
      <c r="A143" s="63" t="s">
        <v>1506</v>
      </c>
      <c r="B143" s="75"/>
      <c r="C143" s="57"/>
      <c r="D143" s="53" t="s">
        <v>1507</v>
      </c>
      <c r="E143" s="53" t="s">
        <v>103</v>
      </c>
      <c r="F143" s="54" t="n">
        <v>89.7</v>
      </c>
      <c r="G143" s="55"/>
      <c r="H143" s="56" t="str">
        <f aca="false">IF(ISBLANK(G143),"",IF(ISNUMBER(F143),ROUND(F143*G143,2),"Укажите цену"))</f>
        <v/>
      </c>
      <c r="I143" s="57" t="n">
        <v>44</v>
      </c>
      <c r="J143" s="76" t="n">
        <v>14</v>
      </c>
      <c r="K143" s="57" t="s">
        <v>1508</v>
      </c>
      <c r="L143" s="57" t="n">
        <v>65</v>
      </c>
      <c r="M143" s="57" t="s">
        <v>284</v>
      </c>
      <c r="N143" s="57" t="n">
        <v>260</v>
      </c>
      <c r="O143" s="57" t="s">
        <v>1215</v>
      </c>
      <c r="P143" s="58" t="n">
        <v>0.095</v>
      </c>
      <c r="Q143" s="59" t="s">
        <v>1509</v>
      </c>
      <c r="R143" s="60" t="s">
        <v>1510</v>
      </c>
      <c r="S143" s="72" t="s">
        <v>1511</v>
      </c>
      <c r="T143" s="61"/>
      <c r="U143" s="105"/>
      <c r="V143" s="34"/>
      <c r="W143" s="34"/>
      <c r="X143" s="34"/>
      <c r="Y143" s="34"/>
      <c r="Z143" s="34"/>
      <c r="AA143" s="34"/>
      <c r="AB143" s="34"/>
      <c r="AC143" s="34"/>
      <c r="AD143" s="34"/>
      <c r="AE143" s="34"/>
      <c r="AF143" s="34"/>
      <c r="AG143" s="34"/>
      <c r="AH143" s="34"/>
      <c r="AI143" s="34"/>
      <c r="AJ143" s="34"/>
      <c r="AK143" s="34"/>
    </row>
    <row r="144" s="39" customFormat="true" ht="55" hidden="false" customHeight="true" outlineLevel="2" collapsed="false">
      <c r="A144" s="63"/>
      <c r="B144" s="75"/>
      <c r="C144" s="57"/>
      <c r="D144" s="53" t="s">
        <v>1512</v>
      </c>
      <c r="E144" s="53" t="s">
        <v>89</v>
      </c>
      <c r="F144" s="54" t="n">
        <v>89.7</v>
      </c>
      <c r="G144" s="55"/>
      <c r="H144" s="56" t="str">
        <f aca="false">IF(ISBLANK(G144),"",IF(ISNUMBER(F144),ROUND(F144*G144,2),"Укажите цену"))</f>
        <v/>
      </c>
      <c r="I144" s="57"/>
      <c r="J144" s="76"/>
      <c r="K144" s="57"/>
      <c r="L144" s="57"/>
      <c r="M144" s="57"/>
      <c r="N144" s="57"/>
      <c r="O144" s="57"/>
      <c r="P144" s="58"/>
      <c r="Q144" s="59"/>
      <c r="R144" s="60"/>
      <c r="S144" s="72"/>
      <c r="T144" s="61"/>
      <c r="U144" s="105"/>
      <c r="V144" s="34"/>
      <c r="W144" s="34"/>
      <c r="X144" s="34"/>
      <c r="Y144" s="34"/>
      <c r="Z144" s="34"/>
      <c r="AA144" s="34"/>
      <c r="AB144" s="34"/>
      <c r="AC144" s="34"/>
      <c r="AD144" s="34"/>
      <c r="AE144" s="34"/>
      <c r="AF144" s="34"/>
      <c r="AG144" s="34"/>
      <c r="AH144" s="34"/>
      <c r="AI144" s="34"/>
      <c r="AJ144" s="34"/>
      <c r="AK144" s="34"/>
    </row>
    <row r="145" s="39" customFormat="true" ht="55" hidden="false" customHeight="true" outlineLevel="2" collapsed="false">
      <c r="A145" s="63" t="s">
        <v>1513</v>
      </c>
      <c r="B145" s="75"/>
      <c r="C145" s="57"/>
      <c r="D145" s="53" t="s">
        <v>1514</v>
      </c>
      <c r="E145" s="53" t="s">
        <v>103</v>
      </c>
      <c r="F145" s="54" t="n">
        <v>130.48</v>
      </c>
      <c r="G145" s="55"/>
      <c r="H145" s="56" t="str">
        <f aca="false">IF(ISBLANK(G145),"",IF(ISNUMBER(F145),ROUND(F145*G145,2),"Укажите цену"))</f>
        <v/>
      </c>
      <c r="I145" s="57" t="n">
        <v>66</v>
      </c>
      <c r="J145" s="76" t="n">
        <v>15</v>
      </c>
      <c r="K145" s="57" t="s">
        <v>1515</v>
      </c>
      <c r="L145" s="57" t="n">
        <v>48</v>
      </c>
      <c r="M145" s="57" t="s">
        <v>284</v>
      </c>
      <c r="N145" s="57" t="n">
        <v>192</v>
      </c>
      <c r="O145" s="57" t="s">
        <v>1479</v>
      </c>
      <c r="P145" s="58" t="n">
        <v>0.095</v>
      </c>
      <c r="Q145" s="59" t="s">
        <v>1516</v>
      </c>
      <c r="R145" s="60" t="s">
        <v>1517</v>
      </c>
      <c r="S145" s="73" t="s">
        <v>96</v>
      </c>
      <c r="T145" s="61"/>
      <c r="U145" s="105"/>
      <c r="V145" s="34"/>
      <c r="W145" s="34"/>
      <c r="X145" s="34"/>
      <c r="Y145" s="34"/>
      <c r="Z145" s="34"/>
      <c r="AA145" s="34"/>
      <c r="AB145" s="34"/>
      <c r="AC145" s="34"/>
      <c r="AD145" s="34"/>
      <c r="AE145" s="34"/>
      <c r="AF145" s="34"/>
      <c r="AG145" s="34"/>
      <c r="AH145" s="34"/>
      <c r="AI145" s="34"/>
      <c r="AJ145" s="34"/>
      <c r="AK145" s="34"/>
    </row>
    <row r="146" s="39" customFormat="true" ht="55" hidden="false" customHeight="true" outlineLevel="2" collapsed="false">
      <c r="A146" s="63"/>
      <c r="B146" s="75"/>
      <c r="C146" s="57"/>
      <c r="D146" s="53" t="s">
        <v>1518</v>
      </c>
      <c r="E146" s="53" t="s">
        <v>89</v>
      </c>
      <c r="F146" s="54" t="n">
        <v>130.48</v>
      </c>
      <c r="G146" s="55"/>
      <c r="H146" s="56" t="str">
        <f aca="false">IF(ISBLANK(G146),"",IF(ISNUMBER(F146),ROUND(F146*G146,2),"Укажите цену"))</f>
        <v/>
      </c>
      <c r="I146" s="57"/>
      <c r="J146" s="76"/>
      <c r="K146" s="57"/>
      <c r="L146" s="57"/>
      <c r="M146" s="57"/>
      <c r="N146" s="57"/>
      <c r="O146" s="57"/>
      <c r="P146" s="58"/>
      <c r="Q146" s="59"/>
      <c r="R146" s="60"/>
      <c r="S146" s="73"/>
      <c r="T146" s="61"/>
      <c r="U146" s="105"/>
      <c r="V146" s="34"/>
      <c r="W146" s="34"/>
      <c r="X146" s="34"/>
      <c r="Y146" s="34"/>
      <c r="Z146" s="34"/>
      <c r="AA146" s="34"/>
      <c r="AB146" s="34"/>
      <c r="AC146" s="34"/>
      <c r="AD146" s="34"/>
      <c r="AE146" s="34"/>
      <c r="AF146" s="34"/>
      <c r="AG146" s="34"/>
      <c r="AH146" s="34"/>
      <c r="AI146" s="34"/>
      <c r="AJ146" s="34"/>
      <c r="AK146" s="34"/>
    </row>
    <row r="147" s="39" customFormat="true" ht="55" hidden="false" customHeight="true" outlineLevel="2" collapsed="false">
      <c r="A147" s="63" t="s">
        <v>1519</v>
      </c>
      <c r="B147" s="75"/>
      <c r="C147" s="57"/>
      <c r="D147" s="53" t="s">
        <v>1520</v>
      </c>
      <c r="E147" s="53" t="s">
        <v>103</v>
      </c>
      <c r="F147" s="54" t="n">
        <v>114.17</v>
      </c>
      <c r="G147" s="55"/>
      <c r="H147" s="56" t="str">
        <f aca="false">IF(ISBLANK(G147),"",IF(ISNUMBER(F147),ROUND(F147*G147,2),"Укажите цену"))</f>
        <v/>
      </c>
      <c r="I147" s="57" t="n">
        <v>67</v>
      </c>
      <c r="J147" s="76" t="n">
        <v>15</v>
      </c>
      <c r="K147" s="57" t="s">
        <v>1515</v>
      </c>
      <c r="L147" s="57" t="n">
        <v>48</v>
      </c>
      <c r="M147" s="57" t="s">
        <v>284</v>
      </c>
      <c r="N147" s="57" t="n">
        <v>192</v>
      </c>
      <c r="O147" s="57" t="s">
        <v>1215</v>
      </c>
      <c r="P147" s="58" t="n">
        <v>0.095</v>
      </c>
      <c r="Q147" s="59" t="s">
        <v>1521</v>
      </c>
      <c r="R147" s="60" t="s">
        <v>1522</v>
      </c>
      <c r="S147" s="60" t="s">
        <v>1523</v>
      </c>
      <c r="T147" s="61"/>
      <c r="U147" s="105"/>
      <c r="V147" s="34"/>
      <c r="W147" s="34"/>
      <c r="X147" s="34"/>
      <c r="Y147" s="34"/>
      <c r="Z147" s="34"/>
      <c r="AA147" s="34"/>
      <c r="AB147" s="34"/>
      <c r="AC147" s="34"/>
      <c r="AD147" s="34"/>
      <c r="AE147" s="34"/>
      <c r="AF147" s="34"/>
      <c r="AG147" s="34"/>
      <c r="AH147" s="34"/>
      <c r="AI147" s="34"/>
      <c r="AJ147" s="34"/>
      <c r="AK147" s="34"/>
    </row>
    <row r="148" s="39" customFormat="true" ht="55" hidden="false" customHeight="true" outlineLevel="2" collapsed="false">
      <c r="A148" s="63"/>
      <c r="B148" s="75"/>
      <c r="C148" s="57"/>
      <c r="D148" s="53" t="s">
        <v>1524</v>
      </c>
      <c r="E148" s="53" t="s">
        <v>89</v>
      </c>
      <c r="F148" s="54" t="n">
        <v>114.17</v>
      </c>
      <c r="G148" s="55"/>
      <c r="H148" s="56" t="str">
        <f aca="false">IF(ISBLANK(G148),"",IF(ISNUMBER(F148),ROUND(F148*G148,2),"Укажите цену"))</f>
        <v/>
      </c>
      <c r="I148" s="57"/>
      <c r="J148" s="76"/>
      <c r="K148" s="57"/>
      <c r="L148" s="57"/>
      <c r="M148" s="57"/>
      <c r="N148" s="57"/>
      <c r="O148" s="57"/>
      <c r="P148" s="58"/>
      <c r="Q148" s="59"/>
      <c r="R148" s="60"/>
      <c r="S148" s="60"/>
      <c r="T148" s="61"/>
      <c r="U148" s="105"/>
      <c r="V148" s="34"/>
      <c r="W148" s="34"/>
      <c r="X148" s="34"/>
      <c r="Y148" s="34"/>
      <c r="Z148" s="34"/>
      <c r="AA148" s="34"/>
      <c r="AB148" s="34"/>
      <c r="AC148" s="34"/>
      <c r="AD148" s="34"/>
      <c r="AE148" s="34"/>
      <c r="AF148" s="34"/>
      <c r="AG148" s="34"/>
      <c r="AH148" s="34"/>
      <c r="AI148" s="34"/>
      <c r="AJ148" s="34"/>
      <c r="AK148" s="34"/>
    </row>
    <row r="149" s="39" customFormat="true" ht="55" hidden="false" customHeight="true" outlineLevel="2" collapsed="false">
      <c r="A149" s="63" t="s">
        <v>1525</v>
      </c>
      <c r="B149" s="75"/>
      <c r="C149" s="57"/>
      <c r="D149" s="53" t="s">
        <v>1526</v>
      </c>
      <c r="E149" s="53" t="s">
        <v>103</v>
      </c>
      <c r="F149" s="54" t="n">
        <v>130.48</v>
      </c>
      <c r="G149" s="55"/>
      <c r="H149" s="56" t="str">
        <f aca="false">IF(ISBLANK(G149),"",IF(ISNUMBER(F149),ROUND(F149*G149,2),"Укажите цену"))</f>
        <v/>
      </c>
      <c r="I149" s="57" t="n">
        <v>67</v>
      </c>
      <c r="J149" s="76" t="n">
        <v>15</v>
      </c>
      <c r="K149" s="57" t="s">
        <v>1515</v>
      </c>
      <c r="L149" s="57" t="n">
        <v>48</v>
      </c>
      <c r="M149" s="57" t="s">
        <v>284</v>
      </c>
      <c r="N149" s="57" t="n">
        <v>192</v>
      </c>
      <c r="O149" s="57" t="s">
        <v>1215</v>
      </c>
      <c r="P149" s="58" t="n">
        <v>0.095</v>
      </c>
      <c r="Q149" s="59" t="s">
        <v>1527</v>
      </c>
      <c r="R149" s="60" t="s">
        <v>1528</v>
      </c>
      <c r="S149" s="73" t="s">
        <v>96</v>
      </c>
      <c r="T149" s="61"/>
      <c r="U149" s="105"/>
      <c r="V149" s="34"/>
      <c r="W149" s="34"/>
      <c r="X149" s="34"/>
      <c r="Y149" s="34"/>
      <c r="Z149" s="34"/>
      <c r="AA149" s="34"/>
      <c r="AB149" s="34"/>
      <c r="AC149" s="34"/>
      <c r="AD149" s="34"/>
      <c r="AE149" s="34"/>
      <c r="AF149" s="34"/>
      <c r="AG149" s="34"/>
      <c r="AH149" s="34"/>
      <c r="AI149" s="34"/>
      <c r="AJ149" s="34"/>
      <c r="AK149" s="34"/>
    </row>
    <row r="150" s="39" customFormat="true" ht="55" hidden="false" customHeight="true" outlineLevel="2" collapsed="false">
      <c r="A150" s="63"/>
      <c r="B150" s="75"/>
      <c r="C150" s="57"/>
      <c r="D150" s="53" t="s">
        <v>1529</v>
      </c>
      <c r="E150" s="53" t="s">
        <v>89</v>
      </c>
      <c r="F150" s="54" t="n">
        <v>130.48</v>
      </c>
      <c r="G150" s="55"/>
      <c r="H150" s="56" t="str">
        <f aca="false">IF(ISBLANK(G150),"",IF(ISNUMBER(F150),ROUND(F150*G150,2),"Укажите цену"))</f>
        <v/>
      </c>
      <c r="I150" s="57"/>
      <c r="J150" s="76"/>
      <c r="K150" s="57"/>
      <c r="L150" s="57"/>
      <c r="M150" s="57"/>
      <c r="N150" s="57"/>
      <c r="O150" s="57"/>
      <c r="P150" s="58"/>
      <c r="Q150" s="59"/>
      <c r="R150" s="60"/>
      <c r="S150" s="73"/>
      <c r="T150" s="61"/>
      <c r="U150" s="105"/>
      <c r="V150" s="34"/>
      <c r="W150" s="34"/>
      <c r="X150" s="34"/>
      <c r="Y150" s="34"/>
      <c r="Z150" s="34"/>
      <c r="AA150" s="34"/>
      <c r="AB150" s="34"/>
      <c r="AC150" s="34"/>
      <c r="AD150" s="34"/>
      <c r="AE150" s="34"/>
      <c r="AF150" s="34"/>
      <c r="AG150" s="34"/>
      <c r="AH150" s="34"/>
      <c r="AI150" s="34"/>
      <c r="AJ150" s="34"/>
      <c r="AK150" s="34"/>
    </row>
    <row r="151" customFormat="false" ht="30" hidden="false" customHeight="true" outlineLevel="1" collapsed="false">
      <c r="F151" s="109" t="s">
        <v>633</v>
      </c>
      <c r="G151" s="109"/>
      <c r="H151" s="109" t="n">
        <f aca="false">IF(COUNTIFS(H5:H150,"Укажите цену")&gt;0,"Укажите цены",SUM(H5:H150))</f>
        <v>0</v>
      </c>
    </row>
    <row r="152" customFormat="false" ht="50.1" hidden="false" customHeight="true" outlineLevel="0" collapsed="false">
      <c r="A152" s="110"/>
      <c r="D152" s="53"/>
      <c r="E152" s="53"/>
      <c r="I152" s="157"/>
      <c r="J152" s="158"/>
      <c r="K152" s="157"/>
      <c r="L152" s="41"/>
      <c r="M152" s="41"/>
      <c r="N152" s="41"/>
      <c r="O152" s="41"/>
      <c r="P152" s="159"/>
      <c r="Q152" s="34"/>
      <c r="T152" s="61"/>
    </row>
    <row r="153" customFormat="false" ht="50.1" hidden="false" customHeight="true" outlineLevel="0" collapsed="false">
      <c r="A153" s="110"/>
      <c r="D153" s="53"/>
      <c r="E153" s="53"/>
      <c r="I153" s="157"/>
      <c r="J153" s="158"/>
      <c r="K153" s="157"/>
      <c r="L153" s="41"/>
      <c r="M153" s="41"/>
      <c r="N153" s="41"/>
      <c r="O153" s="41"/>
      <c r="P153" s="159"/>
      <c r="Q153" s="34"/>
      <c r="T153" s="61"/>
    </row>
    <row r="154" customFormat="false" ht="50.1" hidden="false" customHeight="true" outlineLevel="0" collapsed="false">
      <c r="A154" s="110"/>
      <c r="D154" s="53"/>
      <c r="E154" s="53"/>
      <c r="I154" s="157"/>
      <c r="J154" s="158"/>
      <c r="K154" s="157"/>
      <c r="L154" s="41"/>
      <c r="M154" s="41"/>
      <c r="N154" s="41"/>
      <c r="O154" s="41"/>
      <c r="P154" s="159"/>
      <c r="Q154" s="34"/>
      <c r="T154" s="61"/>
    </row>
    <row r="155" customFormat="false" ht="50.1" hidden="false" customHeight="true" outlineLevel="0" collapsed="false">
      <c r="A155" s="110"/>
      <c r="D155" s="53"/>
      <c r="E155" s="53"/>
      <c r="I155" s="157"/>
      <c r="J155" s="158"/>
      <c r="K155" s="157"/>
      <c r="L155" s="41"/>
      <c r="M155" s="41"/>
      <c r="N155" s="41"/>
      <c r="O155" s="41"/>
      <c r="P155" s="159"/>
      <c r="Q155" s="34"/>
      <c r="T155" s="61"/>
    </row>
    <row r="156" customFormat="false" ht="50.1" hidden="false" customHeight="true" outlineLevel="0" collapsed="false">
      <c r="A156" s="110"/>
      <c r="D156" s="53"/>
      <c r="E156" s="53"/>
      <c r="I156" s="157"/>
      <c r="J156" s="158"/>
      <c r="K156" s="157"/>
      <c r="L156" s="41"/>
      <c r="M156" s="41"/>
      <c r="N156" s="41"/>
      <c r="O156" s="41"/>
      <c r="P156" s="159"/>
      <c r="Q156" s="34"/>
      <c r="T156" s="61"/>
    </row>
    <row r="157" customFormat="false" ht="50.1" hidden="false" customHeight="true" outlineLevel="0" collapsed="false">
      <c r="A157" s="110"/>
      <c r="D157" s="53"/>
      <c r="E157" s="53"/>
      <c r="I157" s="157"/>
      <c r="J157" s="158"/>
      <c r="K157" s="157"/>
      <c r="L157" s="41"/>
      <c r="M157" s="41"/>
      <c r="N157" s="41"/>
      <c r="O157" s="41"/>
      <c r="P157" s="159"/>
      <c r="Q157" s="34"/>
      <c r="T157" s="61"/>
    </row>
    <row r="158" customFormat="false" ht="50.1" hidden="false" customHeight="true" outlineLevel="0" collapsed="false">
      <c r="P158" s="160"/>
      <c r="T158" s="61"/>
    </row>
    <row r="159" customFormat="false" ht="50.1" hidden="false" customHeight="true" outlineLevel="0" collapsed="false">
      <c r="P159" s="160"/>
      <c r="T159" s="61"/>
    </row>
    <row r="160" customFormat="false" ht="50.1" hidden="false" customHeight="true" outlineLevel="0" collapsed="false">
      <c r="P160" s="160"/>
      <c r="T160" s="61"/>
    </row>
    <row r="161" customFormat="false" ht="50.1" hidden="false" customHeight="true" outlineLevel="0" collapsed="false">
      <c r="P161" s="160"/>
      <c r="T161" s="61"/>
    </row>
    <row r="162" customFormat="false" ht="50.1" hidden="false" customHeight="true" outlineLevel="0" collapsed="false">
      <c r="P162" s="160"/>
      <c r="T162" s="61"/>
    </row>
    <row r="163" customFormat="false" ht="50.1" hidden="false" customHeight="true" outlineLevel="0" collapsed="false">
      <c r="P163" s="160"/>
      <c r="T163" s="61"/>
    </row>
    <row r="164" customFormat="false" ht="50.1" hidden="false" customHeight="true" outlineLevel="0" collapsed="false">
      <c r="P164" s="160"/>
      <c r="T164" s="61"/>
    </row>
    <row r="165" customFormat="false" ht="50.1" hidden="false" customHeight="true" outlineLevel="0" collapsed="false">
      <c r="P165" s="160"/>
      <c r="T165" s="61"/>
    </row>
    <row r="166" customFormat="false" ht="50.1" hidden="false" customHeight="true" outlineLevel="0" collapsed="false">
      <c r="P166" s="160"/>
      <c r="T166" s="61"/>
    </row>
    <row r="167" customFormat="false" ht="50.1" hidden="false" customHeight="true" outlineLevel="0" collapsed="false">
      <c r="P167" s="160"/>
      <c r="T167" s="61"/>
    </row>
    <row r="168" customFormat="false" ht="50.1" hidden="false" customHeight="true" outlineLevel="0" collapsed="false">
      <c r="P168" s="160"/>
      <c r="T168" s="61"/>
    </row>
    <row r="169" customFormat="false" ht="50.1" hidden="false" customHeight="true" outlineLevel="0" collapsed="false">
      <c r="P169" s="160"/>
      <c r="T169" s="61"/>
    </row>
    <row r="170" customFormat="false" ht="50.1" hidden="false" customHeight="true" outlineLevel="0" collapsed="false">
      <c r="P170" s="160"/>
      <c r="T170" s="61"/>
    </row>
    <row r="171" customFormat="false" ht="50.1" hidden="false" customHeight="true" outlineLevel="0" collapsed="false">
      <c r="P171" s="160"/>
      <c r="T171" s="61"/>
    </row>
    <row r="172" customFormat="false" ht="50.1" hidden="false" customHeight="true" outlineLevel="0" collapsed="false">
      <c r="P172" s="160"/>
      <c r="T172" s="61"/>
    </row>
    <row r="173" customFormat="false" ht="50.1" hidden="false" customHeight="true" outlineLevel="0" collapsed="false">
      <c r="P173" s="160"/>
      <c r="T173" s="61"/>
    </row>
    <row r="174" customFormat="false" ht="50.1" hidden="false" customHeight="true" outlineLevel="0" collapsed="false">
      <c r="P174" s="160"/>
      <c r="T174" s="61"/>
    </row>
    <row r="175" customFormat="false" ht="50.1" hidden="false" customHeight="true" outlineLevel="0" collapsed="false">
      <c r="P175" s="160"/>
      <c r="T175" s="61"/>
    </row>
    <row r="176" customFormat="false" ht="50.1" hidden="false" customHeight="true" outlineLevel="0" collapsed="false">
      <c r="P176" s="160"/>
      <c r="T176" s="61"/>
    </row>
    <row r="177" customFormat="false" ht="50.1" hidden="false" customHeight="true" outlineLevel="0" collapsed="false">
      <c r="P177" s="160"/>
      <c r="T177" s="61"/>
    </row>
    <row r="178" customFormat="false" ht="50.1" hidden="false" customHeight="true" outlineLevel="0" collapsed="false">
      <c r="P178" s="160"/>
      <c r="T178" s="61"/>
    </row>
    <row r="179" customFormat="false" ht="50.1" hidden="false" customHeight="true" outlineLevel="0" collapsed="false">
      <c r="P179" s="160"/>
      <c r="T179" s="61"/>
    </row>
    <row r="180" customFormat="false" ht="50.1" hidden="false" customHeight="true" outlineLevel="0" collapsed="false">
      <c r="P180" s="160"/>
      <c r="T180" s="61"/>
    </row>
    <row r="181" customFormat="false" ht="50.1" hidden="false" customHeight="true" outlineLevel="0" collapsed="false">
      <c r="P181" s="160"/>
      <c r="T181" s="61"/>
    </row>
    <row r="182" customFormat="false" ht="50.1" hidden="false" customHeight="true" outlineLevel="0" collapsed="false">
      <c r="P182" s="160"/>
      <c r="T182" s="61"/>
    </row>
    <row r="183" customFormat="false" ht="50.1" hidden="false" customHeight="true" outlineLevel="0" collapsed="false">
      <c r="P183" s="160"/>
      <c r="T183" s="61"/>
    </row>
    <row r="184" customFormat="false" ht="50.1" hidden="false" customHeight="true" outlineLevel="0" collapsed="false">
      <c r="P184" s="160"/>
      <c r="T184" s="61"/>
    </row>
    <row r="185" customFormat="false" ht="50.1" hidden="false" customHeight="true" outlineLevel="0" collapsed="false">
      <c r="P185" s="160"/>
      <c r="T185" s="61"/>
    </row>
    <row r="186" customFormat="false" ht="50.1" hidden="false" customHeight="true" outlineLevel="0" collapsed="false">
      <c r="P186" s="160"/>
      <c r="T186" s="61"/>
    </row>
    <row r="187" customFormat="false" ht="50.1" hidden="false" customHeight="true" outlineLevel="0" collapsed="false">
      <c r="P187" s="160"/>
      <c r="T187" s="61"/>
    </row>
    <row r="188" customFormat="false" ht="50.1" hidden="false" customHeight="true" outlineLevel="0" collapsed="false">
      <c r="P188" s="160"/>
      <c r="T188" s="61"/>
    </row>
    <row r="189" customFormat="false" ht="50.1" hidden="false" customHeight="true" outlineLevel="0" collapsed="false">
      <c r="P189" s="160"/>
      <c r="T189" s="61"/>
    </row>
    <row r="190" customFormat="false" ht="50.1" hidden="false" customHeight="true" outlineLevel="0" collapsed="false">
      <c r="P190" s="160"/>
      <c r="T190" s="61"/>
    </row>
    <row r="191" customFormat="false" ht="50.1" hidden="false" customHeight="true" outlineLevel="0" collapsed="false">
      <c r="P191" s="160"/>
      <c r="T191" s="61"/>
    </row>
    <row r="192" customFormat="false" ht="50.1" hidden="false" customHeight="true" outlineLevel="0" collapsed="false">
      <c r="P192" s="160"/>
      <c r="T192" s="61"/>
    </row>
    <row r="193" customFormat="false" ht="50.1" hidden="false" customHeight="true" outlineLevel="0" collapsed="false">
      <c r="P193" s="160"/>
      <c r="T193" s="61"/>
    </row>
    <row r="194" customFormat="false" ht="50.1" hidden="false" customHeight="true" outlineLevel="0" collapsed="false">
      <c r="P194" s="160"/>
      <c r="T194" s="61"/>
    </row>
    <row r="195" customFormat="false" ht="50.1" hidden="false" customHeight="true" outlineLevel="0" collapsed="false">
      <c r="P195" s="160"/>
      <c r="T195" s="61"/>
    </row>
    <row r="196" customFormat="false" ht="50.1" hidden="false" customHeight="true" outlineLevel="0" collapsed="false">
      <c r="P196" s="160"/>
      <c r="T196" s="61"/>
    </row>
    <row r="197" customFormat="false" ht="50.1" hidden="false" customHeight="true" outlineLevel="0" collapsed="false">
      <c r="P197" s="160"/>
    </row>
    <row r="198" customFormat="false" ht="50.1" hidden="false" customHeight="true" outlineLevel="0" collapsed="false">
      <c r="P198" s="160"/>
    </row>
    <row r="199" customFormat="false" ht="50.1" hidden="false" customHeight="true" outlineLevel="0" collapsed="false">
      <c r="P199" s="160"/>
    </row>
    <row r="200" customFormat="false" ht="50.1" hidden="false" customHeight="true" outlineLevel="0" collapsed="false">
      <c r="P200" s="160"/>
    </row>
    <row r="201" customFormat="false" ht="50.1" hidden="false" customHeight="true" outlineLevel="0" collapsed="false">
      <c r="P201" s="160"/>
    </row>
    <row r="202" customFormat="false" ht="50.1" hidden="false" customHeight="true" outlineLevel="0" collapsed="false">
      <c r="P202" s="160"/>
    </row>
    <row r="203" customFormat="false" ht="50.1" hidden="false" customHeight="true" outlineLevel="0" collapsed="false">
      <c r="P203" s="160"/>
    </row>
    <row r="204" customFormat="false" ht="50.1" hidden="false" customHeight="true" outlineLevel="0" collapsed="false">
      <c r="P204" s="160"/>
    </row>
    <row r="205" customFormat="false" ht="50.1" hidden="false" customHeight="true" outlineLevel="0" collapsed="false">
      <c r="P205" s="160"/>
    </row>
    <row r="206" customFormat="false" ht="50.1" hidden="false" customHeight="true" outlineLevel="0" collapsed="false">
      <c r="P206" s="160"/>
    </row>
    <row r="207" customFormat="false" ht="50.1" hidden="false" customHeight="true" outlineLevel="0" collapsed="false">
      <c r="P207" s="160"/>
    </row>
    <row r="208" customFormat="false" ht="50.1" hidden="false" customHeight="true" outlineLevel="0" collapsed="false">
      <c r="P208" s="160"/>
    </row>
    <row r="209" customFormat="false" ht="50.1" hidden="false" customHeight="true" outlineLevel="0" collapsed="false">
      <c r="P209" s="160"/>
    </row>
    <row r="210" customFormat="false" ht="50.1" hidden="false" customHeight="true" outlineLevel="0" collapsed="false">
      <c r="P210" s="160"/>
    </row>
    <row r="211" customFormat="false" ht="50.1" hidden="false" customHeight="true" outlineLevel="0" collapsed="false">
      <c r="P211" s="160"/>
    </row>
    <row r="212" customFormat="false" ht="50.1" hidden="false" customHeight="true" outlineLevel="0" collapsed="false">
      <c r="P212" s="160"/>
    </row>
    <row r="213" customFormat="false" ht="50.1" hidden="false" customHeight="true" outlineLevel="0" collapsed="false">
      <c r="P213" s="160"/>
    </row>
    <row r="214" customFormat="false" ht="50.1" hidden="false" customHeight="true" outlineLevel="0" collapsed="false">
      <c r="P214" s="160"/>
    </row>
    <row r="215" customFormat="false" ht="50.1" hidden="false" customHeight="true" outlineLevel="0" collapsed="false">
      <c r="P215" s="160"/>
    </row>
    <row r="216" customFormat="false" ht="50.1" hidden="false" customHeight="true" outlineLevel="0" collapsed="false">
      <c r="P216" s="160"/>
    </row>
    <row r="217" customFormat="false" ht="50.1" hidden="false" customHeight="true" outlineLevel="0" collapsed="false">
      <c r="P217" s="160"/>
    </row>
    <row r="218" customFormat="false" ht="50.1" hidden="false" customHeight="true" outlineLevel="0" collapsed="false">
      <c r="P218" s="160"/>
    </row>
    <row r="219" customFormat="false" ht="50.1" hidden="false" customHeight="true" outlineLevel="0" collapsed="false">
      <c r="P219" s="160"/>
    </row>
    <row r="220" customFormat="false" ht="50.1" hidden="false" customHeight="true" outlineLevel="0" collapsed="false">
      <c r="P220" s="160"/>
    </row>
    <row r="221" customFormat="false" ht="50.1" hidden="false" customHeight="true" outlineLevel="0" collapsed="false">
      <c r="P221" s="160"/>
    </row>
    <row r="222" customFormat="false" ht="50.1" hidden="false" customHeight="true" outlineLevel="0" collapsed="false">
      <c r="P222" s="160"/>
    </row>
    <row r="223" customFormat="false" ht="50.1" hidden="false" customHeight="true" outlineLevel="0" collapsed="false">
      <c r="P223" s="160"/>
    </row>
    <row r="224" customFormat="false" ht="50.1" hidden="false" customHeight="true" outlineLevel="0" collapsed="false">
      <c r="P224" s="160"/>
    </row>
    <row r="225" customFormat="false" ht="50.1" hidden="false" customHeight="true" outlineLevel="0" collapsed="false">
      <c r="P225" s="160"/>
    </row>
    <row r="226" customFormat="false" ht="50.1" hidden="false" customHeight="true" outlineLevel="0" collapsed="false">
      <c r="P226" s="160"/>
    </row>
    <row r="227" customFormat="false" ht="50.1" hidden="false" customHeight="true" outlineLevel="0" collapsed="false">
      <c r="P227" s="160"/>
    </row>
    <row r="228" customFormat="false" ht="50.1" hidden="false" customHeight="true" outlineLevel="0" collapsed="false">
      <c r="P228" s="160"/>
    </row>
    <row r="229" customFormat="false" ht="50.1" hidden="false" customHeight="true" outlineLevel="0" collapsed="false">
      <c r="P229" s="160"/>
    </row>
    <row r="230" customFormat="false" ht="50.1" hidden="false" customHeight="true" outlineLevel="0" collapsed="false">
      <c r="P230" s="160"/>
    </row>
    <row r="231" customFormat="false" ht="50.1" hidden="false" customHeight="true" outlineLevel="0" collapsed="false">
      <c r="P231" s="160"/>
    </row>
    <row r="232" customFormat="false" ht="50.1" hidden="false" customHeight="true" outlineLevel="0" collapsed="false">
      <c r="P232" s="160"/>
    </row>
    <row r="233" customFormat="false" ht="50.1" hidden="false" customHeight="true" outlineLevel="0" collapsed="false">
      <c r="P233" s="160"/>
    </row>
    <row r="234" customFormat="false" ht="50.1" hidden="false" customHeight="true" outlineLevel="0" collapsed="false">
      <c r="P234" s="160"/>
    </row>
    <row r="235" customFormat="false" ht="50.1" hidden="false" customHeight="true" outlineLevel="0" collapsed="false">
      <c r="P235" s="160"/>
    </row>
    <row r="236" customFormat="false" ht="50.1" hidden="false" customHeight="true" outlineLevel="0" collapsed="false">
      <c r="P236" s="160"/>
    </row>
    <row r="237" customFormat="false" ht="50.1" hidden="false" customHeight="true" outlineLevel="0" collapsed="false">
      <c r="P237" s="160"/>
    </row>
    <row r="238" customFormat="false" ht="50.1" hidden="false" customHeight="true" outlineLevel="0" collapsed="false">
      <c r="P238" s="160"/>
    </row>
    <row r="239" customFormat="false" ht="50.1" hidden="false" customHeight="true" outlineLevel="0" collapsed="false">
      <c r="P239" s="160"/>
    </row>
    <row r="240" customFormat="false" ht="50.1" hidden="false" customHeight="true" outlineLevel="0" collapsed="false">
      <c r="P240" s="160"/>
    </row>
    <row r="241" customFormat="false" ht="50.1" hidden="false" customHeight="true" outlineLevel="0" collapsed="false">
      <c r="P241" s="160"/>
    </row>
    <row r="242" customFormat="false" ht="50.1" hidden="false" customHeight="true" outlineLevel="0" collapsed="false">
      <c r="P242" s="160"/>
    </row>
    <row r="243" customFormat="false" ht="50.1" hidden="false" customHeight="true" outlineLevel="0" collapsed="false">
      <c r="P243" s="160"/>
    </row>
    <row r="244" customFormat="false" ht="50.1" hidden="false" customHeight="true" outlineLevel="0" collapsed="false">
      <c r="P244" s="160"/>
    </row>
    <row r="245" customFormat="false" ht="50.1" hidden="false" customHeight="true" outlineLevel="0" collapsed="false">
      <c r="P245" s="160"/>
    </row>
    <row r="246" customFormat="false" ht="50.1" hidden="false" customHeight="true" outlineLevel="0" collapsed="false">
      <c r="P246" s="160"/>
    </row>
    <row r="247" customFormat="false" ht="50.1" hidden="false" customHeight="true" outlineLevel="0" collapsed="false">
      <c r="P247" s="160"/>
    </row>
    <row r="248" customFormat="false" ht="50.1" hidden="false" customHeight="true" outlineLevel="0" collapsed="false">
      <c r="P248" s="160"/>
    </row>
    <row r="249" customFormat="false" ht="50.1" hidden="false" customHeight="true" outlineLevel="0" collapsed="false">
      <c r="P249" s="160"/>
    </row>
    <row r="250" customFormat="false" ht="50.1" hidden="false" customHeight="true" outlineLevel="0" collapsed="false">
      <c r="P250" s="160"/>
    </row>
    <row r="251" customFormat="false" ht="50.1" hidden="false" customHeight="true" outlineLevel="0" collapsed="false">
      <c r="P251" s="160"/>
    </row>
    <row r="252" customFormat="false" ht="50.1" hidden="false" customHeight="true" outlineLevel="0" collapsed="false">
      <c r="P252" s="160"/>
    </row>
    <row r="253" customFormat="false" ht="50.1" hidden="false" customHeight="true" outlineLevel="0" collapsed="false">
      <c r="P253" s="160"/>
    </row>
    <row r="254" customFormat="false" ht="50.1" hidden="false" customHeight="true" outlineLevel="0" collapsed="false">
      <c r="P254" s="160"/>
    </row>
    <row r="255" customFormat="false" ht="50.1" hidden="false" customHeight="true" outlineLevel="0" collapsed="false">
      <c r="P255" s="160"/>
    </row>
    <row r="256" customFormat="false" ht="50.1" hidden="false" customHeight="true" outlineLevel="0" collapsed="false">
      <c r="P256" s="160"/>
    </row>
    <row r="257" customFormat="false" ht="50.1" hidden="false" customHeight="true" outlineLevel="0" collapsed="false">
      <c r="P257" s="160"/>
    </row>
    <row r="258" customFormat="false" ht="50.1" hidden="false" customHeight="true" outlineLevel="0" collapsed="false">
      <c r="P258" s="160"/>
    </row>
    <row r="259" customFormat="false" ht="50.1" hidden="false" customHeight="true" outlineLevel="0" collapsed="false">
      <c r="P259" s="160"/>
    </row>
    <row r="260" customFormat="false" ht="50.1" hidden="false" customHeight="true" outlineLevel="0" collapsed="false">
      <c r="P260" s="160"/>
    </row>
    <row r="261" customFormat="false" ht="50.1" hidden="false" customHeight="true" outlineLevel="0" collapsed="false">
      <c r="P261" s="160"/>
    </row>
    <row r="262" customFormat="false" ht="50.1" hidden="false" customHeight="true" outlineLevel="0" collapsed="false">
      <c r="P262" s="160"/>
    </row>
    <row r="263" customFormat="false" ht="50.1" hidden="false" customHeight="true" outlineLevel="0" collapsed="false">
      <c r="P263" s="160"/>
    </row>
    <row r="264" customFormat="false" ht="50.1" hidden="false" customHeight="true" outlineLevel="0" collapsed="false">
      <c r="P264" s="160"/>
    </row>
    <row r="265" customFormat="false" ht="50.1" hidden="false" customHeight="true" outlineLevel="0" collapsed="false">
      <c r="P265" s="160"/>
    </row>
    <row r="266" customFormat="false" ht="50.1" hidden="false" customHeight="true" outlineLevel="0" collapsed="false">
      <c r="P266" s="160"/>
    </row>
    <row r="267" customFormat="false" ht="50.1" hidden="false" customHeight="true" outlineLevel="0" collapsed="false">
      <c r="P267" s="160"/>
    </row>
    <row r="268" customFormat="false" ht="50.1" hidden="false" customHeight="true" outlineLevel="0" collapsed="false">
      <c r="P268" s="160"/>
    </row>
    <row r="269" customFormat="false" ht="50.1" hidden="false" customHeight="true" outlineLevel="0" collapsed="false">
      <c r="P269" s="160"/>
    </row>
    <row r="270" customFormat="false" ht="50.1" hidden="false" customHeight="true" outlineLevel="0" collapsed="false">
      <c r="P270" s="160"/>
    </row>
    <row r="271" customFormat="false" ht="50.1" hidden="false" customHeight="true" outlineLevel="0" collapsed="false">
      <c r="P271" s="160"/>
    </row>
    <row r="272" customFormat="false" ht="50.1" hidden="false" customHeight="true" outlineLevel="0" collapsed="false">
      <c r="P272" s="160"/>
    </row>
    <row r="273" customFormat="false" ht="50.1" hidden="false" customHeight="true" outlineLevel="0" collapsed="false">
      <c r="P273" s="160"/>
    </row>
    <row r="274" customFormat="false" ht="50.1" hidden="false" customHeight="true" outlineLevel="0" collapsed="false">
      <c r="P274" s="160"/>
    </row>
    <row r="275" customFormat="false" ht="50.1" hidden="false" customHeight="true" outlineLevel="0" collapsed="false">
      <c r="P275" s="160"/>
    </row>
    <row r="276" customFormat="false" ht="50.1" hidden="false" customHeight="true" outlineLevel="0" collapsed="false">
      <c r="P276" s="160"/>
    </row>
    <row r="277" customFormat="false" ht="50.1" hidden="false" customHeight="true" outlineLevel="0" collapsed="false">
      <c r="P277" s="160"/>
    </row>
    <row r="278" customFormat="false" ht="50.1" hidden="false" customHeight="true" outlineLevel="0" collapsed="false">
      <c r="P278" s="160"/>
    </row>
    <row r="279" customFormat="false" ht="50.1" hidden="false" customHeight="true" outlineLevel="0" collapsed="false">
      <c r="P279" s="160"/>
    </row>
    <row r="280" customFormat="false" ht="50.1" hidden="false" customHeight="true" outlineLevel="0" collapsed="false">
      <c r="P280" s="160"/>
    </row>
    <row r="281" customFormat="false" ht="50.1" hidden="false" customHeight="true" outlineLevel="0" collapsed="false">
      <c r="P281" s="160"/>
    </row>
    <row r="282" customFormat="false" ht="50.1" hidden="false" customHeight="true" outlineLevel="0" collapsed="false">
      <c r="P282" s="160"/>
    </row>
    <row r="283" customFormat="false" ht="50.1" hidden="false" customHeight="true" outlineLevel="0" collapsed="false">
      <c r="P283" s="160"/>
    </row>
    <row r="284" customFormat="false" ht="50.1" hidden="false" customHeight="true" outlineLevel="0" collapsed="false">
      <c r="P284" s="160"/>
    </row>
    <row r="285" customFormat="false" ht="50.1" hidden="false" customHeight="true" outlineLevel="0" collapsed="false">
      <c r="P285" s="160"/>
    </row>
    <row r="286" customFormat="false" ht="50.1" hidden="false" customHeight="true" outlineLevel="0" collapsed="false">
      <c r="P286" s="160"/>
    </row>
    <row r="287" customFormat="false" ht="50.1" hidden="false" customHeight="true" outlineLevel="0" collapsed="false">
      <c r="P287" s="160"/>
    </row>
    <row r="288" customFormat="false" ht="50.1" hidden="false" customHeight="true" outlineLevel="0" collapsed="false">
      <c r="P288" s="160"/>
    </row>
    <row r="289" customFormat="false" ht="50.1" hidden="false" customHeight="true" outlineLevel="0" collapsed="false">
      <c r="P289" s="160"/>
    </row>
    <row r="290" customFormat="false" ht="50.1" hidden="false" customHeight="true" outlineLevel="0" collapsed="false">
      <c r="P290" s="160"/>
    </row>
    <row r="291" customFormat="false" ht="50.1" hidden="false" customHeight="true" outlineLevel="0" collapsed="false">
      <c r="P291" s="160"/>
    </row>
    <row r="292" customFormat="false" ht="50.1" hidden="false" customHeight="true" outlineLevel="0" collapsed="false">
      <c r="P292" s="160"/>
    </row>
    <row r="293" customFormat="false" ht="50.1" hidden="false" customHeight="true" outlineLevel="0" collapsed="false">
      <c r="P293" s="160"/>
    </row>
    <row r="294" customFormat="false" ht="50.1" hidden="false" customHeight="true" outlineLevel="0" collapsed="false">
      <c r="P294" s="160"/>
    </row>
    <row r="295" customFormat="false" ht="50.1" hidden="false" customHeight="true" outlineLevel="0" collapsed="false">
      <c r="P295" s="160"/>
    </row>
    <row r="296" customFormat="false" ht="50.1" hidden="false" customHeight="true" outlineLevel="0" collapsed="false">
      <c r="P296" s="160"/>
    </row>
    <row r="297" customFormat="false" ht="50.1" hidden="false" customHeight="true" outlineLevel="0" collapsed="false">
      <c r="P297" s="160"/>
    </row>
    <row r="298" customFormat="false" ht="50.1" hidden="false" customHeight="true" outlineLevel="0" collapsed="false">
      <c r="P298" s="160"/>
    </row>
    <row r="299" customFormat="false" ht="50.1" hidden="false" customHeight="true" outlineLevel="0" collapsed="false">
      <c r="P299" s="160"/>
    </row>
    <row r="300" customFormat="false" ht="50.1" hidden="false" customHeight="true" outlineLevel="0" collapsed="false">
      <c r="P300" s="160"/>
    </row>
    <row r="301" customFormat="false" ht="50.1" hidden="false" customHeight="true" outlineLevel="0" collapsed="false">
      <c r="P301" s="161"/>
    </row>
  </sheetData>
  <mergeCells count="372">
    <mergeCell ref="A1:R1"/>
    <mergeCell ref="A2:H2"/>
    <mergeCell ref="A4:H4"/>
    <mergeCell ref="A22:R22"/>
    <mergeCell ref="A23:H23"/>
    <mergeCell ref="A34:A35"/>
    <mergeCell ref="B34:B35"/>
    <mergeCell ref="C34:C35"/>
    <mergeCell ref="I34:I35"/>
    <mergeCell ref="J34:J35"/>
    <mergeCell ref="K34:K35"/>
    <mergeCell ref="L34:L35"/>
    <mergeCell ref="M34:M35"/>
    <mergeCell ref="N34:N35"/>
    <mergeCell ref="O34:O35"/>
    <mergeCell ref="P34:P35"/>
    <mergeCell ref="Q34:Q35"/>
    <mergeCell ref="R34:R35"/>
    <mergeCell ref="S34:S35"/>
    <mergeCell ref="A36:A37"/>
    <mergeCell ref="B36:B37"/>
    <mergeCell ref="C36:C37"/>
    <mergeCell ref="I36:I37"/>
    <mergeCell ref="J36:J37"/>
    <mergeCell ref="K36:K37"/>
    <mergeCell ref="L36:L37"/>
    <mergeCell ref="M36:M37"/>
    <mergeCell ref="N36:N37"/>
    <mergeCell ref="O36:O37"/>
    <mergeCell ref="P36:P37"/>
    <mergeCell ref="Q36:Q37"/>
    <mergeCell ref="R36:R37"/>
    <mergeCell ref="S36:S37"/>
    <mergeCell ref="A38:A39"/>
    <mergeCell ref="B38:B39"/>
    <mergeCell ref="C38:C39"/>
    <mergeCell ref="I38:I39"/>
    <mergeCell ref="J38:J39"/>
    <mergeCell ref="K38:K39"/>
    <mergeCell ref="L38:L39"/>
    <mergeCell ref="M38:M39"/>
    <mergeCell ref="N38:N39"/>
    <mergeCell ref="O38:O39"/>
    <mergeCell ref="P38:P39"/>
    <mergeCell ref="Q38:Q39"/>
    <mergeCell ref="R38:R39"/>
    <mergeCell ref="S38:S39"/>
    <mergeCell ref="A40:A41"/>
    <mergeCell ref="B40:B41"/>
    <mergeCell ref="C40:C41"/>
    <mergeCell ref="I40:I41"/>
    <mergeCell ref="J40:J41"/>
    <mergeCell ref="K40:K41"/>
    <mergeCell ref="L40:L41"/>
    <mergeCell ref="M40:M41"/>
    <mergeCell ref="N40:N41"/>
    <mergeCell ref="O40:O41"/>
    <mergeCell ref="P40:P41"/>
    <mergeCell ref="Q40:Q41"/>
    <mergeCell ref="R40:R41"/>
    <mergeCell ref="S40:S41"/>
    <mergeCell ref="A42:A43"/>
    <mergeCell ref="B42:B43"/>
    <mergeCell ref="C42:C43"/>
    <mergeCell ref="I42:I43"/>
    <mergeCell ref="J42:J43"/>
    <mergeCell ref="K42:K43"/>
    <mergeCell ref="L42:L43"/>
    <mergeCell ref="M42:M43"/>
    <mergeCell ref="N42:N43"/>
    <mergeCell ref="O42:O43"/>
    <mergeCell ref="P42:P43"/>
    <mergeCell ref="Q42:Q43"/>
    <mergeCell ref="R42:R43"/>
    <mergeCell ref="S42:S43"/>
    <mergeCell ref="A44:A45"/>
    <mergeCell ref="B44:B45"/>
    <mergeCell ref="C44:C45"/>
    <mergeCell ref="I44:I45"/>
    <mergeCell ref="J44:J45"/>
    <mergeCell ref="K44:K45"/>
    <mergeCell ref="L44:L45"/>
    <mergeCell ref="M44:M45"/>
    <mergeCell ref="N44:N45"/>
    <mergeCell ref="O44:O45"/>
    <mergeCell ref="P44:P45"/>
    <mergeCell ref="Q44:Q45"/>
    <mergeCell ref="R44:R45"/>
    <mergeCell ref="S44:S45"/>
    <mergeCell ref="A46:A47"/>
    <mergeCell ref="B46:B47"/>
    <mergeCell ref="C46:C47"/>
    <mergeCell ref="I46:I47"/>
    <mergeCell ref="J46:J47"/>
    <mergeCell ref="K46:K47"/>
    <mergeCell ref="L46:L47"/>
    <mergeCell ref="M46:M47"/>
    <mergeCell ref="N46:N47"/>
    <mergeCell ref="O46:O47"/>
    <mergeCell ref="P46:P47"/>
    <mergeCell ref="Q46:Q47"/>
    <mergeCell ref="R46:R47"/>
    <mergeCell ref="S46:S47"/>
    <mergeCell ref="A48:A49"/>
    <mergeCell ref="B48:B49"/>
    <mergeCell ref="C48:C49"/>
    <mergeCell ref="I48:I49"/>
    <mergeCell ref="J48:J49"/>
    <mergeCell ref="K48:K49"/>
    <mergeCell ref="L48:L49"/>
    <mergeCell ref="M48:M49"/>
    <mergeCell ref="N48:N49"/>
    <mergeCell ref="O48:O49"/>
    <mergeCell ref="P48:P49"/>
    <mergeCell ref="Q48:Q49"/>
    <mergeCell ref="R48:R49"/>
    <mergeCell ref="S48:S49"/>
    <mergeCell ref="A50:A51"/>
    <mergeCell ref="B50:B51"/>
    <mergeCell ref="C50:C51"/>
    <mergeCell ref="I50:I51"/>
    <mergeCell ref="J50:J51"/>
    <mergeCell ref="K50:K51"/>
    <mergeCell ref="L50:L51"/>
    <mergeCell ref="M50:M51"/>
    <mergeCell ref="N50:N51"/>
    <mergeCell ref="O50:O51"/>
    <mergeCell ref="P50:P51"/>
    <mergeCell ref="Q50:Q51"/>
    <mergeCell ref="R50:R51"/>
    <mergeCell ref="S50:S51"/>
    <mergeCell ref="A53:A54"/>
    <mergeCell ref="B53:B54"/>
    <mergeCell ref="C53:C54"/>
    <mergeCell ref="I53:I54"/>
    <mergeCell ref="J53:J54"/>
    <mergeCell ref="K53:K54"/>
    <mergeCell ref="L53:L54"/>
    <mergeCell ref="M53:M54"/>
    <mergeCell ref="N53:N54"/>
    <mergeCell ref="O53:O54"/>
    <mergeCell ref="P53:P54"/>
    <mergeCell ref="Q53:Q54"/>
    <mergeCell ref="R53:R54"/>
    <mergeCell ref="S53:S54"/>
    <mergeCell ref="A55:A56"/>
    <mergeCell ref="B55:B56"/>
    <mergeCell ref="C55:C56"/>
    <mergeCell ref="I55:I56"/>
    <mergeCell ref="J55:J56"/>
    <mergeCell ref="K55:K56"/>
    <mergeCell ref="L55:L56"/>
    <mergeCell ref="M55:M56"/>
    <mergeCell ref="N55:N56"/>
    <mergeCell ref="O55:O56"/>
    <mergeCell ref="P55:P56"/>
    <mergeCell ref="Q55:Q56"/>
    <mergeCell ref="R55:R56"/>
    <mergeCell ref="S55:S56"/>
    <mergeCell ref="A57:A58"/>
    <mergeCell ref="B57:B58"/>
    <mergeCell ref="C57:C58"/>
    <mergeCell ref="I57:I58"/>
    <mergeCell ref="J57:J58"/>
    <mergeCell ref="K57:K58"/>
    <mergeCell ref="L57:L58"/>
    <mergeCell ref="M57:M58"/>
    <mergeCell ref="N57:N58"/>
    <mergeCell ref="O57:O58"/>
    <mergeCell ref="P57:P58"/>
    <mergeCell ref="Q57:Q58"/>
    <mergeCell ref="R57:R58"/>
    <mergeCell ref="S57:S58"/>
    <mergeCell ref="A59:A60"/>
    <mergeCell ref="B59:B60"/>
    <mergeCell ref="C59:C60"/>
    <mergeCell ref="I59:I60"/>
    <mergeCell ref="J59:J60"/>
    <mergeCell ref="K59:K60"/>
    <mergeCell ref="L59:L60"/>
    <mergeCell ref="M59:M60"/>
    <mergeCell ref="N59:N60"/>
    <mergeCell ref="O59:O60"/>
    <mergeCell ref="P59:P60"/>
    <mergeCell ref="Q59:Q60"/>
    <mergeCell ref="R59:R60"/>
    <mergeCell ref="S59:S60"/>
    <mergeCell ref="A61:A62"/>
    <mergeCell ref="B61:B62"/>
    <mergeCell ref="C61:C62"/>
    <mergeCell ref="I61:I62"/>
    <mergeCell ref="J61:J62"/>
    <mergeCell ref="K61:K62"/>
    <mergeCell ref="L61:L62"/>
    <mergeCell ref="M61:M62"/>
    <mergeCell ref="N61:N62"/>
    <mergeCell ref="O61:O62"/>
    <mergeCell ref="P61:P62"/>
    <mergeCell ref="Q61:Q62"/>
    <mergeCell ref="R61:R62"/>
    <mergeCell ref="S61:S62"/>
    <mergeCell ref="A63:A64"/>
    <mergeCell ref="B63:B64"/>
    <mergeCell ref="C63:C64"/>
    <mergeCell ref="I63:I64"/>
    <mergeCell ref="J63:J64"/>
    <mergeCell ref="K63:K64"/>
    <mergeCell ref="L63:L64"/>
    <mergeCell ref="M63:M64"/>
    <mergeCell ref="N63:N64"/>
    <mergeCell ref="O63:O64"/>
    <mergeCell ref="P63:P64"/>
    <mergeCell ref="Q63:Q64"/>
    <mergeCell ref="R63:R64"/>
    <mergeCell ref="S63:S64"/>
    <mergeCell ref="A65:A66"/>
    <mergeCell ref="B65:B66"/>
    <mergeCell ref="C65:C66"/>
    <mergeCell ref="I65:I66"/>
    <mergeCell ref="J65:J66"/>
    <mergeCell ref="K65:K66"/>
    <mergeCell ref="L65:L66"/>
    <mergeCell ref="M65:M66"/>
    <mergeCell ref="N65:N66"/>
    <mergeCell ref="O65:O66"/>
    <mergeCell ref="P65:P66"/>
    <mergeCell ref="Q65:Q66"/>
    <mergeCell ref="R65:R66"/>
    <mergeCell ref="S65:S66"/>
    <mergeCell ref="A67:A68"/>
    <mergeCell ref="B67:B68"/>
    <mergeCell ref="C67:C68"/>
    <mergeCell ref="I67:I68"/>
    <mergeCell ref="J67:J68"/>
    <mergeCell ref="K67:K68"/>
    <mergeCell ref="L67:L68"/>
    <mergeCell ref="M67:M68"/>
    <mergeCell ref="N67:N68"/>
    <mergeCell ref="O67:O68"/>
    <mergeCell ref="P67:P68"/>
    <mergeCell ref="Q67:Q68"/>
    <mergeCell ref="R67:R68"/>
    <mergeCell ref="S67:S68"/>
    <mergeCell ref="A69:A70"/>
    <mergeCell ref="B69:B70"/>
    <mergeCell ref="C69:C70"/>
    <mergeCell ref="I69:I70"/>
    <mergeCell ref="J69:J70"/>
    <mergeCell ref="K69:K70"/>
    <mergeCell ref="L69:L70"/>
    <mergeCell ref="M69:M70"/>
    <mergeCell ref="N69:N70"/>
    <mergeCell ref="O69:O70"/>
    <mergeCell ref="P69:P70"/>
    <mergeCell ref="Q69:Q70"/>
    <mergeCell ref="R69:R70"/>
    <mergeCell ref="S69:S70"/>
    <mergeCell ref="A71:A72"/>
    <mergeCell ref="B71:B72"/>
    <mergeCell ref="C71:C72"/>
    <mergeCell ref="I71:I72"/>
    <mergeCell ref="J71:J72"/>
    <mergeCell ref="K71:K72"/>
    <mergeCell ref="L71:L72"/>
    <mergeCell ref="M71:M72"/>
    <mergeCell ref="N71:N72"/>
    <mergeCell ref="O71:O72"/>
    <mergeCell ref="P71:P72"/>
    <mergeCell ref="Q71:Q72"/>
    <mergeCell ref="R71:R72"/>
    <mergeCell ref="S71:S72"/>
    <mergeCell ref="A80:R80"/>
    <mergeCell ref="A81:H81"/>
    <mergeCell ref="A129:A130"/>
    <mergeCell ref="B129:B130"/>
    <mergeCell ref="C129:C130"/>
    <mergeCell ref="I129:I130"/>
    <mergeCell ref="J129:J130"/>
    <mergeCell ref="K129:K130"/>
    <mergeCell ref="L129:L130"/>
    <mergeCell ref="M129:M130"/>
    <mergeCell ref="N129:N130"/>
    <mergeCell ref="O129:O130"/>
    <mergeCell ref="P129:P130"/>
    <mergeCell ref="Q129:Q130"/>
    <mergeCell ref="R129:R130"/>
    <mergeCell ref="S129:S130"/>
    <mergeCell ref="A131:A132"/>
    <mergeCell ref="B131:B132"/>
    <mergeCell ref="C131:C132"/>
    <mergeCell ref="I131:I132"/>
    <mergeCell ref="J131:J132"/>
    <mergeCell ref="K131:K132"/>
    <mergeCell ref="L131:L132"/>
    <mergeCell ref="M131:M132"/>
    <mergeCell ref="N131:N132"/>
    <mergeCell ref="O131:O132"/>
    <mergeCell ref="P131:P132"/>
    <mergeCell ref="Q131:Q132"/>
    <mergeCell ref="R131:R132"/>
    <mergeCell ref="S131:S132"/>
    <mergeCell ref="A134:A135"/>
    <mergeCell ref="B134:B135"/>
    <mergeCell ref="C134:C135"/>
    <mergeCell ref="I134:I135"/>
    <mergeCell ref="J134:J135"/>
    <mergeCell ref="K134:K135"/>
    <mergeCell ref="L134:L135"/>
    <mergeCell ref="M134:M135"/>
    <mergeCell ref="N134:N135"/>
    <mergeCell ref="O134:O135"/>
    <mergeCell ref="P134:P135"/>
    <mergeCell ref="Q134:Q135"/>
    <mergeCell ref="R134:R135"/>
    <mergeCell ref="S134:S135"/>
    <mergeCell ref="A143:A144"/>
    <mergeCell ref="B143:B144"/>
    <mergeCell ref="C143:C144"/>
    <mergeCell ref="I143:I144"/>
    <mergeCell ref="J143:J144"/>
    <mergeCell ref="K143:K144"/>
    <mergeCell ref="L143:L144"/>
    <mergeCell ref="M143:M144"/>
    <mergeCell ref="N143:N144"/>
    <mergeCell ref="O143:O144"/>
    <mergeCell ref="P143:P144"/>
    <mergeCell ref="Q143:Q144"/>
    <mergeCell ref="R143:R144"/>
    <mergeCell ref="S143:S144"/>
    <mergeCell ref="A145:A146"/>
    <mergeCell ref="B145:B146"/>
    <mergeCell ref="C145:C146"/>
    <mergeCell ref="I145:I146"/>
    <mergeCell ref="J145:J146"/>
    <mergeCell ref="K145:K146"/>
    <mergeCell ref="L145:L146"/>
    <mergeCell ref="M145:M146"/>
    <mergeCell ref="N145:N146"/>
    <mergeCell ref="O145:O146"/>
    <mergeCell ref="P145:P146"/>
    <mergeCell ref="Q145:Q146"/>
    <mergeCell ref="R145:R146"/>
    <mergeCell ref="S145:S146"/>
    <mergeCell ref="A147:A148"/>
    <mergeCell ref="B147:B148"/>
    <mergeCell ref="C147:C148"/>
    <mergeCell ref="I147:I148"/>
    <mergeCell ref="J147:J148"/>
    <mergeCell ref="K147:K148"/>
    <mergeCell ref="L147:L148"/>
    <mergeCell ref="M147:M148"/>
    <mergeCell ref="N147:N148"/>
    <mergeCell ref="O147:O148"/>
    <mergeCell ref="P147:P148"/>
    <mergeCell ref="Q147:Q148"/>
    <mergeCell ref="R147:R148"/>
    <mergeCell ref="S147:S148"/>
    <mergeCell ref="A149:A150"/>
    <mergeCell ref="B149:B150"/>
    <mergeCell ref="C149:C150"/>
    <mergeCell ref="I149:I150"/>
    <mergeCell ref="J149:J150"/>
    <mergeCell ref="K149:K150"/>
    <mergeCell ref="L149:L150"/>
    <mergeCell ref="M149:M150"/>
    <mergeCell ref="N149:N150"/>
    <mergeCell ref="O149:O150"/>
    <mergeCell ref="P149:P150"/>
    <mergeCell ref="Q149:Q150"/>
    <mergeCell ref="R149:R150"/>
    <mergeCell ref="S149:S150"/>
    <mergeCell ref="F151:G151"/>
  </mergeCells>
  <hyperlinks>
    <hyperlink ref="R5" r:id="rId1" display="http://gofile.me/649X4/GxqSyKx5O"/>
    <hyperlink ref="R6" r:id="rId2" display="http://gofile.me/649X4/YAMTA7PlP"/>
    <hyperlink ref="R7" r:id="rId3" display="http://gofile.me/649X4/yflxbb65k"/>
    <hyperlink ref="R8" r:id="rId4" display="http://gofile.me/649X4/gFQucowI7"/>
    <hyperlink ref="R9" r:id="rId5" display="http://gofile.me/649X4/wADtslEz1"/>
    <hyperlink ref="R10" r:id="rId6" display="http://gofile.me/649X4/uXCKJU42X"/>
    <hyperlink ref="R11" r:id="rId7" display="http://gofile.me/649X4/6qB91T5Jk"/>
    <hyperlink ref="R12" r:id="rId8" display="http://gofile.me/649X4/PN8BV2nP7"/>
    <hyperlink ref="R13" r:id="rId9" display="http://gofile.me/649X4/q8lSlxWbf"/>
    <hyperlink ref="R14" r:id="rId10" display="http://gofile.me/649X4/fWDDqscvl"/>
    <hyperlink ref="S14" r:id="rId11" display="http://gofile.me/649X4/Gw0lKFe6n"/>
    <hyperlink ref="R15" r:id="rId12" display="http://gofile.me/649X4/sZo8OAizC"/>
    <hyperlink ref="S15" r:id="rId13" display="http://gofile.me/649X4/ygxmII6pw"/>
    <hyperlink ref="R16" r:id="rId14" display="http://gofile.me/649X4/uJPFCIYmp"/>
    <hyperlink ref="S16" r:id="rId15" display="http://gofile.me/649X4/E8ky9Qq0f"/>
    <hyperlink ref="R17" r:id="rId16" display="http://gofile.me/649X4/UFCVtgn3T"/>
    <hyperlink ref="R18" r:id="rId17" display="http://gofile.me/649X4/VvePyw2yZ"/>
    <hyperlink ref="R19" r:id="rId18" display="http://gofile.me/649X4/axjwetjx3"/>
    <hyperlink ref="R20" r:id="rId19" display="http://gofile.me/649X4/hbGBMAe4H"/>
    <hyperlink ref="R21" r:id="rId20" display="http://gofile.me/649X4/0UMaRiI5y"/>
    <hyperlink ref="R24" r:id="rId21" display="http://gofile.me/649X4/vXMSp8Zjg"/>
    <hyperlink ref="R25" r:id="rId22" display="http://gofile.me/649X4/Tmt7eokZN"/>
    <hyperlink ref="R26" r:id="rId23" display="http://gofile.me/649X4/V69DxRmnz"/>
    <hyperlink ref="R27" r:id="rId24" display="http://gofile.me/649X4/L2evwGiQX"/>
    <hyperlink ref="R28" r:id="rId25" display="http://gofile.me/649X4/frBBxw5C4"/>
    <hyperlink ref="R29" r:id="rId26" display="http://gofile.me/649X4/bzncuDkUi"/>
    <hyperlink ref="R30" r:id="rId27" display="http://gofile.me/649X4/p7Y73rsLA"/>
    <hyperlink ref="R31" r:id="rId28" display="http://gofile.me/649X4/NDV5LbtCh"/>
    <hyperlink ref="R32" r:id="rId29" display="http://gofile.me/649X4/EPrQLfsas"/>
    <hyperlink ref="R33" r:id="rId30" display="http://gofile.me/649X4/uKjM3067K"/>
    <hyperlink ref="R34" r:id="rId31" display="http://gofile.me/649X4/cyDy0hrFW"/>
    <hyperlink ref="R36" r:id="rId32" display="http://gofile.me/649X4/RMfsiVxZC"/>
    <hyperlink ref="R38" r:id="rId33" display="http://gofile.me/649X4/QoG9FIXFk"/>
    <hyperlink ref="S38" r:id="rId34" display="http://gofile.me/649X4/3HMcoD5vc"/>
    <hyperlink ref="R40" r:id="rId35" display="http://gofile.me/649X4/iCmfP6gJc"/>
    <hyperlink ref="S40" r:id="rId36" display="http://gofile.me/649X4/3HMcoD5vc"/>
    <hyperlink ref="R42" r:id="rId37" display="http://gofile.me/649X4/5VkobJrzs"/>
    <hyperlink ref="S42" r:id="rId38" display="http://gofile.me/649X4/3HMcoD5vc"/>
    <hyperlink ref="R44" r:id="rId39" display="http://gofile.me/649X4/OuTwSOFS3"/>
    <hyperlink ref="S44" r:id="rId40" display="http://gofile.me/649X4/VdAZM0ZgM"/>
    <hyperlink ref="R46" r:id="rId41" display="http://gofile.me/649X4/leG7dRbJ0"/>
    <hyperlink ref="S46" r:id="rId42" display="http://gofile.me/649X4/VdAZM0ZgM"/>
    <hyperlink ref="R48" r:id="rId43" display="http://gofile.me/649X4/8N1zBC3Tt"/>
    <hyperlink ref="S48" r:id="rId44" display="http://gofile.me/649X4/VdAZM0ZgM"/>
    <hyperlink ref="R50" r:id="rId45" display="http://gofile.me/649X4/vhhB7swvr"/>
    <hyperlink ref="S50" r:id="rId46" display="http://gofile.me/649X4/L81sFvbCQ"/>
    <hyperlink ref="R52" r:id="rId47" display="http://gofile.me/649X4/MiRvuTQTP"/>
    <hyperlink ref="S52" r:id="rId48" display="http://gofile.me/649X4/L81sFvbCQ"/>
    <hyperlink ref="R53" r:id="rId49" display="http://gofile.me/649X4/Wm0aZNRuj"/>
    <hyperlink ref="S53" r:id="rId50" display="http://gofile.me/649X4/zEUsA1sG6"/>
    <hyperlink ref="R55" r:id="rId51" display="http://gofile.me/649X4/Tq8shr5S5"/>
    <hyperlink ref="S55" r:id="rId52" display="http://gofile.me/649X4/zEUsA1sG6"/>
    <hyperlink ref="R57" r:id="rId53" display="http://gofile.me/649X4/Gvs7OO8KO"/>
    <hyperlink ref="S57" r:id="rId54" display="http://gofile.me/649X4/zEUsA1sG6"/>
    <hyperlink ref="R59" r:id="rId55" display="http://gofile.me/649X4/vnGFj4CpQ"/>
    <hyperlink ref="S59" r:id="rId56" display="http://gofile.me/649X4/SKNBMz7kM"/>
    <hyperlink ref="R61" r:id="rId57" display="http://gofile.me/649X4/Zr6MSu5MB"/>
    <hyperlink ref="S61" r:id="rId58" display="http://gofile.me/649X4/SKNBMz7kM"/>
    <hyperlink ref="R63" r:id="rId59" display="http://gofile.me/649X4/eNsYjsPun"/>
    <hyperlink ref="S63" r:id="rId60" display="http://gofile.me/649X4/SKNBMz7kM"/>
    <hyperlink ref="R65" r:id="rId61" display="http://gofile.me/649X4/f1mjAaUrs"/>
    <hyperlink ref="S65" r:id="rId62" display="http://gofile.me/649X4/gstqc79gJ"/>
    <hyperlink ref="R67" r:id="rId63" display="http://gofile.me/649X4/pr7bjtPgl"/>
    <hyperlink ref="S67" r:id="rId64" display="http://gofile.me/649X4/gstqc79gJ"/>
    <hyperlink ref="R69" r:id="rId65" display="http://gofile.me/649X4/20jSs0q21"/>
    <hyperlink ref="S69" r:id="rId66" display="http://gofile.me/649X4/gstqc79gJ"/>
    <hyperlink ref="R71" r:id="rId67" display="http://gofile.me/649X4/3vDeS2lQ6"/>
    <hyperlink ref="S71" r:id="rId68" display="http://gofile.me/649X4/gstqc79gJ"/>
    <hyperlink ref="R73" r:id="rId69" display="http://gofile.me/649X4/CXRbbFX4v"/>
    <hyperlink ref="R74" r:id="rId70" display="http://gofile.me/649X4/NqAcCkhlp"/>
    <hyperlink ref="R75" r:id="rId71" display="http://gofile.me/649X4/bGaQys0Xy"/>
    <hyperlink ref="R76" r:id="rId72" display="http://gofile.me/649X4/Zv26AsRrb"/>
    <hyperlink ref="S76" r:id="rId73" display="http://gofile.me/649X4/abznmFobj"/>
    <hyperlink ref="R77" r:id="rId74" display="http://gofile.me/649X4/oN1hw29rI"/>
    <hyperlink ref="R78" r:id="rId75" display="http://gofile.me/649X4/CCpnOYglw"/>
    <hyperlink ref="R79" r:id="rId76" display="http://gofile.me/649X4/Fn4UVaCow"/>
    <hyperlink ref="R82" r:id="rId77" display="http://gofile.me/649X4/G3hOyGhpP"/>
    <hyperlink ref="R83" r:id="rId78" display="http://gofile.me/649X4/YY7rXsGCq"/>
    <hyperlink ref="R84" r:id="rId79" display="http://gofile.me/649X4/gN1FVp6ug"/>
    <hyperlink ref="R85" r:id="rId80" display="http://gofile.me/649X4/sBcBwxNQO"/>
    <hyperlink ref="R91" r:id="rId81" display="http://gofile.me/649X4/eUf3l0mrK"/>
    <hyperlink ref="R92" r:id="rId82" display="http://gofile.me/649X4/VCijRkC9G"/>
    <hyperlink ref="R93" r:id="rId83" display="http://gofile.me/649X4/HxDQ36Je2"/>
    <hyperlink ref="R94" r:id="rId84" display="http://gofile.me/649X4/EgEK5pt8v"/>
    <hyperlink ref="R95" r:id="rId85" display="http://gofile.me/649X4/Buz9qoHJi"/>
    <hyperlink ref="R96" r:id="rId86" display="http://gofile.me/649X4/Z0uaEUPnK"/>
    <hyperlink ref="R97" r:id="rId87" display="http://gofile.me/649X4/bx3dN658y"/>
    <hyperlink ref="R98" r:id="rId88" display="http://gofile.me/649X4/OBCsBsoej"/>
    <hyperlink ref="R99" r:id="rId89" display="http://gofile.me/649X4/Bkudc6e6H"/>
    <hyperlink ref="R100" r:id="rId90" display="http://gofile.me/649X4/fF5PiEald"/>
    <hyperlink ref="R101" r:id="rId91" display="http://gofile.me/649X4/bFqzHP3Fn"/>
    <hyperlink ref="R102" r:id="rId92" display="http://gofile.me/649X4/R3gjWMUDN"/>
    <hyperlink ref="R103" r:id="rId93" display="http://gofile.me/649X4/qkRug2Gyi"/>
    <hyperlink ref="R104" r:id="rId94" display="http://gofile.me/649X4/49hrh0ouL"/>
    <hyperlink ref="R105" r:id="rId95" display="http://gofile.me/649X4/zH9osNaxu"/>
    <hyperlink ref="R106" r:id="rId96" display="http://gofile.me/649X4/oJZLe96ww"/>
    <hyperlink ref="R107" r:id="rId97" display="http://gofile.me/649X4/EOiyd1Q0J"/>
    <hyperlink ref="R108" r:id="rId98" display="http://gofile.me/649X4/SLVNHw2CW"/>
    <hyperlink ref="R109" r:id="rId99" display="http://gofile.me/649X4/nxrDKXANI"/>
    <hyperlink ref="R110" r:id="rId100" display="http://gofile.me/649X4/J2AmsQqdJ"/>
    <hyperlink ref="R111" r:id="rId101" display="http://gofile.me/649X4/PFyyZpfHK"/>
    <hyperlink ref="R112" r:id="rId102" display="http://gofile.me/649X4/R8LN8TOHT"/>
    <hyperlink ref="R113" r:id="rId103" display="http://gofile.me/649X4/M7ifwgAMF"/>
    <hyperlink ref="S113" r:id="rId104" display="http://gofile.me/649X4/ZV9vOpbXb"/>
    <hyperlink ref="R114" r:id="rId105" display="http://gofile.me/649X4/P7NdhFZq8"/>
    <hyperlink ref="S114" r:id="rId106" display="http://gofile.me/649X4/ZV9vOpbXb"/>
    <hyperlink ref="R115" r:id="rId107" display="http://gofile.me/649X4/P9kjqI24T"/>
    <hyperlink ref="S115" r:id="rId108" display="http://gofile.me/649X4/ZV9vOpbXb"/>
    <hyperlink ref="R116" r:id="rId109" display="http://gofile.me/649X4/g8pvXizr1"/>
    <hyperlink ref="R117" r:id="rId110" display="http://gofile.me/649X4/IqdoZumCt"/>
    <hyperlink ref="R118" r:id="rId111" display="http://gofile.me/649X4/MYLv3cYCg"/>
    <hyperlink ref="R119" r:id="rId112" display="http://gofile.me/649X4/ebUkVpNOy"/>
    <hyperlink ref="R122" r:id="rId113" display="http://gofile.me/649X4/IOkxH15eQ"/>
    <hyperlink ref="R123" r:id="rId114" display="http://gofile.me/649X4/SYv83pL7j"/>
    <hyperlink ref="R124" r:id="rId115" display="http://gofile.me/649X4/9JBazxz6V"/>
    <hyperlink ref="R125" r:id="rId116" display="http://gofile.me/649X4/CZFf9ZLWf"/>
    <hyperlink ref="R126" r:id="rId117" display="http://gofile.me/649X4/CID0ULzbP"/>
    <hyperlink ref="R127" r:id="rId118" display="http://gofile.me/649X4/Lvf7FksvE"/>
    <hyperlink ref="R128" r:id="rId119" display="http://gofile.me/649X4/d7HWVw4PY"/>
    <hyperlink ref="R129" r:id="rId120" display="http://gofile.me/649X4/9zjJSOkp6"/>
    <hyperlink ref="R131" r:id="rId121" display="http://gofile.me/649X4/CvE3nSlzq"/>
    <hyperlink ref="R133" r:id="rId122" display="http://hoco.i234.me:8000/sharing/y4BNcAS04"/>
    <hyperlink ref="R134" r:id="rId123" display="http://hoco.i234.me:8000/sharing/5BqnecLVo"/>
    <hyperlink ref="R136" r:id="rId124" display="http://hoco.i234.me:8000/sharing/G4xcUPUgy"/>
    <hyperlink ref="R137" r:id="rId125" display="http://hoco.i234.me:8000/sharing/qgigPJxge"/>
    <hyperlink ref="S137" r:id="rId126" display="http://gofile.me/649X4/ASEq325nA"/>
    <hyperlink ref="R138" r:id="rId127" display="http://hoco.i234.me:8000/sharing/rrwZ43CUh"/>
    <hyperlink ref="S138" r:id="rId128" display="http://gofile.me/649X4/pSzGlBzy5"/>
    <hyperlink ref="R139" r:id="rId129" display="http://hoco.i234.me:8000/sharing/B9mWLCGpf"/>
    <hyperlink ref="S139" r:id="rId130" display="http://gofile.me/649X4/pSzGlBzy5"/>
    <hyperlink ref="R140" r:id="rId131" display="http://gofile.me/649X4/CgGRylgYn"/>
    <hyperlink ref="R141" r:id="rId132" display="http://gofile.me/649X4/plrAyfhvB"/>
    <hyperlink ref="R142" r:id="rId133" display="http://gofile.me/649X4/BNBZ5volZ"/>
    <hyperlink ref="R143" r:id="rId134" display="http://hoco.i234.me:8000/sharing/HTUNd3trE"/>
    <hyperlink ref="S143" r:id="rId135" display="http://gofile.me/649X4/2uZ6BxNAk"/>
    <hyperlink ref="R145" r:id="rId136" display="http://gofile.me/649X4/yO9c4PpHw"/>
    <hyperlink ref="R147" r:id="rId137" display="http://hoco.i234.me:8000/sharing/0Omyhnuea"/>
    <hyperlink ref="S147" r:id="rId138" display="http://gofile.me/649X4/Vr67zJcJy"/>
    <hyperlink ref="R149" r:id="rId139" display="http://hoco.i234.me:8000/sharing/Y6XGH2i7k"/>
  </hyperlinks>
  <printOptions headings="false" gridLines="false" gridLinesSet="true" horizontalCentered="false" verticalCentered="false"/>
  <pageMargins left="0.309722222222222" right="0.240277777777778" top="0.309722222222222"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6" manualBreakCount="6">
    <brk id="15" man="true" max="16383" min="0"/>
    <brk id="32" man="true" max="16383" min="0"/>
    <brk id="128" man="true" max="16383" min="0"/>
    <brk id="138" man="true" max="16383" min="0"/>
    <brk id="148" man="true" max="16383" min="0"/>
    <brk id="150" man="true" max="16383" min="0"/>
  </rowBreaks>
  <drawing r:id="rId14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pageSetUpPr fitToPage="true"/>
  </sheetPr>
  <dimension ref="A1:T264"/>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75390625" defaultRowHeight="50.1" customHeight="true" zeroHeight="false" outlineLevelRow="0" outlineLevelCol="0"/>
  <cols>
    <col collapsed="false" customWidth="true" hidden="false" outlineLevel="0" max="1" min="1" style="33" width="21.87"/>
    <col collapsed="false" customWidth="true" hidden="false" outlineLevel="0" max="3" min="2" style="34" width="17.89"/>
    <col collapsed="false" customWidth="true" hidden="false" outlineLevel="0" max="4" min="4" style="35" width="20"/>
    <col collapsed="false" customWidth="true" hidden="false" outlineLevel="0" max="5" min="5" style="39" width="7.13"/>
    <col collapsed="false" customWidth="true" hidden="false" outlineLevel="0" max="9" min="9" style="142" width="6.51"/>
    <col collapsed="false" customWidth="true" hidden="false" outlineLevel="0" max="10" min="10" style="143" width="6.37"/>
    <col collapsed="false" customWidth="true" hidden="false" outlineLevel="0" max="11" min="11" style="142" width="10.7"/>
    <col collapsed="false" customWidth="true" hidden="false" outlineLevel="0" max="12" min="12" style="115" width="7.13"/>
    <col collapsed="false" customWidth="true" hidden="false" outlineLevel="0" max="13" min="13" style="115" width="10.7"/>
    <col collapsed="false" customWidth="true" hidden="false" outlineLevel="0" max="14" min="14" style="115" width="7.37"/>
    <col collapsed="false" customWidth="true" hidden="false" outlineLevel="0" max="15" min="15" style="115" width="10.7"/>
    <col collapsed="false" customWidth="true" hidden="false" outlineLevel="0" max="16" min="16" style="160" width="6.75"/>
    <col collapsed="false" customWidth="true" hidden="false" outlineLevel="0" max="17" min="17" style="39" width="70"/>
    <col collapsed="false" customWidth="true" hidden="false" outlineLevel="0" max="19" min="18" style="41" width="9.88"/>
    <col collapsed="false" customWidth="true" hidden="false" outlineLevel="0" max="20" min="20" style="42" width="7.37"/>
    <col collapsed="false" customWidth="true" hidden="false" outlineLevel="0" max="21" min="21" style="34" width="11.12"/>
    <col collapsed="false" customWidth="true" hidden="false" outlineLevel="0" max="37" min="22" style="34" width="9"/>
    <col collapsed="false" customWidth="false" hidden="false" outlineLevel="0" max="98" min="38"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1530</v>
      </c>
      <c r="B2" s="45"/>
      <c r="C2" s="45"/>
      <c r="D2" s="45"/>
      <c r="E2" s="45"/>
      <c r="F2" s="45"/>
      <c r="G2" s="45"/>
      <c r="H2" s="45"/>
      <c r="I2" s="46"/>
      <c r="J2" s="46"/>
      <c r="K2" s="46"/>
      <c r="L2" s="46"/>
      <c r="M2" s="46"/>
      <c r="N2" s="46"/>
      <c r="O2" s="46"/>
      <c r="P2" s="46"/>
      <c r="Q2" s="46"/>
      <c r="R2" s="46"/>
      <c r="S2" s="46"/>
    </row>
    <row r="3" s="4" customFormat="true" ht="41" hidden="false" customHeight="true" outlineLevel="0" collapsed="false">
      <c r="A3" s="47" t="s">
        <v>68</v>
      </c>
      <c r="B3" s="47" t="s">
        <v>1531</v>
      </c>
      <c r="C3" s="47" t="s">
        <v>70</v>
      </c>
      <c r="D3" s="47" t="s">
        <v>1532</v>
      </c>
      <c r="E3" s="47" t="s">
        <v>72</v>
      </c>
      <c r="I3" s="47" t="s">
        <v>76</v>
      </c>
      <c r="J3" s="47" t="s">
        <v>77</v>
      </c>
      <c r="K3" s="47" t="s">
        <v>78</v>
      </c>
      <c r="L3" s="47" t="s">
        <v>79</v>
      </c>
      <c r="M3" s="47" t="s">
        <v>80</v>
      </c>
      <c r="N3" s="47" t="s">
        <v>81</v>
      </c>
      <c r="O3" s="47" t="s">
        <v>82</v>
      </c>
      <c r="P3" s="47" t="s">
        <v>83</v>
      </c>
      <c r="Q3" s="47" t="s">
        <v>84</v>
      </c>
      <c r="R3" s="47" t="s">
        <v>85</v>
      </c>
      <c r="S3" s="47" t="s">
        <v>86</v>
      </c>
      <c r="T3" s="48"/>
    </row>
    <row r="4" customFormat="false" ht="50.1" hidden="false" customHeight="true" outlineLevel="0" collapsed="false">
      <c r="T4" s="61"/>
    </row>
    <row r="5" customFormat="false" ht="50.1" hidden="false" customHeight="true" outlineLevel="0" collapsed="false">
      <c r="T5" s="61"/>
    </row>
    <row r="6" customFormat="false" ht="50.1" hidden="false" customHeight="true" outlineLevel="0" collapsed="false">
      <c r="T6" s="61"/>
    </row>
    <row r="7" customFormat="false" ht="50.1" hidden="false" customHeight="true" outlineLevel="0" collapsed="false">
      <c r="T7" s="61"/>
    </row>
    <row r="8" customFormat="false" ht="50.1" hidden="false" customHeight="true" outlineLevel="0" collapsed="false">
      <c r="T8" s="61"/>
    </row>
    <row r="9" customFormat="false" ht="50.1" hidden="false" customHeight="true" outlineLevel="0" collapsed="false">
      <c r="T9" s="61"/>
    </row>
    <row r="10" customFormat="false" ht="50.1" hidden="false" customHeight="true" outlineLevel="0" collapsed="false">
      <c r="T10" s="61"/>
    </row>
    <row r="11" customFormat="false" ht="50.1" hidden="false" customHeight="true" outlineLevel="0" collapsed="false">
      <c r="T11" s="61"/>
    </row>
    <row r="12" customFormat="false" ht="50.1" hidden="false" customHeight="true" outlineLevel="0" collapsed="false">
      <c r="T12" s="61"/>
    </row>
    <row r="13" customFormat="false" ht="50.1" hidden="false" customHeight="true" outlineLevel="0" collapsed="false">
      <c r="T13" s="61"/>
    </row>
    <row r="14" customFormat="false" ht="50.1" hidden="false" customHeight="true" outlineLevel="0" collapsed="false">
      <c r="T14" s="61"/>
    </row>
    <row r="15" customFormat="false" ht="50.1" hidden="false" customHeight="true" outlineLevel="0" collapsed="false">
      <c r="T15" s="61"/>
    </row>
    <row r="16" customFormat="false" ht="50.1" hidden="false" customHeight="true" outlineLevel="0" collapsed="false">
      <c r="T16" s="61"/>
    </row>
    <row r="17" customFormat="false" ht="50.1" hidden="false" customHeight="true" outlineLevel="0" collapsed="false">
      <c r="T17" s="61"/>
    </row>
    <row r="18" customFormat="false" ht="50.1" hidden="false" customHeight="true" outlineLevel="0" collapsed="false">
      <c r="T18" s="61"/>
    </row>
    <row r="19" customFormat="false" ht="50.1" hidden="false" customHeight="true" outlineLevel="0" collapsed="false">
      <c r="T19" s="61"/>
    </row>
    <row r="20" customFormat="false" ht="50.1" hidden="false" customHeight="true" outlineLevel="0" collapsed="false">
      <c r="T20" s="61"/>
    </row>
    <row r="21" customFormat="false" ht="50.1" hidden="false" customHeight="true" outlineLevel="0" collapsed="false">
      <c r="T21" s="61"/>
    </row>
    <row r="22" customFormat="false" ht="50.1" hidden="false" customHeight="true" outlineLevel="0" collapsed="false">
      <c r="T22" s="61"/>
    </row>
    <row r="23" customFormat="false" ht="50.1" hidden="false" customHeight="true" outlineLevel="0" collapsed="false">
      <c r="T23" s="61"/>
    </row>
    <row r="24" customFormat="false" ht="50.1" hidden="false" customHeight="true" outlineLevel="0" collapsed="false">
      <c r="T24" s="61"/>
    </row>
    <row r="25" customFormat="false" ht="50.1" hidden="false" customHeight="true" outlineLevel="0" collapsed="false">
      <c r="T25" s="61"/>
    </row>
    <row r="26" customFormat="false" ht="50.1" hidden="false" customHeight="true" outlineLevel="0" collapsed="false">
      <c r="T26" s="61"/>
    </row>
    <row r="27" customFormat="false" ht="50.1" hidden="false" customHeight="true" outlineLevel="0" collapsed="false">
      <c r="T27" s="61"/>
    </row>
    <row r="28" customFormat="false" ht="50.1" hidden="false" customHeight="true" outlineLevel="0" collapsed="false">
      <c r="T28" s="61"/>
    </row>
    <row r="29" customFormat="false" ht="50.1" hidden="false" customHeight="true" outlineLevel="0" collapsed="false">
      <c r="T29" s="61"/>
    </row>
    <row r="30" customFormat="false" ht="50.1" hidden="false" customHeight="true" outlineLevel="0" collapsed="false">
      <c r="T30" s="61"/>
    </row>
    <row r="31" customFormat="false" ht="50.1" hidden="false" customHeight="true" outlineLevel="0" collapsed="false">
      <c r="T31" s="61"/>
    </row>
    <row r="32" customFormat="false" ht="50.1" hidden="false" customHeight="true" outlineLevel="0" collapsed="false">
      <c r="T32" s="61"/>
    </row>
    <row r="33" customFormat="false" ht="50.1" hidden="false" customHeight="true" outlineLevel="0" collapsed="false">
      <c r="T33" s="61"/>
    </row>
    <row r="34" customFormat="false" ht="50.1" hidden="false" customHeight="true" outlineLevel="0" collapsed="false">
      <c r="T34" s="61"/>
    </row>
    <row r="35" customFormat="false" ht="50.1" hidden="false" customHeight="true" outlineLevel="0" collapsed="false">
      <c r="T35" s="61"/>
    </row>
    <row r="36" customFormat="false" ht="50.1" hidden="false" customHeight="true" outlineLevel="0" collapsed="false">
      <c r="T36" s="61"/>
    </row>
    <row r="37" customFormat="false" ht="50.1" hidden="false" customHeight="true" outlineLevel="0" collapsed="false">
      <c r="T37" s="61"/>
    </row>
    <row r="38" customFormat="false" ht="50.1" hidden="false" customHeight="true" outlineLevel="0" collapsed="false">
      <c r="T38" s="61"/>
    </row>
    <row r="39" customFormat="false" ht="50.1" hidden="false" customHeight="true" outlineLevel="0" collapsed="false">
      <c r="T39" s="61"/>
    </row>
    <row r="40" customFormat="false" ht="50.1" hidden="false" customHeight="true" outlineLevel="0" collapsed="false">
      <c r="T40" s="61"/>
    </row>
    <row r="41" customFormat="false" ht="50.1" hidden="false" customHeight="true" outlineLevel="0" collapsed="false">
      <c r="T41" s="61"/>
    </row>
    <row r="42" customFormat="false" ht="50.1" hidden="false" customHeight="true" outlineLevel="0" collapsed="false">
      <c r="T42" s="61"/>
    </row>
    <row r="43" customFormat="false" ht="50.1" hidden="false" customHeight="true" outlineLevel="0" collapsed="false">
      <c r="T43" s="61"/>
    </row>
    <row r="44" customFormat="false" ht="50.1" hidden="false" customHeight="true" outlineLevel="0" collapsed="false">
      <c r="T44" s="61"/>
    </row>
    <row r="45" customFormat="false" ht="50.1" hidden="false" customHeight="true" outlineLevel="0" collapsed="false">
      <c r="T45" s="61"/>
    </row>
    <row r="46" customFormat="false" ht="50.1" hidden="false" customHeight="true" outlineLevel="0" collapsed="false">
      <c r="T46" s="61"/>
    </row>
    <row r="47" customFormat="false" ht="50.1" hidden="false" customHeight="true" outlineLevel="0" collapsed="false">
      <c r="T47" s="61"/>
    </row>
    <row r="48" customFormat="false" ht="50.1" hidden="false" customHeight="true" outlineLevel="0" collapsed="false">
      <c r="T48" s="61"/>
    </row>
    <row r="49" customFormat="false" ht="50.1" hidden="false" customHeight="true" outlineLevel="0" collapsed="false">
      <c r="T49" s="61"/>
    </row>
    <row r="50" customFormat="false" ht="50.1" hidden="false" customHeight="true" outlineLevel="0" collapsed="false">
      <c r="T50" s="61"/>
    </row>
    <row r="51" customFormat="false" ht="50.1" hidden="false" customHeight="true" outlineLevel="0" collapsed="false">
      <c r="T51" s="61"/>
    </row>
    <row r="52" customFormat="false" ht="50.1" hidden="false" customHeight="true" outlineLevel="0" collapsed="false">
      <c r="T52" s="61"/>
    </row>
    <row r="53" customFormat="false" ht="50.1" hidden="false" customHeight="true" outlineLevel="0" collapsed="false">
      <c r="T53" s="61"/>
    </row>
    <row r="54" customFormat="false" ht="50.1" hidden="false" customHeight="true" outlineLevel="0" collapsed="false">
      <c r="T54" s="61"/>
    </row>
    <row r="55" customFormat="false" ht="50.1" hidden="false" customHeight="true" outlineLevel="0" collapsed="false">
      <c r="T55" s="61"/>
    </row>
    <row r="56" customFormat="false" ht="50.1" hidden="false" customHeight="true" outlineLevel="0" collapsed="false">
      <c r="T56" s="61"/>
    </row>
    <row r="57" customFormat="false" ht="50.1" hidden="false" customHeight="true" outlineLevel="0" collapsed="false">
      <c r="T57" s="61"/>
    </row>
    <row r="58" customFormat="false" ht="50.1" hidden="false" customHeight="true" outlineLevel="0" collapsed="false">
      <c r="T58" s="61"/>
    </row>
    <row r="59" customFormat="false" ht="50.1" hidden="false" customHeight="true" outlineLevel="0" collapsed="false">
      <c r="T59" s="61"/>
    </row>
    <row r="60" customFormat="false" ht="50.1" hidden="false" customHeight="true" outlineLevel="0" collapsed="false">
      <c r="T60" s="61"/>
    </row>
    <row r="61" customFormat="false" ht="50.1" hidden="false" customHeight="true" outlineLevel="0" collapsed="false">
      <c r="T61" s="61"/>
    </row>
    <row r="62" customFormat="false" ht="50.1" hidden="false" customHeight="true" outlineLevel="0" collapsed="false">
      <c r="T62" s="61"/>
    </row>
    <row r="63" customFormat="false" ht="50.1" hidden="false" customHeight="true" outlineLevel="0" collapsed="false">
      <c r="T63" s="61"/>
    </row>
    <row r="64" customFormat="false" ht="50.1" hidden="false" customHeight="true" outlineLevel="0" collapsed="false">
      <c r="T64" s="61"/>
    </row>
    <row r="65" customFormat="false" ht="50.1" hidden="false" customHeight="true" outlineLevel="0" collapsed="false">
      <c r="T65" s="61"/>
    </row>
    <row r="66" customFormat="false" ht="50.1" hidden="false" customHeight="true" outlineLevel="0" collapsed="false">
      <c r="T66" s="61"/>
    </row>
    <row r="67" customFormat="false" ht="50.1" hidden="false" customHeight="true" outlineLevel="0" collapsed="false">
      <c r="T67" s="61"/>
    </row>
    <row r="68" customFormat="false" ht="50.1" hidden="false" customHeight="true" outlineLevel="0" collapsed="false">
      <c r="T68" s="61"/>
    </row>
    <row r="69" customFormat="false" ht="50.1" hidden="false" customHeight="true" outlineLevel="0" collapsed="false">
      <c r="T69" s="61"/>
    </row>
    <row r="70" customFormat="false" ht="50.1" hidden="false" customHeight="true" outlineLevel="0" collapsed="false">
      <c r="T70" s="61"/>
    </row>
    <row r="71" customFormat="false" ht="50.1" hidden="false" customHeight="true" outlineLevel="0" collapsed="false">
      <c r="T71" s="61"/>
    </row>
    <row r="72" customFormat="false" ht="50.1" hidden="false" customHeight="true" outlineLevel="0" collapsed="false">
      <c r="T72" s="61"/>
    </row>
    <row r="73" customFormat="false" ht="50.1" hidden="false" customHeight="true" outlineLevel="0" collapsed="false">
      <c r="T73" s="61"/>
    </row>
    <row r="74" customFormat="false" ht="50.1" hidden="false" customHeight="true" outlineLevel="0" collapsed="false">
      <c r="T74" s="61"/>
    </row>
    <row r="75" customFormat="false" ht="50.1" hidden="false" customHeight="true" outlineLevel="0" collapsed="false">
      <c r="T75" s="61"/>
    </row>
    <row r="76" customFormat="false" ht="50.1" hidden="false" customHeight="true" outlineLevel="0" collapsed="false">
      <c r="T76" s="61"/>
    </row>
    <row r="77" customFormat="false" ht="50.1" hidden="false" customHeight="true" outlineLevel="0" collapsed="false">
      <c r="T77" s="61"/>
    </row>
    <row r="78" customFormat="false" ht="50.1" hidden="false" customHeight="true" outlineLevel="0" collapsed="false">
      <c r="T78" s="61"/>
    </row>
    <row r="79" customFormat="false" ht="50.1" hidden="false" customHeight="true" outlineLevel="0" collapsed="false">
      <c r="T79" s="61"/>
    </row>
    <row r="80" customFormat="false" ht="50.1" hidden="false" customHeight="true" outlineLevel="0" collapsed="false">
      <c r="T80" s="61"/>
    </row>
    <row r="81" customFormat="false" ht="50.1" hidden="false" customHeight="true" outlineLevel="0" collapsed="false">
      <c r="T81" s="61"/>
    </row>
    <row r="82" customFormat="false" ht="50.1" hidden="false" customHeight="true" outlineLevel="0" collapsed="false">
      <c r="T82" s="61"/>
    </row>
    <row r="83" customFormat="false" ht="50.1" hidden="false" customHeight="true" outlineLevel="0" collapsed="false">
      <c r="T83" s="61"/>
    </row>
    <row r="84" customFormat="false" ht="50.1" hidden="false" customHeight="true" outlineLevel="0" collapsed="false">
      <c r="T84" s="61"/>
    </row>
    <row r="85" customFormat="false" ht="50.1" hidden="false" customHeight="true" outlineLevel="0" collapsed="false">
      <c r="T85" s="61"/>
    </row>
    <row r="86" customFormat="false" ht="50.1" hidden="false" customHeight="true" outlineLevel="0" collapsed="false">
      <c r="T86" s="61"/>
    </row>
    <row r="87" customFormat="false" ht="50.1" hidden="false" customHeight="true" outlineLevel="0" collapsed="false">
      <c r="T87" s="61"/>
    </row>
    <row r="88" customFormat="false" ht="50.1" hidden="false" customHeight="true" outlineLevel="0" collapsed="false">
      <c r="T88" s="61"/>
    </row>
    <row r="89" customFormat="false" ht="50.1" hidden="false" customHeight="true" outlineLevel="0" collapsed="false">
      <c r="T89" s="61"/>
    </row>
    <row r="90" customFormat="false" ht="50.1" hidden="false" customHeight="true" outlineLevel="0" collapsed="false">
      <c r="T90" s="61"/>
    </row>
    <row r="91" customFormat="false" ht="50.1" hidden="false" customHeight="true" outlineLevel="0" collapsed="false">
      <c r="T91" s="61"/>
    </row>
    <row r="92" customFormat="false" ht="50.1" hidden="false" customHeight="true" outlineLevel="0" collapsed="false">
      <c r="T92" s="61"/>
    </row>
    <row r="93" customFormat="false" ht="50.1" hidden="false" customHeight="true" outlineLevel="0" collapsed="false">
      <c r="T93" s="61"/>
    </row>
    <row r="94" customFormat="false" ht="50.1" hidden="false" customHeight="true" outlineLevel="0" collapsed="false">
      <c r="T94" s="61"/>
    </row>
    <row r="95" customFormat="false" ht="50.1" hidden="false" customHeight="true" outlineLevel="0" collapsed="false">
      <c r="T95" s="61"/>
    </row>
    <row r="96" customFormat="false" ht="50.1" hidden="false" customHeight="true" outlineLevel="0" collapsed="false">
      <c r="T96" s="61"/>
    </row>
    <row r="97" customFormat="false" ht="50.1" hidden="false" customHeight="true" outlineLevel="0" collapsed="false">
      <c r="T97" s="61"/>
    </row>
    <row r="98" customFormat="false" ht="50.1" hidden="false" customHeight="true" outlineLevel="0" collapsed="false">
      <c r="T98" s="61"/>
    </row>
    <row r="99" customFormat="false" ht="50.1" hidden="false" customHeight="true" outlineLevel="0" collapsed="false">
      <c r="T99" s="61"/>
    </row>
    <row r="100" customFormat="false" ht="50.1" hidden="false" customHeight="true" outlineLevel="0" collapsed="false">
      <c r="T100" s="61"/>
    </row>
    <row r="101" customFormat="false" ht="50.1" hidden="false" customHeight="true" outlineLevel="0" collapsed="false">
      <c r="T101" s="61"/>
    </row>
    <row r="102" customFormat="false" ht="50.1" hidden="false" customHeight="true" outlineLevel="0" collapsed="false">
      <c r="T102" s="61"/>
    </row>
    <row r="103" customFormat="false" ht="50.1" hidden="false" customHeight="true" outlineLevel="0" collapsed="false">
      <c r="T103" s="61"/>
    </row>
    <row r="104" customFormat="false" ht="50.1" hidden="false" customHeight="true" outlineLevel="0" collapsed="false">
      <c r="T104" s="61"/>
    </row>
    <row r="105" customFormat="false" ht="50.1" hidden="false" customHeight="true" outlineLevel="0" collapsed="false">
      <c r="T105" s="61"/>
    </row>
    <row r="106" customFormat="false" ht="50.1" hidden="false" customHeight="true" outlineLevel="0" collapsed="false">
      <c r="T106" s="61"/>
    </row>
    <row r="107" customFormat="false" ht="50.1" hidden="false" customHeight="true" outlineLevel="0" collapsed="false">
      <c r="T107" s="61"/>
    </row>
    <row r="108" customFormat="false" ht="50.1" hidden="false" customHeight="true" outlineLevel="0" collapsed="false">
      <c r="T108" s="61"/>
    </row>
    <row r="109" customFormat="false" ht="50.1" hidden="false" customHeight="true" outlineLevel="0" collapsed="false">
      <c r="T109" s="61"/>
    </row>
    <row r="110" customFormat="false" ht="50.1" hidden="false" customHeight="true" outlineLevel="0" collapsed="false">
      <c r="T110" s="61"/>
    </row>
    <row r="111" customFormat="false" ht="50.1" hidden="false" customHeight="true" outlineLevel="0" collapsed="false">
      <c r="T111" s="61"/>
    </row>
    <row r="112" customFormat="false" ht="50.1" hidden="false" customHeight="true" outlineLevel="0" collapsed="false">
      <c r="T112" s="61"/>
    </row>
    <row r="113" customFormat="false" ht="50.1" hidden="false" customHeight="true" outlineLevel="0" collapsed="false">
      <c r="T113" s="61"/>
    </row>
    <row r="114" customFormat="false" ht="50.1" hidden="false" customHeight="true" outlineLevel="0" collapsed="false">
      <c r="T114" s="61"/>
    </row>
    <row r="115" customFormat="false" ht="50.1" hidden="false" customHeight="true" outlineLevel="0" collapsed="false">
      <c r="T115" s="61"/>
    </row>
    <row r="116" customFormat="false" ht="50.1" hidden="false" customHeight="true" outlineLevel="0" collapsed="false">
      <c r="T116" s="61"/>
    </row>
    <row r="117" customFormat="false" ht="50.1" hidden="false" customHeight="true" outlineLevel="0" collapsed="false">
      <c r="T117" s="61"/>
    </row>
    <row r="118" customFormat="false" ht="50.1" hidden="false" customHeight="true" outlineLevel="0" collapsed="false">
      <c r="T118" s="61"/>
    </row>
    <row r="119" customFormat="false" ht="50.1" hidden="false" customHeight="true" outlineLevel="0" collapsed="false">
      <c r="T119" s="61"/>
    </row>
    <row r="120" customFormat="false" ht="50.1" hidden="false" customHeight="true" outlineLevel="0" collapsed="false">
      <c r="T120" s="61"/>
    </row>
    <row r="121" customFormat="false" ht="50.1" hidden="false" customHeight="true" outlineLevel="0" collapsed="false">
      <c r="T121" s="61"/>
    </row>
    <row r="122" customFormat="false" ht="50.1" hidden="false" customHeight="true" outlineLevel="0" collapsed="false">
      <c r="T122" s="61"/>
    </row>
    <row r="123" customFormat="false" ht="50.1" hidden="false" customHeight="true" outlineLevel="0" collapsed="false">
      <c r="T123" s="61"/>
    </row>
    <row r="124" customFormat="false" ht="50.1" hidden="false" customHeight="true" outlineLevel="0" collapsed="false">
      <c r="T124" s="61"/>
    </row>
    <row r="125" customFormat="false" ht="50.1" hidden="false" customHeight="true" outlineLevel="0" collapsed="false">
      <c r="T125" s="61"/>
    </row>
    <row r="126" customFormat="false" ht="50.1" hidden="false" customHeight="true" outlineLevel="0" collapsed="false">
      <c r="T126" s="61"/>
    </row>
    <row r="127" customFormat="false" ht="50.1" hidden="false" customHeight="true" outlineLevel="0" collapsed="false">
      <c r="T127" s="61"/>
    </row>
    <row r="128" customFormat="false" ht="50.1" hidden="false" customHeight="true" outlineLevel="0" collapsed="false">
      <c r="T128" s="61"/>
    </row>
    <row r="129" customFormat="false" ht="50.1" hidden="false" customHeight="true" outlineLevel="0" collapsed="false">
      <c r="T129" s="61"/>
    </row>
    <row r="130" customFormat="false" ht="50.1" hidden="false" customHeight="true" outlineLevel="0" collapsed="false">
      <c r="T130" s="61"/>
    </row>
    <row r="131" customFormat="false" ht="50.1" hidden="false" customHeight="true" outlineLevel="0" collapsed="false">
      <c r="T131" s="61"/>
    </row>
    <row r="132" customFormat="false" ht="50.1" hidden="false" customHeight="true" outlineLevel="0" collapsed="false">
      <c r="T132" s="61"/>
    </row>
    <row r="133" customFormat="false" ht="50.1" hidden="false" customHeight="true" outlineLevel="0" collapsed="false">
      <c r="T133" s="61"/>
    </row>
    <row r="134" customFormat="false" ht="50.1" hidden="false" customHeight="true" outlineLevel="0" collapsed="false">
      <c r="T134" s="61"/>
    </row>
    <row r="135" customFormat="false" ht="50.1" hidden="false" customHeight="true" outlineLevel="0" collapsed="false">
      <c r="T135" s="61"/>
    </row>
    <row r="136" customFormat="false" ht="50.1" hidden="false" customHeight="true" outlineLevel="0" collapsed="false">
      <c r="T136" s="61"/>
    </row>
    <row r="137" customFormat="false" ht="50.1" hidden="false" customHeight="true" outlineLevel="0" collapsed="false">
      <c r="T137" s="61"/>
    </row>
    <row r="138" customFormat="false" ht="50.1" hidden="false" customHeight="true" outlineLevel="0" collapsed="false">
      <c r="T138" s="61"/>
    </row>
    <row r="139" customFormat="false" ht="50.1" hidden="false" customHeight="true" outlineLevel="0" collapsed="false">
      <c r="T139" s="61"/>
    </row>
    <row r="140" customFormat="false" ht="50.1" hidden="false" customHeight="true" outlineLevel="0" collapsed="false">
      <c r="T140" s="61"/>
    </row>
    <row r="141" customFormat="false" ht="50.1" hidden="false" customHeight="true" outlineLevel="0" collapsed="false">
      <c r="T141" s="61"/>
    </row>
    <row r="142" customFormat="false" ht="50.1" hidden="false" customHeight="true" outlineLevel="0" collapsed="false">
      <c r="T142" s="61"/>
    </row>
    <row r="143" customFormat="false" ht="50.1" hidden="false" customHeight="true" outlineLevel="0" collapsed="false">
      <c r="T143" s="61"/>
    </row>
    <row r="144" customFormat="false" ht="50.1" hidden="false" customHeight="true" outlineLevel="0" collapsed="false">
      <c r="T144" s="61"/>
    </row>
    <row r="145" customFormat="false" ht="50.1" hidden="false" customHeight="true" outlineLevel="0" collapsed="false">
      <c r="T145" s="61"/>
    </row>
    <row r="146" customFormat="false" ht="50.1" hidden="false" customHeight="true" outlineLevel="0" collapsed="false">
      <c r="T146" s="61"/>
    </row>
    <row r="147" customFormat="false" ht="50.1" hidden="false" customHeight="true" outlineLevel="0" collapsed="false">
      <c r="T147" s="61"/>
    </row>
    <row r="148" customFormat="false" ht="50.1" hidden="false" customHeight="true" outlineLevel="0" collapsed="false">
      <c r="T148" s="61"/>
    </row>
    <row r="149" customFormat="false" ht="50.1" hidden="false" customHeight="true" outlineLevel="0" collapsed="false">
      <c r="T149" s="61"/>
    </row>
    <row r="150" customFormat="false" ht="50.1" hidden="false" customHeight="true" outlineLevel="0" collapsed="false">
      <c r="T150" s="61"/>
    </row>
    <row r="151" customFormat="false" ht="50.1" hidden="false" customHeight="true" outlineLevel="0" collapsed="false">
      <c r="T151" s="61"/>
    </row>
    <row r="152" customFormat="false" ht="50.1" hidden="false" customHeight="true" outlineLevel="0" collapsed="false">
      <c r="T152" s="61"/>
    </row>
    <row r="153" customFormat="false" ht="50.1" hidden="false" customHeight="true" outlineLevel="0" collapsed="false">
      <c r="T153" s="61"/>
    </row>
    <row r="154" customFormat="false" ht="50.1" hidden="false" customHeight="true" outlineLevel="0" collapsed="false">
      <c r="T154" s="61"/>
    </row>
    <row r="155" customFormat="false" ht="50.1" hidden="false" customHeight="true" outlineLevel="0" collapsed="false">
      <c r="T155" s="61"/>
    </row>
    <row r="156" customFormat="false" ht="50.1" hidden="false" customHeight="true" outlineLevel="0" collapsed="false">
      <c r="T156" s="61"/>
    </row>
    <row r="157" customFormat="false" ht="50.1" hidden="false" customHeight="true" outlineLevel="0" collapsed="false">
      <c r="T157" s="61"/>
    </row>
    <row r="158" customFormat="false" ht="50.1" hidden="false" customHeight="true" outlineLevel="0" collapsed="false">
      <c r="T158" s="61"/>
    </row>
    <row r="159" customFormat="false" ht="50.1" hidden="false" customHeight="true" outlineLevel="0" collapsed="false">
      <c r="T159" s="61"/>
    </row>
    <row r="160" customFormat="false" ht="50.1" hidden="false" customHeight="true" outlineLevel="0" collapsed="false">
      <c r="T160" s="61"/>
    </row>
    <row r="161" customFormat="false" ht="50.1" hidden="false" customHeight="true" outlineLevel="0" collapsed="false">
      <c r="T161" s="61"/>
    </row>
    <row r="162" customFormat="false" ht="50.1" hidden="false" customHeight="true" outlineLevel="0" collapsed="false">
      <c r="T162" s="61"/>
    </row>
    <row r="163" customFormat="false" ht="50.1" hidden="false" customHeight="true" outlineLevel="0" collapsed="false">
      <c r="T163" s="61"/>
    </row>
    <row r="164" customFormat="false" ht="50.1" hidden="false" customHeight="true" outlineLevel="0" collapsed="false">
      <c r="T164" s="61"/>
    </row>
    <row r="165" customFormat="false" ht="50.1" hidden="false" customHeight="true" outlineLevel="0" collapsed="false">
      <c r="T165" s="61"/>
    </row>
    <row r="166" customFormat="false" ht="50.1" hidden="false" customHeight="true" outlineLevel="0" collapsed="false">
      <c r="T166" s="61"/>
    </row>
    <row r="167" customFormat="false" ht="50.1" hidden="false" customHeight="true" outlineLevel="0" collapsed="false">
      <c r="T167" s="61"/>
    </row>
    <row r="168" customFormat="false" ht="50.1" hidden="false" customHeight="true" outlineLevel="0" collapsed="false">
      <c r="T168" s="61"/>
    </row>
    <row r="169" customFormat="false" ht="50.1" hidden="false" customHeight="true" outlineLevel="0" collapsed="false">
      <c r="T169" s="61"/>
    </row>
    <row r="170" customFormat="false" ht="50.1" hidden="false" customHeight="true" outlineLevel="0" collapsed="false">
      <c r="T170" s="61"/>
    </row>
    <row r="171" customFormat="false" ht="50.1" hidden="false" customHeight="true" outlineLevel="0" collapsed="false">
      <c r="T171" s="61"/>
    </row>
    <row r="172" customFormat="false" ht="50.1" hidden="false" customHeight="true" outlineLevel="0" collapsed="false">
      <c r="T172" s="61"/>
    </row>
    <row r="173" customFormat="false" ht="50.1" hidden="false" customHeight="true" outlineLevel="0" collapsed="false">
      <c r="T173" s="61"/>
    </row>
    <row r="174" customFormat="false" ht="50.1" hidden="false" customHeight="true" outlineLevel="0" collapsed="false">
      <c r="T174" s="61"/>
    </row>
    <row r="175" customFormat="false" ht="50.1" hidden="false" customHeight="true" outlineLevel="0" collapsed="false">
      <c r="T175" s="61"/>
    </row>
    <row r="176" customFormat="false" ht="50.1" hidden="false" customHeight="true" outlineLevel="0" collapsed="false">
      <c r="T176" s="61"/>
    </row>
    <row r="177" customFormat="false" ht="50.1" hidden="false" customHeight="true" outlineLevel="0" collapsed="false">
      <c r="T177" s="61"/>
    </row>
    <row r="178" customFormat="false" ht="50.1" hidden="false" customHeight="true" outlineLevel="0" collapsed="false">
      <c r="T178" s="61"/>
    </row>
    <row r="179" customFormat="false" ht="50.1" hidden="false" customHeight="true" outlineLevel="0" collapsed="false">
      <c r="T179" s="61"/>
    </row>
    <row r="180" customFormat="false" ht="50.1" hidden="false" customHeight="true" outlineLevel="0" collapsed="false">
      <c r="T180" s="61"/>
    </row>
    <row r="181" customFormat="false" ht="50.1" hidden="false" customHeight="true" outlineLevel="0" collapsed="false">
      <c r="T181" s="61"/>
    </row>
    <row r="182" customFormat="false" ht="50.1" hidden="false" customHeight="true" outlineLevel="0" collapsed="false">
      <c r="T182" s="61"/>
    </row>
    <row r="183" customFormat="false" ht="50.1" hidden="false" customHeight="true" outlineLevel="0" collapsed="false">
      <c r="T183" s="61"/>
    </row>
    <row r="184" customFormat="false" ht="50.1" hidden="false" customHeight="true" outlineLevel="0" collapsed="false">
      <c r="T184" s="61"/>
    </row>
    <row r="185" customFormat="false" ht="50.1" hidden="false" customHeight="true" outlineLevel="0" collapsed="false">
      <c r="T185" s="61"/>
    </row>
    <row r="186" customFormat="false" ht="50.1" hidden="false" customHeight="true" outlineLevel="0" collapsed="false">
      <c r="T186" s="61"/>
    </row>
    <row r="187" customFormat="false" ht="50.1" hidden="false" customHeight="true" outlineLevel="0" collapsed="false">
      <c r="T187" s="61"/>
    </row>
    <row r="188" customFormat="false" ht="50.1" hidden="false" customHeight="true" outlineLevel="0" collapsed="false">
      <c r="T188" s="61"/>
    </row>
    <row r="189" customFormat="false" ht="50.1" hidden="false" customHeight="true" outlineLevel="0" collapsed="false">
      <c r="T189" s="61"/>
    </row>
    <row r="190" customFormat="false" ht="50.1" hidden="false" customHeight="true" outlineLevel="0" collapsed="false">
      <c r="T190" s="61"/>
    </row>
    <row r="191" customFormat="false" ht="50.1" hidden="false" customHeight="true" outlineLevel="0" collapsed="false">
      <c r="T191" s="61"/>
    </row>
    <row r="192" customFormat="false" ht="50.1" hidden="false" customHeight="true" outlineLevel="0" collapsed="false">
      <c r="T192" s="61"/>
    </row>
    <row r="193" customFormat="false" ht="50.1" hidden="false" customHeight="true" outlineLevel="0" collapsed="false">
      <c r="T193" s="61"/>
    </row>
    <row r="194" customFormat="false" ht="50.1" hidden="false" customHeight="true" outlineLevel="0" collapsed="false">
      <c r="T194" s="61"/>
    </row>
    <row r="195" customFormat="false" ht="50.1" hidden="false" customHeight="true" outlineLevel="0" collapsed="false">
      <c r="T195" s="61"/>
    </row>
    <row r="196" customFormat="false" ht="50.1" hidden="false" customHeight="true" outlineLevel="0" collapsed="false">
      <c r="T196" s="61"/>
    </row>
    <row r="197" customFormat="false" ht="50.1" hidden="false" customHeight="true" outlineLevel="0" collapsed="false">
      <c r="T197" s="61"/>
    </row>
    <row r="198" customFormat="false" ht="50.1" hidden="false" customHeight="true" outlineLevel="0" collapsed="false">
      <c r="T198" s="61"/>
    </row>
    <row r="199" customFormat="false" ht="50.1" hidden="false" customHeight="true" outlineLevel="0" collapsed="false">
      <c r="T199" s="61"/>
    </row>
    <row r="200" customFormat="false" ht="50.1" hidden="false" customHeight="true" outlineLevel="0" collapsed="false">
      <c r="T200" s="61"/>
    </row>
    <row r="201" customFormat="false" ht="50.1" hidden="false" customHeight="true" outlineLevel="0" collapsed="false">
      <c r="T201" s="61"/>
    </row>
    <row r="202" customFormat="false" ht="50.1" hidden="false" customHeight="true" outlineLevel="0" collapsed="false">
      <c r="T202" s="61"/>
    </row>
    <row r="203" customFormat="false" ht="50.1" hidden="false" customHeight="true" outlineLevel="0" collapsed="false">
      <c r="T203" s="61"/>
    </row>
    <row r="204" customFormat="false" ht="50.1" hidden="false" customHeight="true" outlineLevel="0" collapsed="false">
      <c r="T204" s="61"/>
    </row>
    <row r="205" customFormat="false" ht="50.1" hidden="false" customHeight="true" outlineLevel="0" collapsed="false">
      <c r="T205" s="61"/>
    </row>
    <row r="206" customFormat="false" ht="50.1" hidden="false" customHeight="true" outlineLevel="0" collapsed="false">
      <c r="T206" s="61"/>
    </row>
    <row r="207" customFormat="false" ht="50.1" hidden="false" customHeight="true" outlineLevel="0" collapsed="false">
      <c r="T207" s="61"/>
    </row>
    <row r="208" customFormat="false" ht="50.1" hidden="false" customHeight="true" outlineLevel="0" collapsed="false">
      <c r="T208" s="61"/>
    </row>
    <row r="209" customFormat="false" ht="50.1" hidden="false" customHeight="true" outlineLevel="0" collapsed="false">
      <c r="T209" s="61"/>
    </row>
    <row r="210" customFormat="false" ht="50.1" hidden="false" customHeight="true" outlineLevel="0" collapsed="false">
      <c r="T210" s="61"/>
    </row>
    <row r="211" customFormat="false" ht="50.1" hidden="false" customHeight="true" outlineLevel="0" collapsed="false">
      <c r="T211" s="61"/>
    </row>
    <row r="212" customFormat="false" ht="50.1" hidden="false" customHeight="true" outlineLevel="0" collapsed="false">
      <c r="T212" s="61"/>
    </row>
    <row r="213" customFormat="false" ht="50.1" hidden="false" customHeight="true" outlineLevel="0" collapsed="false">
      <c r="T213" s="61"/>
    </row>
    <row r="214" customFormat="false" ht="50.1" hidden="false" customHeight="true" outlineLevel="0" collapsed="false">
      <c r="T214" s="61"/>
    </row>
    <row r="215" customFormat="false" ht="50.1" hidden="false" customHeight="true" outlineLevel="0" collapsed="false">
      <c r="T215" s="61"/>
    </row>
    <row r="216" customFormat="false" ht="50.1" hidden="false" customHeight="true" outlineLevel="0" collapsed="false">
      <c r="T216" s="61"/>
    </row>
    <row r="217" customFormat="false" ht="50.1" hidden="false" customHeight="true" outlineLevel="0" collapsed="false">
      <c r="T217" s="61"/>
    </row>
    <row r="218" customFormat="false" ht="50.1" hidden="false" customHeight="true" outlineLevel="0" collapsed="false">
      <c r="T218" s="61"/>
    </row>
    <row r="219" customFormat="false" ht="50.1" hidden="false" customHeight="true" outlineLevel="0" collapsed="false">
      <c r="T219" s="61"/>
    </row>
    <row r="220" customFormat="false" ht="50.1" hidden="false" customHeight="true" outlineLevel="0" collapsed="false">
      <c r="T220" s="61"/>
    </row>
    <row r="221" customFormat="false" ht="50.1" hidden="false" customHeight="true" outlineLevel="0" collapsed="false">
      <c r="T221" s="61"/>
    </row>
    <row r="222" customFormat="false" ht="50.1" hidden="false" customHeight="true" outlineLevel="0" collapsed="false">
      <c r="T222" s="61"/>
    </row>
    <row r="223" customFormat="false" ht="50.1" hidden="false" customHeight="true" outlineLevel="0" collapsed="false">
      <c r="T223" s="61"/>
    </row>
    <row r="224" customFormat="false" ht="50.1" hidden="false" customHeight="true" outlineLevel="0" collapsed="false">
      <c r="T224" s="61"/>
    </row>
    <row r="225" customFormat="false" ht="50.1" hidden="false" customHeight="true" outlineLevel="0" collapsed="false">
      <c r="T225" s="61"/>
    </row>
    <row r="226" customFormat="false" ht="50.1" hidden="false" customHeight="true" outlineLevel="0" collapsed="false">
      <c r="T226" s="61"/>
    </row>
    <row r="227" customFormat="false" ht="50.1" hidden="false" customHeight="true" outlineLevel="0" collapsed="false">
      <c r="T227" s="61"/>
    </row>
    <row r="228" customFormat="false" ht="50.1" hidden="false" customHeight="true" outlineLevel="0" collapsed="false">
      <c r="T228" s="61"/>
    </row>
    <row r="229" customFormat="false" ht="50.1" hidden="false" customHeight="true" outlineLevel="0" collapsed="false">
      <c r="T229" s="61"/>
    </row>
    <row r="230" customFormat="false" ht="50.1" hidden="false" customHeight="true" outlineLevel="0" collapsed="false">
      <c r="T230" s="61"/>
    </row>
    <row r="231" customFormat="false" ht="50.1" hidden="false" customHeight="true" outlineLevel="0" collapsed="false">
      <c r="T231" s="61"/>
    </row>
    <row r="232" customFormat="false" ht="50.1" hidden="false" customHeight="true" outlineLevel="0" collapsed="false">
      <c r="T232" s="61"/>
    </row>
    <row r="233" customFormat="false" ht="50.1" hidden="false" customHeight="true" outlineLevel="0" collapsed="false">
      <c r="T233" s="61"/>
    </row>
    <row r="234" customFormat="false" ht="50.1" hidden="false" customHeight="true" outlineLevel="0" collapsed="false">
      <c r="T234" s="61"/>
    </row>
    <row r="235" customFormat="false" ht="50.1" hidden="false" customHeight="true" outlineLevel="0" collapsed="false">
      <c r="T235" s="61"/>
    </row>
    <row r="236" customFormat="false" ht="50.1" hidden="false" customHeight="true" outlineLevel="0" collapsed="false">
      <c r="T236" s="61"/>
    </row>
    <row r="237" customFormat="false" ht="50.1" hidden="false" customHeight="true" outlineLevel="0" collapsed="false">
      <c r="T237" s="61"/>
    </row>
    <row r="238" customFormat="false" ht="50.1" hidden="false" customHeight="true" outlineLevel="0" collapsed="false">
      <c r="T238" s="61"/>
    </row>
    <row r="239" customFormat="false" ht="50.1" hidden="false" customHeight="true" outlineLevel="0" collapsed="false">
      <c r="T239" s="61"/>
    </row>
    <row r="240" customFormat="false" ht="50.1" hidden="false" customHeight="true" outlineLevel="0" collapsed="false">
      <c r="T240" s="61"/>
    </row>
    <row r="241" customFormat="false" ht="50.1" hidden="false" customHeight="true" outlineLevel="0" collapsed="false">
      <c r="T241" s="61"/>
    </row>
    <row r="242" customFormat="false" ht="50.1" hidden="false" customHeight="true" outlineLevel="0" collapsed="false">
      <c r="T242" s="61"/>
    </row>
    <row r="243" customFormat="false" ht="50.1" hidden="false" customHeight="true" outlineLevel="0" collapsed="false">
      <c r="T243" s="61"/>
    </row>
    <row r="244" customFormat="false" ht="50.1" hidden="false" customHeight="true" outlineLevel="0" collapsed="false">
      <c r="T244" s="61"/>
    </row>
    <row r="245" customFormat="false" ht="50.1" hidden="false" customHeight="true" outlineLevel="0" collapsed="false">
      <c r="T245" s="61"/>
    </row>
    <row r="246" customFormat="false" ht="50.1" hidden="false" customHeight="true" outlineLevel="0" collapsed="false">
      <c r="T246" s="61"/>
    </row>
    <row r="247" customFormat="false" ht="50.1" hidden="false" customHeight="true" outlineLevel="0" collapsed="false">
      <c r="T247" s="61"/>
    </row>
    <row r="248" customFormat="false" ht="50.1" hidden="false" customHeight="true" outlineLevel="0" collapsed="false">
      <c r="T248" s="61"/>
    </row>
    <row r="249" customFormat="false" ht="50.1" hidden="false" customHeight="true" outlineLevel="0" collapsed="false">
      <c r="T249" s="61"/>
    </row>
    <row r="250" customFormat="false" ht="50.1" hidden="false" customHeight="true" outlineLevel="0" collapsed="false">
      <c r="T250" s="61"/>
    </row>
    <row r="251" customFormat="false" ht="50.1" hidden="false" customHeight="true" outlineLevel="0" collapsed="false">
      <c r="T251" s="61"/>
    </row>
    <row r="252" customFormat="false" ht="50.1" hidden="false" customHeight="true" outlineLevel="0" collapsed="false">
      <c r="T252" s="61"/>
    </row>
    <row r="253" customFormat="false" ht="50.1" hidden="false" customHeight="true" outlineLevel="0" collapsed="false">
      <c r="T253" s="61"/>
    </row>
    <row r="254" customFormat="false" ht="50.1" hidden="false" customHeight="true" outlineLevel="0" collapsed="false">
      <c r="T254" s="61"/>
    </row>
    <row r="255" customFormat="false" ht="50.1" hidden="false" customHeight="true" outlineLevel="0" collapsed="false">
      <c r="T255" s="61"/>
    </row>
    <row r="256" customFormat="false" ht="50.1" hidden="false" customHeight="true" outlineLevel="0" collapsed="false">
      <c r="T256" s="61"/>
    </row>
    <row r="257" customFormat="false" ht="50.1" hidden="false" customHeight="true" outlineLevel="0" collapsed="false">
      <c r="T257" s="61"/>
    </row>
    <row r="258" customFormat="false" ht="50.1" hidden="false" customHeight="true" outlineLevel="0" collapsed="false">
      <c r="T258" s="61"/>
    </row>
    <row r="259" customFormat="false" ht="50.1" hidden="false" customHeight="true" outlineLevel="0" collapsed="false">
      <c r="T259" s="61"/>
    </row>
    <row r="260" customFormat="false" ht="50.1" hidden="false" customHeight="true" outlineLevel="0" collapsed="false">
      <c r="T260" s="61"/>
    </row>
    <row r="261" customFormat="false" ht="50.1" hidden="false" customHeight="true" outlineLevel="0" collapsed="false">
      <c r="T261" s="61"/>
    </row>
    <row r="262" customFormat="false" ht="50.1" hidden="false" customHeight="true" outlineLevel="0" collapsed="false">
      <c r="T262" s="61"/>
    </row>
    <row r="263" customFormat="false" ht="50.1" hidden="false" customHeight="true" outlineLevel="0" collapsed="false">
      <c r="T263" s="61"/>
    </row>
    <row r="264" customFormat="false" ht="50.1" hidden="false" customHeight="true" outlineLevel="0" collapsed="false">
      <c r="T264" s="61"/>
    </row>
  </sheetData>
  <mergeCells count="2">
    <mergeCell ref="A1:R1"/>
    <mergeCell ref="A2:H2"/>
  </mergeCells>
  <printOptions headings="false" gridLines="false" gridLinesSet="true" horizontalCentered="false" verticalCentered="false"/>
  <pageMargins left="0.309722222222222" right="0.240277777777778" top="0.309722222222222"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272"/>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114" width="46"/>
    <col collapsed="false" customWidth="true" hidden="false" outlineLevel="0" max="3" min="2" style="34" width="18"/>
    <col collapsed="false" customWidth="true" hidden="false" outlineLevel="0" max="4" min="4" style="39" width="20"/>
    <col collapsed="false" customWidth="true" hidden="false" outlineLevel="0" max="5" min="5" style="39"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9" min="9" style="39" width="7.13"/>
    <col collapsed="false" customWidth="true" hidden="false" outlineLevel="0" max="10" min="10" style="39" width="6.88"/>
    <col collapsed="false" customWidth="true" hidden="false" outlineLevel="0" max="11" min="11" style="39" width="11.7"/>
    <col collapsed="false" customWidth="true" hidden="false" outlineLevel="0" max="12" min="12" style="39" width="7.87"/>
    <col collapsed="false" customWidth="true" hidden="false" outlineLevel="0" max="13" min="13" style="39" width="10.63"/>
    <col collapsed="false" customWidth="true" hidden="false" outlineLevel="0" max="14" min="14" style="39" width="7"/>
    <col collapsed="false" customWidth="true" hidden="false" outlineLevel="0" max="15" min="15" style="39" width="10.63"/>
    <col collapsed="false" customWidth="true" hidden="false" outlineLevel="0" max="16" min="16" style="105" width="7"/>
    <col collapsed="false" customWidth="true" hidden="false" outlineLevel="0" max="17" min="17" style="39" width="70"/>
    <col collapsed="false" customWidth="true" hidden="false" outlineLevel="0" max="19" min="18" style="41" width="9.88"/>
    <col collapsed="false" customWidth="true" hidden="false" outlineLevel="0" max="20" min="20" style="42" width="7.37"/>
    <col collapsed="false" customWidth="true" hidden="false" outlineLevel="0" max="28" min="21" style="34" width="9"/>
    <col collapsed="false" customWidth="false" hidden="false" outlineLevel="0" max="98" min="29"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1533</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c r="T3" s="48"/>
    </row>
    <row r="4" s="50" customFormat="true" ht="27" hidden="false" customHeight="true" outlineLevel="1" collapsed="false">
      <c r="A4" s="49" t="s">
        <v>18</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62" customFormat="true" ht="115" hidden="false" customHeight="true" outlineLevel="2" collapsed="false">
      <c r="A5" s="51" t="s">
        <v>1534</v>
      </c>
      <c r="B5" s="52"/>
      <c r="C5" s="57"/>
      <c r="D5" s="53" t="s">
        <v>1535</v>
      </c>
      <c r="E5" s="53" t="s">
        <v>103</v>
      </c>
      <c r="F5" s="54" t="n">
        <v>521.9</v>
      </c>
      <c r="G5" s="55"/>
      <c r="H5" s="56" t="str">
        <f aca="false">IF(ISBLANK(G5),"",IF(ISNUMBER(F5),ROUND(F5*G5,2),"Укажите цену"))</f>
        <v/>
      </c>
      <c r="I5" s="57" t="n">
        <v>68</v>
      </c>
      <c r="J5" s="26" t="n">
        <v>21.2</v>
      </c>
      <c r="K5" s="57" t="s">
        <v>1536</v>
      </c>
      <c r="L5" s="57" t="n">
        <v>70</v>
      </c>
      <c r="M5" s="57" t="s">
        <v>284</v>
      </c>
      <c r="N5" s="57" t="n">
        <v>280</v>
      </c>
      <c r="O5" s="57" t="s">
        <v>696</v>
      </c>
      <c r="P5" s="58" t="n">
        <v>0.095</v>
      </c>
      <c r="Q5" s="68" t="s">
        <v>1537</v>
      </c>
      <c r="R5" s="125" t="s">
        <v>1538</v>
      </c>
      <c r="S5" s="60" t="s">
        <v>96</v>
      </c>
      <c r="T5" s="87"/>
      <c r="U5" s="61"/>
      <c r="V5" s="61"/>
      <c r="W5" s="61"/>
      <c r="X5" s="61"/>
      <c r="Y5" s="61"/>
      <c r="Z5" s="61"/>
    </row>
    <row r="6" s="62" customFormat="true" ht="115" hidden="false" customHeight="true" outlineLevel="2" collapsed="false">
      <c r="A6" s="51" t="s">
        <v>1539</v>
      </c>
      <c r="B6" s="52"/>
      <c r="C6" s="57"/>
      <c r="D6" s="53" t="s">
        <v>1540</v>
      </c>
      <c r="E6" s="53" t="s">
        <v>103</v>
      </c>
      <c r="F6" s="54" t="n">
        <v>203.87</v>
      </c>
      <c r="G6" s="55"/>
      <c r="H6" s="56" t="str">
        <f aca="false">IF(ISBLANK(G6),"",IF(ISNUMBER(F6),ROUND(F6*G6,2),"Укажите цену"))</f>
        <v/>
      </c>
      <c r="I6" s="57" t="n">
        <v>40</v>
      </c>
      <c r="J6" s="26" t="n">
        <v>12.9</v>
      </c>
      <c r="K6" s="57" t="s">
        <v>1541</v>
      </c>
      <c r="L6" s="57" t="n">
        <v>67</v>
      </c>
      <c r="M6" s="57" t="s">
        <v>284</v>
      </c>
      <c r="N6" s="57" t="n">
        <v>268</v>
      </c>
      <c r="O6" s="57" t="s">
        <v>696</v>
      </c>
      <c r="P6" s="58" t="n">
        <v>0.095</v>
      </c>
      <c r="Q6" s="68" t="s">
        <v>1542</v>
      </c>
      <c r="R6" s="125" t="s">
        <v>1543</v>
      </c>
      <c r="S6" s="60" t="s">
        <v>96</v>
      </c>
      <c r="T6" s="87"/>
      <c r="U6" s="61"/>
      <c r="V6" s="61"/>
      <c r="W6" s="61"/>
      <c r="X6" s="61"/>
      <c r="Y6" s="61"/>
      <c r="Z6" s="61"/>
    </row>
    <row r="7" s="34" customFormat="true" ht="115" hidden="false" customHeight="true" outlineLevel="2" collapsed="false">
      <c r="A7" s="51" t="s">
        <v>1544</v>
      </c>
      <c r="B7" s="57"/>
      <c r="C7" s="57"/>
      <c r="D7" s="53" t="s">
        <v>1545</v>
      </c>
      <c r="E7" s="53" t="s">
        <v>89</v>
      </c>
      <c r="F7" s="54" t="n">
        <v>244.64</v>
      </c>
      <c r="G7" s="55"/>
      <c r="H7" s="56" t="str">
        <f aca="false">IF(ISBLANK(G7),"",IF(ISNUMBER(F7),ROUND(F7*G7,2),"Укажите цену"))</f>
        <v/>
      </c>
      <c r="I7" s="57" t="n">
        <v>100</v>
      </c>
      <c r="J7" s="57" t="n">
        <v>16.44</v>
      </c>
      <c r="K7" s="57" t="s">
        <v>1546</v>
      </c>
      <c r="L7" s="57" t="n">
        <v>36</v>
      </c>
      <c r="M7" s="57" t="s">
        <v>284</v>
      </c>
      <c r="N7" s="57" t="n">
        <v>144</v>
      </c>
      <c r="O7" s="57" t="s">
        <v>696</v>
      </c>
      <c r="P7" s="58" t="n">
        <v>0.095</v>
      </c>
      <c r="Q7" s="68" t="s">
        <v>1547</v>
      </c>
      <c r="R7" s="93" t="s">
        <v>1548</v>
      </c>
      <c r="S7" s="60" t="s">
        <v>96</v>
      </c>
      <c r="T7" s="61"/>
    </row>
    <row r="8" s="105" customFormat="true" ht="115" hidden="false" customHeight="true" outlineLevel="2" collapsed="false">
      <c r="A8" s="51" t="s">
        <v>1549</v>
      </c>
      <c r="B8" s="52"/>
      <c r="C8" s="52"/>
      <c r="D8" s="53" t="s">
        <v>1550</v>
      </c>
      <c r="E8" s="53" t="s">
        <v>89</v>
      </c>
      <c r="F8" s="54" t="n">
        <v>399.58</v>
      </c>
      <c r="G8" s="55"/>
      <c r="H8" s="56" t="str">
        <f aca="false">IF(ISBLANK(G8),"",IF(ISNUMBER(F8),ROUND(F8*G8,2),"Укажите цену"))</f>
        <v/>
      </c>
      <c r="I8" s="57" t="n">
        <v>117</v>
      </c>
      <c r="J8" s="57" t="n">
        <v>13.18</v>
      </c>
      <c r="K8" s="57" t="s">
        <v>1551</v>
      </c>
      <c r="L8" s="57" t="n">
        <v>16</v>
      </c>
      <c r="M8" s="57" t="s">
        <v>640</v>
      </c>
      <c r="N8" s="57" t="n">
        <v>96</v>
      </c>
      <c r="O8" s="57" t="s">
        <v>641</v>
      </c>
      <c r="P8" s="58" t="n">
        <v>0.074</v>
      </c>
      <c r="Q8" s="68" t="s">
        <v>1552</v>
      </c>
      <c r="R8" s="60" t="s">
        <v>1553</v>
      </c>
      <c r="S8" s="60" t="s">
        <v>96</v>
      </c>
      <c r="T8" s="61"/>
    </row>
    <row r="9" s="4" customFormat="true" ht="5.25" hidden="false" customHeight="true" outlineLevel="2" collapsed="false">
      <c r="A9" s="135"/>
      <c r="B9" s="135"/>
      <c r="C9" s="135"/>
      <c r="D9" s="135"/>
      <c r="E9" s="135"/>
      <c r="F9" s="135"/>
      <c r="G9" s="135"/>
      <c r="H9" s="135"/>
      <c r="I9" s="135"/>
      <c r="J9" s="135"/>
      <c r="K9" s="135"/>
      <c r="L9" s="135"/>
      <c r="M9" s="135"/>
      <c r="N9" s="135"/>
      <c r="O9" s="135"/>
      <c r="P9" s="135"/>
      <c r="Q9" s="135"/>
      <c r="R9" s="135"/>
      <c r="S9" s="136"/>
      <c r="T9" s="61"/>
    </row>
    <row r="10" s="50" customFormat="true" ht="27" hidden="false" customHeight="true" outlineLevel="1" collapsed="false">
      <c r="A10" s="49" t="s">
        <v>21</v>
      </c>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c r="IW10" s="49"/>
    </row>
    <row r="11" s="62" customFormat="true" ht="115" hidden="false" customHeight="true" outlineLevel="2" collapsed="false">
      <c r="A11" s="51" t="s">
        <v>1554</v>
      </c>
      <c r="B11" s="52"/>
      <c r="C11" s="57"/>
      <c r="D11" s="53" t="s">
        <v>1555</v>
      </c>
      <c r="E11" s="53" t="s">
        <v>89</v>
      </c>
      <c r="F11" s="54" t="n">
        <v>89.7</v>
      </c>
      <c r="G11" s="55"/>
      <c r="H11" s="56" t="str">
        <f aca="false">IF(ISBLANK(G11),"",IF(ISNUMBER(F11),ROUND(F11*G11,2),"Укажите цену"))</f>
        <v/>
      </c>
      <c r="I11" s="57" t="s">
        <v>936</v>
      </c>
      <c r="J11" s="26" t="s">
        <v>936</v>
      </c>
      <c r="K11" s="57" t="s">
        <v>936</v>
      </c>
      <c r="L11" s="57" t="s">
        <v>91</v>
      </c>
      <c r="M11" s="57" t="s">
        <v>92</v>
      </c>
      <c r="N11" s="57" t="n">
        <v>127</v>
      </c>
      <c r="O11" s="57" t="s">
        <v>1556</v>
      </c>
      <c r="P11" s="58" t="n">
        <v>0.095</v>
      </c>
      <c r="Q11" s="124" t="s">
        <v>1557</v>
      </c>
      <c r="R11" s="125" t="s">
        <v>1558</v>
      </c>
      <c r="S11" s="60" t="s">
        <v>96</v>
      </c>
      <c r="T11" s="87"/>
      <c r="U11" s="61"/>
      <c r="V11" s="61"/>
      <c r="W11" s="61"/>
      <c r="X11" s="61"/>
      <c r="Y11" s="61"/>
      <c r="Z11" s="61"/>
    </row>
    <row r="12" s="34" customFormat="true" ht="115" hidden="false" customHeight="true" outlineLevel="2" collapsed="false">
      <c r="A12" s="51" t="s">
        <v>1559</v>
      </c>
      <c r="B12" s="57"/>
      <c r="C12" s="57"/>
      <c r="D12" s="53" t="s">
        <v>1560</v>
      </c>
      <c r="E12" s="53" t="s">
        <v>89</v>
      </c>
      <c r="F12" s="54" t="n">
        <v>101.12</v>
      </c>
      <c r="G12" s="55"/>
      <c r="H12" s="56" t="str">
        <f aca="false">IF(ISBLANK(G12),"",IF(ISNUMBER(F12),ROUND(F12*G12,2),"Укажите цену"))</f>
        <v/>
      </c>
      <c r="I12" s="57" t="n">
        <v>142</v>
      </c>
      <c r="J12" s="57" t="n">
        <v>24.2</v>
      </c>
      <c r="K12" s="57" t="s">
        <v>1561</v>
      </c>
      <c r="L12" s="57" t="n">
        <v>26</v>
      </c>
      <c r="M12" s="57" t="s">
        <v>640</v>
      </c>
      <c r="N12" s="57" t="n">
        <v>156</v>
      </c>
      <c r="O12" s="57" t="s">
        <v>641</v>
      </c>
      <c r="P12" s="58" t="n">
        <v>0.074</v>
      </c>
      <c r="Q12" s="162" t="s">
        <v>1562</v>
      </c>
      <c r="R12" s="93" t="s">
        <v>1563</v>
      </c>
      <c r="S12" s="60" t="s">
        <v>96</v>
      </c>
      <c r="T12" s="61"/>
    </row>
    <row r="13" s="70" customFormat="true" ht="115" hidden="false" customHeight="true" outlineLevel="2" collapsed="false">
      <c r="A13" s="51" t="s">
        <v>1564</v>
      </c>
      <c r="B13" s="57"/>
      <c r="C13" s="57"/>
      <c r="D13" s="53" t="s">
        <v>1565</v>
      </c>
      <c r="E13" s="53" t="s">
        <v>89</v>
      </c>
      <c r="F13" s="54" t="n">
        <v>187.56</v>
      </c>
      <c r="G13" s="55"/>
      <c r="H13" s="56" t="str">
        <f aca="false">IF(ISBLANK(G13),"",IF(ISNUMBER(F13),ROUND(F13*G13,2),"Укажите цену"))</f>
        <v/>
      </c>
      <c r="I13" s="57" t="n">
        <v>231</v>
      </c>
      <c r="J13" s="57" t="n">
        <v>22.45</v>
      </c>
      <c r="K13" s="57" t="s">
        <v>1566</v>
      </c>
      <c r="L13" s="57" t="s">
        <v>91</v>
      </c>
      <c r="M13" s="57" t="s">
        <v>92</v>
      </c>
      <c r="N13" s="57" t="n">
        <v>93</v>
      </c>
      <c r="O13" s="57" t="s">
        <v>696</v>
      </c>
      <c r="P13" s="58" t="n">
        <v>0.095</v>
      </c>
      <c r="Q13" s="68" t="s">
        <v>1567</v>
      </c>
      <c r="R13" s="93" t="s">
        <v>1568</v>
      </c>
      <c r="S13" s="60" t="s">
        <v>96</v>
      </c>
      <c r="T13" s="61"/>
    </row>
    <row r="14" s="39" customFormat="true" ht="110" hidden="false" customHeight="true" outlineLevel="2" collapsed="false">
      <c r="A14" s="51" t="s">
        <v>1569</v>
      </c>
      <c r="B14" s="57"/>
      <c r="C14" s="57"/>
      <c r="D14" s="53" t="s">
        <v>1570</v>
      </c>
      <c r="E14" s="53" t="s">
        <v>103</v>
      </c>
      <c r="F14" s="54" t="n">
        <v>301.72</v>
      </c>
      <c r="G14" s="55"/>
      <c r="H14" s="56" t="str">
        <f aca="false">IF(ISBLANK(G14),"",IF(ISNUMBER(F14),ROUND(F14*G14,2),"Укажите цену"))</f>
        <v/>
      </c>
      <c r="I14" s="57" t="n">
        <v>436</v>
      </c>
      <c r="J14" s="57" t="n">
        <v>13.55</v>
      </c>
      <c r="K14" s="57" t="s">
        <v>1571</v>
      </c>
      <c r="L14" s="57" t="s">
        <v>91</v>
      </c>
      <c r="M14" s="26" t="s">
        <v>92</v>
      </c>
      <c r="N14" s="57" t="n">
        <v>30</v>
      </c>
      <c r="O14" s="57" t="s">
        <v>1572</v>
      </c>
      <c r="P14" s="58" t="n">
        <v>0.082</v>
      </c>
      <c r="Q14" s="68" t="s">
        <v>1573</v>
      </c>
      <c r="R14" s="60" t="s">
        <v>1574</v>
      </c>
      <c r="S14" s="60" t="s">
        <v>96</v>
      </c>
      <c r="T14" s="61"/>
      <c r="U14" s="34"/>
      <c r="V14" s="34"/>
      <c r="W14" s="34"/>
      <c r="X14" s="34"/>
      <c r="Y14" s="34"/>
      <c r="Z14" s="34"/>
      <c r="AA14" s="34"/>
      <c r="AB14" s="34"/>
      <c r="AC14" s="34"/>
      <c r="AD14" s="34"/>
      <c r="AE14" s="34"/>
      <c r="AF14" s="34"/>
      <c r="AG14" s="34"/>
      <c r="AH14" s="34"/>
      <c r="AI14" s="34"/>
      <c r="AJ14" s="34"/>
      <c r="AK14" s="34"/>
    </row>
    <row r="15" s="39" customFormat="true" ht="110" hidden="false" customHeight="true" outlineLevel="2" collapsed="false">
      <c r="A15" s="51" t="s">
        <v>1575</v>
      </c>
      <c r="B15" s="57"/>
      <c r="C15" s="57"/>
      <c r="D15" s="53" t="s">
        <v>1576</v>
      </c>
      <c r="E15" s="53" t="s">
        <v>103</v>
      </c>
      <c r="F15" s="54" t="n">
        <v>236.49</v>
      </c>
      <c r="G15" s="55"/>
      <c r="H15" s="56" t="str">
        <f aca="false">IF(ISBLANK(G15),"",IF(ISNUMBER(F15),ROUND(F15*G15,2),"Укажите цену"))</f>
        <v/>
      </c>
      <c r="I15" s="57" t="n">
        <v>371</v>
      </c>
      <c r="J15" s="57" t="n">
        <v>11.7</v>
      </c>
      <c r="K15" s="57" t="s">
        <v>1577</v>
      </c>
      <c r="L15" s="57" t="s">
        <v>91</v>
      </c>
      <c r="M15" s="26" t="s">
        <v>92</v>
      </c>
      <c r="N15" s="57" t="n">
        <v>30</v>
      </c>
      <c r="O15" s="57" t="s">
        <v>1572</v>
      </c>
      <c r="P15" s="58" t="n">
        <v>0.082</v>
      </c>
      <c r="Q15" s="68" t="s">
        <v>1578</v>
      </c>
      <c r="R15" s="60" t="s">
        <v>1579</v>
      </c>
      <c r="S15" s="60" t="s">
        <v>96</v>
      </c>
      <c r="T15" s="61"/>
      <c r="U15" s="34"/>
      <c r="V15" s="34"/>
      <c r="W15" s="34"/>
      <c r="X15" s="34"/>
      <c r="Y15" s="34"/>
      <c r="Z15" s="34"/>
      <c r="AA15" s="34"/>
      <c r="AB15" s="34"/>
      <c r="AC15" s="34"/>
      <c r="AD15" s="34"/>
      <c r="AE15" s="34"/>
      <c r="AF15" s="34"/>
      <c r="AG15" s="34"/>
      <c r="AH15" s="34"/>
      <c r="AI15" s="34"/>
      <c r="AJ15" s="34"/>
      <c r="AK15" s="34"/>
    </row>
    <row r="16" s="4" customFormat="true" ht="5.25" hidden="false" customHeight="true" outlineLevel="2" collapsed="false">
      <c r="A16" s="135"/>
      <c r="B16" s="135"/>
      <c r="C16" s="135"/>
      <c r="D16" s="135"/>
      <c r="E16" s="135"/>
      <c r="F16" s="135"/>
      <c r="G16" s="135"/>
      <c r="H16" s="135"/>
      <c r="I16" s="135"/>
      <c r="J16" s="135"/>
      <c r="K16" s="135"/>
      <c r="L16" s="135"/>
      <c r="M16" s="135"/>
      <c r="N16" s="135"/>
      <c r="O16" s="135"/>
      <c r="P16" s="135"/>
      <c r="Q16" s="135"/>
      <c r="R16" s="135"/>
      <c r="S16" s="136"/>
      <c r="T16" s="61"/>
    </row>
    <row r="17" s="50" customFormat="true" ht="27" hidden="false" customHeight="true" outlineLevel="1" collapsed="false">
      <c r="A17" s="49" t="s">
        <v>23</v>
      </c>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c r="IQ17" s="49"/>
      <c r="IR17" s="49"/>
      <c r="IS17" s="49"/>
      <c r="IT17" s="49"/>
      <c r="IU17" s="49"/>
      <c r="IV17" s="49"/>
      <c r="IW17" s="49"/>
    </row>
    <row r="18" s="62" customFormat="true" ht="115" hidden="false" customHeight="true" outlineLevel="2" collapsed="false">
      <c r="A18" s="51" t="s">
        <v>1580</v>
      </c>
      <c r="B18" s="52"/>
      <c r="C18" s="57"/>
      <c r="D18" s="53" t="s">
        <v>1581</v>
      </c>
      <c r="E18" s="53" t="s">
        <v>89</v>
      </c>
      <c r="F18" s="54" t="n">
        <v>334.34</v>
      </c>
      <c r="G18" s="55"/>
      <c r="H18" s="56" t="str">
        <f aca="false">IF(ISBLANK(G18),"",IF(ISNUMBER(F18),ROUND(F18*G18,2),"Укажите цену"))</f>
        <v/>
      </c>
      <c r="I18" s="57" t="n">
        <v>287</v>
      </c>
      <c r="J18" s="26" t="n">
        <v>18.3</v>
      </c>
      <c r="K18" s="57" t="s">
        <v>1582</v>
      </c>
      <c r="L18" s="57" t="s">
        <v>91</v>
      </c>
      <c r="M18" s="57" t="s">
        <v>92</v>
      </c>
      <c r="N18" s="57" t="n">
        <v>60</v>
      </c>
      <c r="O18" s="57" t="s">
        <v>1583</v>
      </c>
      <c r="P18" s="58" t="n">
        <v>0.096</v>
      </c>
      <c r="Q18" s="68" t="s">
        <v>1584</v>
      </c>
      <c r="R18" s="93" t="s">
        <v>1585</v>
      </c>
      <c r="S18" s="60" t="s">
        <v>96</v>
      </c>
      <c r="T18" s="87"/>
      <c r="U18" s="61"/>
      <c r="V18" s="61"/>
      <c r="W18" s="61"/>
      <c r="X18" s="61"/>
      <c r="Y18" s="61"/>
      <c r="Z18" s="61"/>
    </row>
    <row r="19" s="34" customFormat="true" ht="115" hidden="false" customHeight="true" outlineLevel="2" collapsed="false">
      <c r="A19" s="51" t="s">
        <v>1586</v>
      </c>
      <c r="B19" s="57"/>
      <c r="C19" s="57"/>
      <c r="D19" s="53" t="s">
        <v>1587</v>
      </c>
      <c r="E19" s="53" t="s">
        <v>89</v>
      </c>
      <c r="F19" s="54" t="n">
        <v>159.83</v>
      </c>
      <c r="G19" s="55"/>
      <c r="H19" s="56" t="str">
        <f aca="false">IF(ISBLANK(G19),"",IF(ISNUMBER(F19),ROUND(F19*G19,2),"Укажите цену"))</f>
        <v/>
      </c>
      <c r="I19" s="57" t="n">
        <v>132</v>
      </c>
      <c r="J19" s="57" t="n">
        <v>22.8</v>
      </c>
      <c r="K19" s="57" t="s">
        <v>1588</v>
      </c>
      <c r="L19" s="57" t="n">
        <v>26</v>
      </c>
      <c r="M19" s="57" t="s">
        <v>640</v>
      </c>
      <c r="N19" s="57" t="n">
        <v>156</v>
      </c>
      <c r="O19" s="57" t="s">
        <v>641</v>
      </c>
      <c r="P19" s="58" t="n">
        <v>0.074</v>
      </c>
      <c r="Q19" s="68" t="s">
        <v>1589</v>
      </c>
      <c r="R19" s="93" t="s">
        <v>1590</v>
      </c>
      <c r="S19" s="60" t="s">
        <v>96</v>
      </c>
      <c r="T19" s="61"/>
    </row>
    <row r="20" s="70" customFormat="true" ht="115" hidden="false" customHeight="true" outlineLevel="2" collapsed="false">
      <c r="A20" s="51" t="s">
        <v>1591</v>
      </c>
      <c r="B20" s="57"/>
      <c r="C20" s="57"/>
      <c r="D20" s="53" t="s">
        <v>1592</v>
      </c>
      <c r="E20" s="53" t="s">
        <v>89</v>
      </c>
      <c r="F20" s="54" t="n">
        <v>269.11</v>
      </c>
      <c r="G20" s="55"/>
      <c r="H20" s="56" t="str">
        <f aca="false">IF(ISBLANK(G20),"",IF(ISNUMBER(F20),ROUND(F20*G20,2),"Укажите цену"))</f>
        <v/>
      </c>
      <c r="I20" s="57" t="n">
        <v>150</v>
      </c>
      <c r="J20" s="57" t="n">
        <v>21.5</v>
      </c>
      <c r="K20" s="57" t="s">
        <v>1593</v>
      </c>
      <c r="L20" s="57" t="n">
        <v>22</v>
      </c>
      <c r="M20" s="57" t="s">
        <v>640</v>
      </c>
      <c r="N20" s="57" t="n">
        <v>132</v>
      </c>
      <c r="O20" s="57" t="s">
        <v>641</v>
      </c>
      <c r="P20" s="58" t="n">
        <v>0.074</v>
      </c>
      <c r="Q20" s="68" t="s">
        <v>1594</v>
      </c>
      <c r="R20" s="93" t="s">
        <v>1595</v>
      </c>
      <c r="S20" s="60" t="s">
        <v>96</v>
      </c>
      <c r="T20" s="61"/>
    </row>
    <row r="21" s="62" customFormat="true" ht="115" hidden="false" customHeight="true" outlineLevel="2" collapsed="false">
      <c r="A21" s="51" t="s">
        <v>1596</v>
      </c>
      <c r="B21" s="57"/>
      <c r="C21" s="57"/>
      <c r="D21" s="53" t="s">
        <v>1597</v>
      </c>
      <c r="E21" s="53" t="s">
        <v>89</v>
      </c>
      <c r="F21" s="54" t="n">
        <v>309.88</v>
      </c>
      <c r="G21" s="55"/>
      <c r="H21" s="56" t="str">
        <f aca="false">IF(ISBLANK(G21),"",IF(ISNUMBER(F21),ROUND(F21*G21,2),"Укажите цену"))</f>
        <v/>
      </c>
      <c r="I21" s="57" t="n">
        <v>175</v>
      </c>
      <c r="J21" s="26" t="n">
        <v>23.05</v>
      </c>
      <c r="K21" s="57" t="s">
        <v>1598</v>
      </c>
      <c r="L21" s="57" t="s">
        <v>91</v>
      </c>
      <c r="M21" s="57" t="s">
        <v>92</v>
      </c>
      <c r="N21" s="57" t="n">
        <v>124</v>
      </c>
      <c r="O21" s="57" t="s">
        <v>696</v>
      </c>
      <c r="P21" s="58" t="n">
        <v>0.095</v>
      </c>
      <c r="Q21" s="59" t="s">
        <v>1599</v>
      </c>
      <c r="R21" s="77" t="s">
        <v>1600</v>
      </c>
      <c r="S21" s="73" t="s">
        <v>96</v>
      </c>
      <c r="T21" s="61"/>
      <c r="U21" s="87"/>
      <c r="V21" s="61"/>
      <c r="W21" s="61"/>
      <c r="X21" s="61"/>
      <c r="Y21" s="61"/>
      <c r="Z21" s="61"/>
    </row>
    <row r="22" customFormat="false" ht="30" hidden="false" customHeight="true" outlineLevel="1" collapsed="false">
      <c r="F22" s="109" t="s">
        <v>633</v>
      </c>
      <c r="G22" s="109"/>
      <c r="H22" s="109" t="n">
        <f aca="false">IF(COUNTIFS(H5:H21,"Укажите цену")&gt;0,"Укажите цены",SUM(H5:H21))</f>
        <v>0</v>
      </c>
    </row>
    <row r="23" customFormat="false" ht="50.1" hidden="false" customHeight="true" outlineLevel="0" collapsed="false">
      <c r="P23" s="61"/>
      <c r="T23" s="61"/>
    </row>
    <row r="24" customFormat="false" ht="50.1" hidden="false" customHeight="true" outlineLevel="0" collapsed="false">
      <c r="P24" s="61"/>
      <c r="T24" s="61"/>
    </row>
    <row r="25" customFormat="false" ht="50.1" hidden="false" customHeight="true" outlineLevel="0" collapsed="false">
      <c r="P25" s="61"/>
      <c r="T25" s="61"/>
    </row>
    <row r="26" customFormat="false" ht="50.1" hidden="false" customHeight="true" outlineLevel="0" collapsed="false">
      <c r="P26" s="61"/>
      <c r="T26" s="61"/>
    </row>
    <row r="27" customFormat="false" ht="50.1" hidden="false" customHeight="true" outlineLevel="0" collapsed="false">
      <c r="P27" s="61"/>
      <c r="T27" s="61"/>
    </row>
    <row r="28" customFormat="false" ht="50.1" hidden="false" customHeight="true" outlineLevel="0" collapsed="false">
      <c r="P28" s="61"/>
      <c r="T28" s="61"/>
    </row>
    <row r="29" customFormat="false" ht="50.1" hidden="false" customHeight="true" outlineLevel="0" collapsed="false">
      <c r="P29" s="61"/>
      <c r="T29" s="61"/>
    </row>
    <row r="30" customFormat="false" ht="50.1" hidden="false" customHeight="true" outlineLevel="0" collapsed="false">
      <c r="P30" s="61"/>
      <c r="T30" s="61"/>
    </row>
    <row r="31" customFormat="false" ht="50.1" hidden="false" customHeight="true" outlineLevel="0" collapsed="false">
      <c r="P31" s="61"/>
      <c r="T31" s="61"/>
    </row>
    <row r="32" customFormat="false" ht="50.1" hidden="false" customHeight="true" outlineLevel="0" collapsed="false">
      <c r="P32" s="61"/>
      <c r="T32" s="61"/>
    </row>
    <row r="33" customFormat="false" ht="50.1" hidden="false" customHeight="true" outlineLevel="0" collapsed="false">
      <c r="P33" s="61"/>
      <c r="T33" s="61"/>
    </row>
    <row r="34" customFormat="false" ht="50.1" hidden="false" customHeight="true" outlineLevel="0" collapsed="false">
      <c r="P34" s="61"/>
      <c r="T34" s="61"/>
    </row>
    <row r="35" customFormat="false" ht="50.1" hidden="false" customHeight="true" outlineLevel="0" collapsed="false">
      <c r="P35" s="61"/>
      <c r="T35" s="61"/>
    </row>
    <row r="36" customFormat="false" ht="50.1" hidden="false" customHeight="true" outlineLevel="0" collapsed="false">
      <c r="P36" s="61"/>
      <c r="T36" s="61"/>
    </row>
    <row r="37" customFormat="false" ht="50.1" hidden="false" customHeight="true" outlineLevel="0" collapsed="false">
      <c r="P37" s="61"/>
      <c r="T37" s="61"/>
    </row>
    <row r="38" customFormat="false" ht="50.1" hidden="false" customHeight="true" outlineLevel="0" collapsed="false">
      <c r="P38" s="61"/>
      <c r="T38" s="61"/>
    </row>
    <row r="39" customFormat="false" ht="50.1" hidden="false" customHeight="true" outlineLevel="0" collapsed="false">
      <c r="P39" s="61"/>
      <c r="T39" s="61"/>
    </row>
    <row r="40" customFormat="false" ht="50.1" hidden="false" customHeight="true" outlineLevel="0" collapsed="false">
      <c r="P40" s="61"/>
      <c r="T40" s="61"/>
    </row>
    <row r="41" customFormat="false" ht="50.1" hidden="false" customHeight="true" outlineLevel="0" collapsed="false">
      <c r="P41" s="61"/>
      <c r="T41" s="61"/>
    </row>
    <row r="42" customFormat="false" ht="50.1" hidden="false" customHeight="true" outlineLevel="0" collapsed="false">
      <c r="P42" s="61"/>
      <c r="T42" s="61"/>
    </row>
    <row r="43" customFormat="false" ht="50.1" hidden="false" customHeight="true" outlineLevel="0" collapsed="false">
      <c r="P43" s="61"/>
      <c r="T43" s="61"/>
    </row>
    <row r="44" customFormat="false" ht="50.1" hidden="false" customHeight="true" outlineLevel="0" collapsed="false">
      <c r="P44" s="61"/>
      <c r="T44" s="61"/>
    </row>
    <row r="45" customFormat="false" ht="50.1" hidden="false" customHeight="true" outlineLevel="0" collapsed="false">
      <c r="T45" s="61"/>
    </row>
    <row r="46" customFormat="false" ht="50.1" hidden="false" customHeight="true" outlineLevel="0" collapsed="false">
      <c r="T46" s="61"/>
    </row>
    <row r="47" customFormat="false" ht="50.1" hidden="false" customHeight="true" outlineLevel="0" collapsed="false">
      <c r="T47" s="61"/>
    </row>
    <row r="48" customFormat="false" ht="50.1" hidden="false" customHeight="true" outlineLevel="0" collapsed="false">
      <c r="T48" s="61"/>
    </row>
    <row r="49" customFormat="false" ht="50.1" hidden="false" customHeight="true" outlineLevel="0" collapsed="false">
      <c r="T49" s="61"/>
    </row>
    <row r="50" customFormat="false" ht="50.1" hidden="false" customHeight="true" outlineLevel="0" collapsed="false">
      <c r="T50" s="61"/>
    </row>
    <row r="51" customFormat="false" ht="50.1" hidden="false" customHeight="true" outlineLevel="0" collapsed="false">
      <c r="T51" s="61"/>
    </row>
    <row r="52" customFormat="false" ht="50.1" hidden="false" customHeight="true" outlineLevel="0" collapsed="false">
      <c r="T52" s="61"/>
    </row>
    <row r="53" customFormat="false" ht="50.1" hidden="false" customHeight="true" outlineLevel="0" collapsed="false">
      <c r="T53" s="61"/>
    </row>
    <row r="54" customFormat="false" ht="50.1" hidden="false" customHeight="true" outlineLevel="0" collapsed="false">
      <c r="T54" s="61"/>
    </row>
    <row r="55" customFormat="false" ht="50.1" hidden="false" customHeight="true" outlineLevel="0" collapsed="false">
      <c r="T55" s="61"/>
    </row>
    <row r="56" customFormat="false" ht="50.1" hidden="false" customHeight="true" outlineLevel="0" collapsed="false">
      <c r="T56" s="61"/>
    </row>
    <row r="57" customFormat="false" ht="50.1" hidden="false" customHeight="true" outlineLevel="0" collapsed="false">
      <c r="T57" s="61"/>
    </row>
    <row r="58" customFormat="false" ht="50.1" hidden="false" customHeight="true" outlineLevel="0" collapsed="false">
      <c r="T58" s="61"/>
    </row>
    <row r="59" customFormat="false" ht="50.1" hidden="false" customHeight="true" outlineLevel="0" collapsed="false">
      <c r="T59" s="61"/>
    </row>
    <row r="60" customFormat="false" ht="50.1" hidden="false" customHeight="true" outlineLevel="0" collapsed="false">
      <c r="T60" s="61"/>
    </row>
    <row r="61" customFormat="false" ht="50.1" hidden="false" customHeight="true" outlineLevel="0" collapsed="false">
      <c r="T61" s="61"/>
    </row>
    <row r="62" customFormat="false" ht="50.1" hidden="false" customHeight="true" outlineLevel="0" collapsed="false">
      <c r="T62" s="61"/>
    </row>
    <row r="63" customFormat="false" ht="50.1" hidden="false" customHeight="true" outlineLevel="0" collapsed="false">
      <c r="T63" s="61"/>
    </row>
    <row r="64" customFormat="false" ht="50.1" hidden="false" customHeight="true" outlineLevel="0" collapsed="false">
      <c r="T64" s="61"/>
    </row>
    <row r="65" customFormat="false" ht="50.1" hidden="false" customHeight="true" outlineLevel="0" collapsed="false">
      <c r="T65" s="61"/>
    </row>
    <row r="66" customFormat="false" ht="50.1" hidden="false" customHeight="true" outlineLevel="0" collapsed="false">
      <c r="T66" s="61"/>
    </row>
    <row r="67" customFormat="false" ht="50.1" hidden="false" customHeight="true" outlineLevel="0" collapsed="false">
      <c r="T67" s="61"/>
    </row>
    <row r="68" customFormat="false" ht="50.1" hidden="false" customHeight="true" outlineLevel="0" collapsed="false">
      <c r="T68" s="61"/>
    </row>
    <row r="69" customFormat="false" ht="50.1" hidden="false" customHeight="true" outlineLevel="0" collapsed="false">
      <c r="T69" s="61"/>
    </row>
    <row r="70" customFormat="false" ht="50.1" hidden="false" customHeight="true" outlineLevel="0" collapsed="false">
      <c r="T70" s="61"/>
    </row>
    <row r="71" customFormat="false" ht="50.1" hidden="false" customHeight="true" outlineLevel="0" collapsed="false">
      <c r="T71" s="61"/>
    </row>
    <row r="72" customFormat="false" ht="50.1" hidden="false" customHeight="true" outlineLevel="0" collapsed="false">
      <c r="T72" s="61"/>
    </row>
    <row r="73" customFormat="false" ht="50.1" hidden="false" customHeight="true" outlineLevel="0" collapsed="false">
      <c r="T73" s="61"/>
    </row>
    <row r="74" customFormat="false" ht="50.1" hidden="false" customHeight="true" outlineLevel="0" collapsed="false">
      <c r="T74" s="61"/>
    </row>
    <row r="75" customFormat="false" ht="50.1" hidden="false" customHeight="true" outlineLevel="0" collapsed="false">
      <c r="T75" s="61"/>
    </row>
    <row r="76" customFormat="false" ht="50.1" hidden="false" customHeight="true" outlineLevel="0" collapsed="false">
      <c r="T76" s="61"/>
    </row>
    <row r="77" customFormat="false" ht="50.1" hidden="false" customHeight="true" outlineLevel="0" collapsed="false">
      <c r="T77" s="61"/>
    </row>
    <row r="78" customFormat="false" ht="50.1" hidden="false" customHeight="true" outlineLevel="0" collapsed="false">
      <c r="T78" s="61"/>
    </row>
    <row r="79" customFormat="false" ht="50.1" hidden="false" customHeight="true" outlineLevel="0" collapsed="false">
      <c r="T79" s="61"/>
    </row>
    <row r="80" customFormat="false" ht="50.1" hidden="false" customHeight="true" outlineLevel="0" collapsed="false">
      <c r="T80" s="61"/>
    </row>
    <row r="81" customFormat="false" ht="50.1" hidden="false" customHeight="true" outlineLevel="0" collapsed="false">
      <c r="T81" s="61"/>
    </row>
    <row r="82" customFormat="false" ht="50.1" hidden="false" customHeight="true" outlineLevel="0" collapsed="false">
      <c r="T82" s="61"/>
    </row>
    <row r="83" customFormat="false" ht="50.1" hidden="false" customHeight="true" outlineLevel="0" collapsed="false">
      <c r="T83" s="61"/>
    </row>
    <row r="84" customFormat="false" ht="50.1" hidden="false" customHeight="true" outlineLevel="0" collapsed="false">
      <c r="T84" s="61"/>
    </row>
    <row r="85" customFormat="false" ht="50.1" hidden="false" customHeight="true" outlineLevel="0" collapsed="false">
      <c r="T85" s="61"/>
    </row>
    <row r="86" customFormat="false" ht="50.1" hidden="false" customHeight="true" outlineLevel="0" collapsed="false">
      <c r="T86" s="61"/>
    </row>
    <row r="87" customFormat="false" ht="50.1" hidden="false" customHeight="true" outlineLevel="0" collapsed="false">
      <c r="T87" s="61"/>
    </row>
    <row r="88" customFormat="false" ht="50.1" hidden="false" customHeight="true" outlineLevel="0" collapsed="false">
      <c r="T88" s="61"/>
    </row>
    <row r="89" customFormat="false" ht="50.1" hidden="false" customHeight="true" outlineLevel="0" collapsed="false">
      <c r="T89" s="61"/>
    </row>
    <row r="90" customFormat="false" ht="50.1" hidden="false" customHeight="true" outlineLevel="0" collapsed="false">
      <c r="T90" s="61"/>
    </row>
    <row r="91" customFormat="false" ht="50.1" hidden="false" customHeight="true" outlineLevel="0" collapsed="false">
      <c r="T91" s="61"/>
    </row>
    <row r="92" customFormat="false" ht="50.1" hidden="false" customHeight="true" outlineLevel="0" collapsed="false">
      <c r="T92" s="61"/>
    </row>
    <row r="93" customFormat="false" ht="50.1" hidden="false" customHeight="true" outlineLevel="0" collapsed="false">
      <c r="T93" s="61"/>
    </row>
    <row r="94" customFormat="false" ht="50.1" hidden="false" customHeight="true" outlineLevel="0" collapsed="false">
      <c r="T94" s="61"/>
    </row>
    <row r="95" customFormat="false" ht="50.1" hidden="false" customHeight="true" outlineLevel="0" collapsed="false">
      <c r="T95" s="61"/>
    </row>
    <row r="96" customFormat="false" ht="50.1" hidden="false" customHeight="true" outlineLevel="0" collapsed="false">
      <c r="T96" s="61"/>
    </row>
    <row r="97" customFormat="false" ht="50.1" hidden="false" customHeight="true" outlineLevel="0" collapsed="false">
      <c r="T97" s="61"/>
    </row>
    <row r="98" customFormat="false" ht="50.1" hidden="false" customHeight="true" outlineLevel="0" collapsed="false">
      <c r="T98" s="61"/>
    </row>
    <row r="99" customFormat="false" ht="50.1" hidden="false" customHeight="true" outlineLevel="0" collapsed="false">
      <c r="T99" s="61"/>
    </row>
    <row r="100" customFormat="false" ht="50.1" hidden="false" customHeight="true" outlineLevel="0" collapsed="false">
      <c r="T100" s="61"/>
    </row>
    <row r="101" customFormat="false" ht="50.1" hidden="false" customHeight="true" outlineLevel="0" collapsed="false">
      <c r="T101" s="61"/>
    </row>
    <row r="102" customFormat="false" ht="50.1" hidden="false" customHeight="true" outlineLevel="0" collapsed="false">
      <c r="T102" s="61"/>
    </row>
    <row r="103" customFormat="false" ht="50.1" hidden="false" customHeight="true" outlineLevel="0" collapsed="false">
      <c r="T103" s="61"/>
    </row>
    <row r="104" customFormat="false" ht="50.1" hidden="false" customHeight="true" outlineLevel="0" collapsed="false">
      <c r="T104" s="61"/>
    </row>
    <row r="105" customFormat="false" ht="50.1" hidden="false" customHeight="true" outlineLevel="0" collapsed="false">
      <c r="T105" s="61"/>
    </row>
    <row r="106" customFormat="false" ht="50.1" hidden="false" customHeight="true" outlineLevel="0" collapsed="false">
      <c r="T106" s="61"/>
    </row>
    <row r="107" customFormat="false" ht="50.1" hidden="false" customHeight="true" outlineLevel="0" collapsed="false">
      <c r="T107" s="61"/>
    </row>
    <row r="108" customFormat="false" ht="50.1" hidden="false" customHeight="true" outlineLevel="0" collapsed="false">
      <c r="T108" s="61"/>
    </row>
    <row r="109" customFormat="false" ht="50.1" hidden="false" customHeight="true" outlineLevel="0" collapsed="false">
      <c r="T109" s="61"/>
    </row>
    <row r="110" customFormat="false" ht="50.1" hidden="false" customHeight="true" outlineLevel="0" collapsed="false">
      <c r="T110" s="61"/>
    </row>
    <row r="111" customFormat="false" ht="50.1" hidden="false" customHeight="true" outlineLevel="0" collapsed="false">
      <c r="T111" s="61"/>
    </row>
    <row r="112" customFormat="false" ht="50.1" hidden="false" customHeight="true" outlineLevel="0" collapsed="false">
      <c r="T112" s="61"/>
    </row>
    <row r="113" customFormat="false" ht="50.1" hidden="false" customHeight="true" outlineLevel="0" collapsed="false">
      <c r="T113" s="61"/>
    </row>
    <row r="114" customFormat="false" ht="50.1" hidden="false" customHeight="true" outlineLevel="0" collapsed="false">
      <c r="T114" s="61"/>
    </row>
    <row r="115" customFormat="false" ht="50.1" hidden="false" customHeight="true" outlineLevel="0" collapsed="false">
      <c r="T115" s="61"/>
    </row>
    <row r="116" customFormat="false" ht="50.1" hidden="false" customHeight="true" outlineLevel="0" collapsed="false">
      <c r="T116" s="61"/>
    </row>
    <row r="117" customFormat="false" ht="50.1" hidden="false" customHeight="true" outlineLevel="0" collapsed="false">
      <c r="T117" s="61"/>
    </row>
    <row r="118" customFormat="false" ht="50.1" hidden="false" customHeight="true" outlineLevel="0" collapsed="false">
      <c r="T118" s="61"/>
    </row>
    <row r="119" customFormat="false" ht="50.1" hidden="false" customHeight="true" outlineLevel="0" collapsed="false">
      <c r="T119" s="61"/>
    </row>
    <row r="120" customFormat="false" ht="50.1" hidden="false" customHeight="true" outlineLevel="0" collapsed="false">
      <c r="T120" s="61"/>
    </row>
    <row r="121" customFormat="false" ht="50.1" hidden="false" customHeight="true" outlineLevel="0" collapsed="false">
      <c r="T121" s="61"/>
    </row>
    <row r="122" customFormat="false" ht="50.1" hidden="false" customHeight="true" outlineLevel="0" collapsed="false">
      <c r="T122" s="61"/>
    </row>
    <row r="123" customFormat="false" ht="50.1" hidden="false" customHeight="true" outlineLevel="0" collapsed="false">
      <c r="T123" s="61"/>
    </row>
    <row r="124" customFormat="false" ht="50.1" hidden="false" customHeight="true" outlineLevel="0" collapsed="false">
      <c r="T124" s="61"/>
    </row>
    <row r="125" customFormat="false" ht="50.1" hidden="false" customHeight="true" outlineLevel="0" collapsed="false">
      <c r="T125" s="61"/>
    </row>
    <row r="126" customFormat="false" ht="50.1" hidden="false" customHeight="true" outlineLevel="0" collapsed="false">
      <c r="T126" s="61"/>
    </row>
    <row r="127" customFormat="false" ht="50.1" hidden="false" customHeight="true" outlineLevel="0" collapsed="false">
      <c r="T127" s="61"/>
    </row>
    <row r="128" customFormat="false" ht="50.1" hidden="false" customHeight="true" outlineLevel="0" collapsed="false">
      <c r="T128" s="61"/>
    </row>
    <row r="129" customFormat="false" ht="50.1" hidden="false" customHeight="true" outlineLevel="0" collapsed="false">
      <c r="T129" s="61"/>
    </row>
    <row r="130" customFormat="false" ht="50.1" hidden="false" customHeight="true" outlineLevel="0" collapsed="false">
      <c r="T130" s="61"/>
    </row>
    <row r="131" customFormat="false" ht="50.1" hidden="false" customHeight="true" outlineLevel="0" collapsed="false">
      <c r="T131" s="61"/>
    </row>
    <row r="132" customFormat="false" ht="50.1" hidden="false" customHeight="true" outlineLevel="0" collapsed="false">
      <c r="T132" s="61"/>
    </row>
    <row r="133" customFormat="false" ht="50.1" hidden="false" customHeight="true" outlineLevel="0" collapsed="false">
      <c r="T133" s="61"/>
    </row>
    <row r="134" customFormat="false" ht="50.1" hidden="false" customHeight="true" outlineLevel="0" collapsed="false">
      <c r="T134" s="61"/>
    </row>
    <row r="135" customFormat="false" ht="50.1" hidden="false" customHeight="true" outlineLevel="0" collapsed="false">
      <c r="T135" s="61"/>
    </row>
    <row r="136" customFormat="false" ht="50.1" hidden="false" customHeight="true" outlineLevel="0" collapsed="false">
      <c r="T136" s="61"/>
    </row>
    <row r="137" customFormat="false" ht="50.1" hidden="false" customHeight="true" outlineLevel="0" collapsed="false">
      <c r="T137" s="61"/>
    </row>
    <row r="138" customFormat="false" ht="50.1" hidden="false" customHeight="true" outlineLevel="0" collapsed="false">
      <c r="T138" s="61"/>
    </row>
    <row r="139" customFormat="false" ht="50.1" hidden="false" customHeight="true" outlineLevel="0" collapsed="false">
      <c r="T139" s="61"/>
    </row>
    <row r="140" customFormat="false" ht="50.1" hidden="false" customHeight="true" outlineLevel="0" collapsed="false">
      <c r="T140" s="61"/>
    </row>
    <row r="141" customFormat="false" ht="50.1" hidden="false" customHeight="true" outlineLevel="0" collapsed="false">
      <c r="T141" s="61"/>
    </row>
    <row r="142" customFormat="false" ht="50.1" hidden="false" customHeight="true" outlineLevel="0" collapsed="false">
      <c r="T142" s="61"/>
    </row>
    <row r="143" customFormat="false" ht="50.1" hidden="false" customHeight="true" outlineLevel="0" collapsed="false">
      <c r="T143" s="61"/>
    </row>
    <row r="144" customFormat="false" ht="50.1" hidden="false" customHeight="true" outlineLevel="0" collapsed="false">
      <c r="T144" s="61"/>
    </row>
    <row r="145" customFormat="false" ht="50.1" hidden="false" customHeight="true" outlineLevel="0" collapsed="false">
      <c r="T145" s="61"/>
    </row>
    <row r="146" customFormat="false" ht="50.1" hidden="false" customHeight="true" outlineLevel="0" collapsed="false">
      <c r="T146" s="61"/>
    </row>
    <row r="147" customFormat="false" ht="50.1" hidden="false" customHeight="true" outlineLevel="0" collapsed="false">
      <c r="T147" s="61"/>
    </row>
    <row r="148" customFormat="false" ht="50.1" hidden="false" customHeight="true" outlineLevel="0" collapsed="false">
      <c r="T148" s="61"/>
    </row>
    <row r="149" customFormat="false" ht="50.1" hidden="false" customHeight="true" outlineLevel="0" collapsed="false">
      <c r="T149" s="61"/>
    </row>
    <row r="150" customFormat="false" ht="50.1" hidden="false" customHeight="true" outlineLevel="0" collapsed="false">
      <c r="T150" s="61"/>
    </row>
    <row r="151" customFormat="false" ht="50.1" hidden="false" customHeight="true" outlineLevel="0" collapsed="false">
      <c r="T151" s="61"/>
    </row>
    <row r="152" customFormat="false" ht="50.1" hidden="false" customHeight="true" outlineLevel="0" collapsed="false">
      <c r="T152" s="61"/>
    </row>
    <row r="153" customFormat="false" ht="50.1" hidden="false" customHeight="true" outlineLevel="0" collapsed="false">
      <c r="T153" s="61"/>
    </row>
    <row r="154" customFormat="false" ht="50.1" hidden="false" customHeight="true" outlineLevel="0" collapsed="false">
      <c r="T154" s="61"/>
    </row>
    <row r="155" customFormat="false" ht="50.1" hidden="false" customHeight="true" outlineLevel="0" collapsed="false">
      <c r="T155" s="61"/>
    </row>
    <row r="156" customFormat="false" ht="50.1" hidden="false" customHeight="true" outlineLevel="0" collapsed="false">
      <c r="T156" s="61"/>
    </row>
    <row r="157" customFormat="false" ht="50.1" hidden="false" customHeight="true" outlineLevel="0" collapsed="false">
      <c r="T157" s="61"/>
    </row>
    <row r="158" customFormat="false" ht="50.1" hidden="false" customHeight="true" outlineLevel="0" collapsed="false">
      <c r="T158" s="61"/>
    </row>
    <row r="159" customFormat="false" ht="50.1" hidden="false" customHeight="true" outlineLevel="0" collapsed="false">
      <c r="T159" s="61"/>
    </row>
    <row r="160" customFormat="false" ht="50.1" hidden="false" customHeight="true" outlineLevel="0" collapsed="false">
      <c r="T160" s="61"/>
    </row>
    <row r="161" customFormat="false" ht="50.1" hidden="false" customHeight="true" outlineLevel="0" collapsed="false">
      <c r="T161" s="61"/>
    </row>
    <row r="162" customFormat="false" ht="50.1" hidden="false" customHeight="true" outlineLevel="0" collapsed="false">
      <c r="T162" s="61"/>
    </row>
    <row r="163" customFormat="false" ht="50.1" hidden="false" customHeight="true" outlineLevel="0" collapsed="false">
      <c r="T163" s="61"/>
    </row>
    <row r="164" customFormat="false" ht="50.1" hidden="false" customHeight="true" outlineLevel="0" collapsed="false">
      <c r="T164" s="61"/>
    </row>
    <row r="165" customFormat="false" ht="50.1" hidden="false" customHeight="true" outlineLevel="0" collapsed="false">
      <c r="T165" s="61"/>
    </row>
    <row r="166" customFormat="false" ht="50.1" hidden="false" customHeight="true" outlineLevel="0" collapsed="false">
      <c r="T166" s="61"/>
    </row>
    <row r="167" customFormat="false" ht="50.1" hidden="false" customHeight="true" outlineLevel="0" collapsed="false">
      <c r="T167" s="61"/>
    </row>
    <row r="168" customFormat="false" ht="50.1" hidden="false" customHeight="true" outlineLevel="0" collapsed="false">
      <c r="T168" s="61"/>
    </row>
    <row r="169" customFormat="false" ht="50.1" hidden="false" customHeight="true" outlineLevel="0" collapsed="false">
      <c r="T169" s="61"/>
    </row>
    <row r="170" customFormat="false" ht="50.1" hidden="false" customHeight="true" outlineLevel="0" collapsed="false">
      <c r="T170" s="61"/>
    </row>
    <row r="171" customFormat="false" ht="50.1" hidden="false" customHeight="true" outlineLevel="0" collapsed="false">
      <c r="T171" s="61"/>
    </row>
    <row r="172" customFormat="false" ht="50.1" hidden="false" customHeight="true" outlineLevel="0" collapsed="false">
      <c r="T172" s="61"/>
    </row>
    <row r="173" customFormat="false" ht="50.1" hidden="false" customHeight="true" outlineLevel="0" collapsed="false">
      <c r="T173" s="61"/>
    </row>
    <row r="174" customFormat="false" ht="50.1" hidden="false" customHeight="true" outlineLevel="0" collapsed="false">
      <c r="T174" s="61"/>
    </row>
    <row r="175" customFormat="false" ht="50.1" hidden="false" customHeight="true" outlineLevel="0" collapsed="false">
      <c r="T175" s="61"/>
    </row>
    <row r="176" customFormat="false" ht="50.1" hidden="false" customHeight="true" outlineLevel="0" collapsed="false">
      <c r="T176" s="61"/>
    </row>
    <row r="177" customFormat="false" ht="50.1" hidden="false" customHeight="true" outlineLevel="0" collapsed="false">
      <c r="T177" s="61"/>
    </row>
    <row r="178" customFormat="false" ht="50.1" hidden="false" customHeight="true" outlineLevel="0" collapsed="false">
      <c r="T178" s="61"/>
    </row>
    <row r="179" customFormat="false" ht="50.1" hidden="false" customHeight="true" outlineLevel="0" collapsed="false">
      <c r="T179" s="61"/>
    </row>
    <row r="180" customFormat="false" ht="50.1" hidden="false" customHeight="true" outlineLevel="0" collapsed="false">
      <c r="T180" s="61"/>
    </row>
    <row r="181" customFormat="false" ht="50.1" hidden="false" customHeight="true" outlineLevel="0" collapsed="false">
      <c r="T181" s="61"/>
    </row>
    <row r="182" customFormat="false" ht="50.1" hidden="false" customHeight="true" outlineLevel="0" collapsed="false">
      <c r="T182" s="61"/>
    </row>
    <row r="183" customFormat="false" ht="50.1" hidden="false" customHeight="true" outlineLevel="0" collapsed="false">
      <c r="T183" s="61"/>
    </row>
    <row r="184" customFormat="false" ht="50.1" hidden="false" customHeight="true" outlineLevel="0" collapsed="false">
      <c r="T184" s="61"/>
    </row>
    <row r="185" customFormat="false" ht="50.1" hidden="false" customHeight="true" outlineLevel="0" collapsed="false">
      <c r="T185" s="61"/>
    </row>
    <row r="186" customFormat="false" ht="50.1" hidden="false" customHeight="true" outlineLevel="0" collapsed="false">
      <c r="T186" s="61"/>
    </row>
    <row r="187" customFormat="false" ht="50.1" hidden="false" customHeight="true" outlineLevel="0" collapsed="false">
      <c r="T187" s="61"/>
    </row>
    <row r="188" customFormat="false" ht="50.1" hidden="false" customHeight="true" outlineLevel="0" collapsed="false">
      <c r="T188" s="61"/>
    </row>
    <row r="189" customFormat="false" ht="50.1" hidden="false" customHeight="true" outlineLevel="0" collapsed="false">
      <c r="T189" s="61"/>
    </row>
    <row r="190" customFormat="false" ht="50.1" hidden="false" customHeight="true" outlineLevel="0" collapsed="false">
      <c r="T190" s="61"/>
    </row>
    <row r="191" customFormat="false" ht="50.1" hidden="false" customHeight="true" outlineLevel="0" collapsed="false">
      <c r="T191" s="61"/>
    </row>
    <row r="192" customFormat="false" ht="50.1" hidden="false" customHeight="true" outlineLevel="0" collapsed="false">
      <c r="T192" s="61"/>
    </row>
    <row r="193" customFormat="false" ht="50.1" hidden="false" customHeight="true" outlineLevel="0" collapsed="false">
      <c r="T193" s="61"/>
    </row>
    <row r="194" customFormat="false" ht="50.1" hidden="false" customHeight="true" outlineLevel="0" collapsed="false">
      <c r="T194" s="61"/>
    </row>
    <row r="195" customFormat="false" ht="50.1" hidden="false" customHeight="true" outlineLevel="0" collapsed="false">
      <c r="T195" s="61"/>
    </row>
    <row r="196" customFormat="false" ht="50.1" hidden="false" customHeight="true" outlineLevel="0" collapsed="false">
      <c r="T196" s="61"/>
    </row>
    <row r="197" customFormat="false" ht="50.1" hidden="false" customHeight="true" outlineLevel="0" collapsed="false">
      <c r="T197" s="61"/>
    </row>
    <row r="198" customFormat="false" ht="50.1" hidden="false" customHeight="true" outlineLevel="0" collapsed="false">
      <c r="T198" s="61"/>
    </row>
    <row r="199" customFormat="false" ht="50.1" hidden="false" customHeight="true" outlineLevel="0" collapsed="false">
      <c r="T199" s="61"/>
    </row>
    <row r="200" customFormat="false" ht="50.1" hidden="false" customHeight="true" outlineLevel="0" collapsed="false">
      <c r="T200" s="61"/>
    </row>
    <row r="201" customFormat="false" ht="50.1" hidden="false" customHeight="true" outlineLevel="0" collapsed="false">
      <c r="T201" s="61"/>
    </row>
    <row r="202" customFormat="false" ht="50.1" hidden="false" customHeight="true" outlineLevel="0" collapsed="false">
      <c r="T202" s="61"/>
    </row>
    <row r="203" customFormat="false" ht="50.1" hidden="false" customHeight="true" outlineLevel="0" collapsed="false">
      <c r="T203" s="61"/>
    </row>
    <row r="204" customFormat="false" ht="50.1" hidden="false" customHeight="true" outlineLevel="0" collapsed="false">
      <c r="T204" s="61"/>
    </row>
    <row r="205" customFormat="false" ht="50.1" hidden="false" customHeight="true" outlineLevel="0" collapsed="false">
      <c r="T205" s="61"/>
    </row>
    <row r="206" customFormat="false" ht="50.1" hidden="false" customHeight="true" outlineLevel="0" collapsed="false">
      <c r="T206" s="61"/>
    </row>
    <row r="207" customFormat="false" ht="50.1" hidden="false" customHeight="true" outlineLevel="0" collapsed="false">
      <c r="T207" s="61"/>
    </row>
    <row r="208" customFormat="false" ht="50.1" hidden="false" customHeight="true" outlineLevel="0" collapsed="false">
      <c r="T208" s="61"/>
    </row>
    <row r="209" customFormat="false" ht="50.1" hidden="false" customHeight="true" outlineLevel="0" collapsed="false">
      <c r="T209" s="61"/>
    </row>
    <row r="210" customFormat="false" ht="50.1" hidden="false" customHeight="true" outlineLevel="0" collapsed="false">
      <c r="T210" s="61"/>
    </row>
    <row r="211" customFormat="false" ht="50.1" hidden="false" customHeight="true" outlineLevel="0" collapsed="false">
      <c r="T211" s="61"/>
    </row>
    <row r="212" customFormat="false" ht="50.1" hidden="false" customHeight="true" outlineLevel="0" collapsed="false">
      <c r="T212" s="61"/>
    </row>
    <row r="213" customFormat="false" ht="50.1" hidden="false" customHeight="true" outlineLevel="0" collapsed="false">
      <c r="T213" s="61"/>
    </row>
    <row r="214" customFormat="false" ht="50.1" hidden="false" customHeight="true" outlineLevel="0" collapsed="false">
      <c r="T214" s="61"/>
    </row>
    <row r="215" customFormat="false" ht="50.1" hidden="false" customHeight="true" outlineLevel="0" collapsed="false">
      <c r="T215" s="61"/>
    </row>
    <row r="216" customFormat="false" ht="50.1" hidden="false" customHeight="true" outlineLevel="0" collapsed="false">
      <c r="T216" s="61"/>
    </row>
    <row r="217" customFormat="false" ht="50.1" hidden="false" customHeight="true" outlineLevel="0" collapsed="false">
      <c r="T217" s="61"/>
    </row>
    <row r="218" customFormat="false" ht="50.1" hidden="false" customHeight="true" outlineLevel="0" collapsed="false">
      <c r="T218" s="61"/>
    </row>
    <row r="219" customFormat="false" ht="50.1" hidden="false" customHeight="true" outlineLevel="0" collapsed="false">
      <c r="T219" s="61"/>
    </row>
    <row r="220" customFormat="false" ht="50.1" hidden="false" customHeight="true" outlineLevel="0" collapsed="false">
      <c r="T220" s="61"/>
    </row>
    <row r="221" customFormat="false" ht="50.1" hidden="false" customHeight="true" outlineLevel="0" collapsed="false">
      <c r="T221" s="61"/>
    </row>
    <row r="222" customFormat="false" ht="50.1" hidden="false" customHeight="true" outlineLevel="0" collapsed="false">
      <c r="T222" s="61"/>
    </row>
    <row r="223" customFormat="false" ht="50.1" hidden="false" customHeight="true" outlineLevel="0" collapsed="false">
      <c r="T223" s="61"/>
    </row>
    <row r="224" customFormat="false" ht="50.1" hidden="false" customHeight="true" outlineLevel="0" collapsed="false">
      <c r="T224" s="61"/>
    </row>
    <row r="225" customFormat="false" ht="50.1" hidden="false" customHeight="true" outlineLevel="0" collapsed="false">
      <c r="T225" s="61"/>
    </row>
    <row r="226" customFormat="false" ht="50.1" hidden="false" customHeight="true" outlineLevel="0" collapsed="false">
      <c r="T226" s="61"/>
    </row>
    <row r="227" customFormat="false" ht="50.1" hidden="false" customHeight="true" outlineLevel="0" collapsed="false">
      <c r="T227" s="61"/>
    </row>
    <row r="228" customFormat="false" ht="50.1" hidden="false" customHeight="true" outlineLevel="0" collapsed="false">
      <c r="T228" s="61"/>
    </row>
    <row r="229" customFormat="false" ht="50.1" hidden="false" customHeight="true" outlineLevel="0" collapsed="false">
      <c r="T229" s="61"/>
    </row>
    <row r="230" customFormat="false" ht="50.1" hidden="false" customHeight="true" outlineLevel="0" collapsed="false">
      <c r="T230" s="61"/>
    </row>
    <row r="231" customFormat="false" ht="50.1" hidden="false" customHeight="true" outlineLevel="0" collapsed="false">
      <c r="T231" s="61"/>
    </row>
    <row r="232" customFormat="false" ht="50.1" hidden="false" customHeight="true" outlineLevel="0" collapsed="false">
      <c r="T232" s="61"/>
    </row>
    <row r="233" customFormat="false" ht="50.1" hidden="false" customHeight="true" outlineLevel="0" collapsed="false">
      <c r="T233" s="61"/>
    </row>
    <row r="234" customFormat="false" ht="50.1" hidden="false" customHeight="true" outlineLevel="0" collapsed="false">
      <c r="T234" s="61"/>
    </row>
    <row r="235" customFormat="false" ht="50.1" hidden="false" customHeight="true" outlineLevel="0" collapsed="false">
      <c r="T235" s="61"/>
    </row>
    <row r="236" customFormat="false" ht="50.1" hidden="false" customHeight="true" outlineLevel="0" collapsed="false">
      <c r="T236" s="61"/>
    </row>
    <row r="237" customFormat="false" ht="50.1" hidden="false" customHeight="true" outlineLevel="0" collapsed="false">
      <c r="T237" s="61"/>
    </row>
    <row r="238" customFormat="false" ht="50.1" hidden="false" customHeight="true" outlineLevel="0" collapsed="false">
      <c r="T238" s="61"/>
    </row>
    <row r="239" customFormat="false" ht="50.1" hidden="false" customHeight="true" outlineLevel="0" collapsed="false">
      <c r="T239" s="61"/>
    </row>
    <row r="240" customFormat="false" ht="50.1" hidden="false" customHeight="true" outlineLevel="0" collapsed="false">
      <c r="T240" s="61"/>
    </row>
    <row r="241" customFormat="false" ht="50.1" hidden="false" customHeight="true" outlineLevel="0" collapsed="false">
      <c r="T241" s="61"/>
    </row>
    <row r="242" customFormat="false" ht="50.1" hidden="false" customHeight="true" outlineLevel="0" collapsed="false">
      <c r="T242" s="61"/>
    </row>
    <row r="243" customFormat="false" ht="50.1" hidden="false" customHeight="true" outlineLevel="0" collapsed="false">
      <c r="T243" s="61"/>
    </row>
    <row r="244" customFormat="false" ht="50.1" hidden="false" customHeight="true" outlineLevel="0" collapsed="false">
      <c r="T244" s="61"/>
    </row>
    <row r="245" customFormat="false" ht="50.1" hidden="false" customHeight="true" outlineLevel="0" collapsed="false">
      <c r="T245" s="61"/>
    </row>
    <row r="246" customFormat="false" ht="50.1" hidden="false" customHeight="true" outlineLevel="0" collapsed="false">
      <c r="T246" s="61"/>
    </row>
    <row r="247" customFormat="false" ht="50.1" hidden="false" customHeight="true" outlineLevel="0" collapsed="false">
      <c r="T247" s="61"/>
    </row>
    <row r="248" customFormat="false" ht="50.1" hidden="false" customHeight="true" outlineLevel="0" collapsed="false">
      <c r="T248" s="61"/>
    </row>
    <row r="249" customFormat="false" ht="50.1" hidden="false" customHeight="true" outlineLevel="0" collapsed="false">
      <c r="T249" s="61"/>
    </row>
    <row r="250" customFormat="false" ht="50.1" hidden="false" customHeight="true" outlineLevel="0" collapsed="false">
      <c r="T250" s="61"/>
    </row>
    <row r="251" customFormat="false" ht="50.1" hidden="false" customHeight="true" outlineLevel="0" collapsed="false">
      <c r="T251" s="61"/>
    </row>
    <row r="252" customFormat="false" ht="50.1" hidden="false" customHeight="true" outlineLevel="0" collapsed="false">
      <c r="T252" s="61"/>
    </row>
    <row r="253" customFormat="false" ht="50.1" hidden="false" customHeight="true" outlineLevel="0" collapsed="false">
      <c r="T253" s="61"/>
    </row>
    <row r="254" customFormat="false" ht="50.1" hidden="false" customHeight="true" outlineLevel="0" collapsed="false">
      <c r="T254" s="61"/>
    </row>
    <row r="255" customFormat="false" ht="50.1" hidden="false" customHeight="true" outlineLevel="0" collapsed="false">
      <c r="T255" s="61"/>
    </row>
    <row r="256" customFormat="false" ht="50.1" hidden="false" customHeight="true" outlineLevel="0" collapsed="false">
      <c r="T256" s="61"/>
    </row>
    <row r="257" customFormat="false" ht="50.1" hidden="false" customHeight="true" outlineLevel="0" collapsed="false">
      <c r="T257" s="61"/>
    </row>
    <row r="258" customFormat="false" ht="50.1" hidden="false" customHeight="true" outlineLevel="0" collapsed="false">
      <c r="T258" s="61"/>
    </row>
    <row r="259" customFormat="false" ht="50.1" hidden="false" customHeight="true" outlineLevel="0" collapsed="false">
      <c r="T259" s="61"/>
    </row>
    <row r="260" customFormat="false" ht="50.1" hidden="false" customHeight="true" outlineLevel="0" collapsed="false">
      <c r="T260" s="61"/>
    </row>
    <row r="261" customFormat="false" ht="50.1" hidden="false" customHeight="true" outlineLevel="0" collapsed="false">
      <c r="T261" s="61"/>
    </row>
    <row r="262" customFormat="false" ht="50.1" hidden="false" customHeight="true" outlineLevel="0" collapsed="false">
      <c r="T262" s="61"/>
    </row>
    <row r="263" customFormat="false" ht="50.1" hidden="false" customHeight="true" outlineLevel="0" collapsed="false">
      <c r="T263" s="61"/>
    </row>
    <row r="264" customFormat="false" ht="50.1" hidden="false" customHeight="true" outlineLevel="0" collapsed="false">
      <c r="T264" s="61"/>
    </row>
    <row r="265" customFormat="false" ht="50.1" hidden="false" customHeight="true" outlineLevel="0" collapsed="false">
      <c r="T265" s="61"/>
    </row>
    <row r="266" customFormat="false" ht="50.1" hidden="false" customHeight="true" outlineLevel="0" collapsed="false">
      <c r="T266" s="61"/>
    </row>
    <row r="267" customFormat="false" ht="50.1" hidden="false" customHeight="true" outlineLevel="0" collapsed="false">
      <c r="T267" s="61"/>
    </row>
    <row r="268" customFormat="false" ht="50.1" hidden="false" customHeight="true" outlineLevel="0" collapsed="false">
      <c r="T268" s="61"/>
    </row>
    <row r="269" customFormat="false" ht="50.1" hidden="false" customHeight="true" outlineLevel="0" collapsed="false">
      <c r="T269" s="61"/>
    </row>
    <row r="270" customFormat="false" ht="50.1" hidden="false" customHeight="true" outlineLevel="0" collapsed="false">
      <c r="T270" s="61"/>
    </row>
    <row r="271" customFormat="false" ht="50.1" hidden="false" customHeight="true" outlineLevel="0" collapsed="false">
      <c r="T271" s="61"/>
    </row>
    <row r="272" customFormat="false" ht="50.1" hidden="false" customHeight="true" outlineLevel="0" collapsed="false">
      <c r="T272" s="61"/>
    </row>
  </sheetData>
  <mergeCells count="8">
    <mergeCell ref="A1:R1"/>
    <mergeCell ref="A2:H2"/>
    <mergeCell ref="A4:H4"/>
    <mergeCell ref="A9:R9"/>
    <mergeCell ref="A10:H10"/>
    <mergeCell ref="A16:R16"/>
    <mergeCell ref="A17:H17"/>
    <mergeCell ref="F22:G22"/>
  </mergeCells>
  <hyperlinks>
    <hyperlink ref="R5" r:id="rId1" display="http://gofile.me/649X4/QMqJQEF4y"/>
    <hyperlink ref="R6" r:id="rId2" display="http://gofile.me/649X4/u9PtRU0OI"/>
    <hyperlink ref="R7" r:id="rId3" display="http://gofile.me/649X4/orsCHzTde"/>
    <hyperlink ref="R8" r:id="rId4" display="http://hoco.i234.me:8000/sharing/OSm7Ysn5G"/>
    <hyperlink ref="R11" r:id="rId5" display="http://gofile.me/649X4/m0obZBnXk"/>
    <hyperlink ref="R12" r:id="rId6" display="http://gofile.me/649X4/hfqUBZDQJ"/>
    <hyperlink ref="R13" r:id="rId7" display="http://gofile.me/649X4/33GiW7iJX"/>
    <hyperlink ref="R14" r:id="rId8" display="http://hoco.i234.me:8000/sharing/Rnp3hZvnX"/>
    <hyperlink ref="R15" r:id="rId9" display="http://hoco.i234.me:8000/sharing/q3TxUumJK"/>
    <hyperlink ref="R18" r:id="rId10" display="http://gofile.me/649X4/ftDGzvRlf"/>
    <hyperlink ref="R19" r:id="rId11" display="http://gofile.me/649X4/oUtQtmZUA"/>
    <hyperlink ref="R20" r:id="rId12" display="http://gofile.me/649X4/AougNRbf0"/>
    <hyperlink ref="R21" r:id="rId13" display="http://gofile.me/649X4/2Y2fvrLo0"/>
  </hyperlinks>
  <printOptions headings="false" gridLines="false" gridLinesSet="true" horizontalCentered="false" verticalCentered="false"/>
  <pageMargins left="0.279861111111111" right="0.240277777777778" top="0.309722222222222"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drawing r:id="rId1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277"/>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33" width="46"/>
    <col collapsed="false" customWidth="true" hidden="false" outlineLevel="0" max="3" min="2" style="34" width="18"/>
    <col collapsed="false" customWidth="true" hidden="false" outlineLevel="0" max="4" min="4" style="39" width="20"/>
    <col collapsed="false" customWidth="true" hidden="false" outlineLevel="0" max="5" min="5" style="35"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9" min="9" style="115" width="6.37"/>
    <col collapsed="false" customWidth="true" hidden="false" outlineLevel="0" max="10" min="10" style="163" width="6.37"/>
    <col collapsed="false" customWidth="true" hidden="false" outlineLevel="0" max="11" min="11" style="115" width="11.2"/>
    <col collapsed="false" customWidth="true" hidden="false" outlineLevel="0" max="12" min="12" style="39" width="8.25"/>
    <col collapsed="false" customWidth="true" hidden="false" outlineLevel="0" max="13" min="13" style="39" width="10.63"/>
    <col collapsed="false" customWidth="true" hidden="false" outlineLevel="0" max="14" min="14" style="39" width="7.13"/>
    <col collapsed="false" customWidth="true" hidden="false" outlineLevel="0" max="15" min="15" style="39" width="10.63"/>
    <col collapsed="false" customWidth="true" hidden="false" outlineLevel="0" max="16" min="16" style="164" width="6.51"/>
    <col collapsed="false" customWidth="true" hidden="false" outlineLevel="0" max="17" min="17" style="39" width="70"/>
    <col collapsed="false" customWidth="true" hidden="false" outlineLevel="0" max="19" min="18" style="41" width="9.63"/>
    <col collapsed="false" customWidth="true" hidden="false" outlineLevel="0" max="20" min="20" style="42" width="7.37"/>
    <col collapsed="false" customWidth="true" hidden="false" outlineLevel="0" max="26" min="21" style="34" width="9"/>
    <col collapsed="false" customWidth="false" hidden="false" outlineLevel="0" max="98" min="27"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1601</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c r="T3" s="48"/>
    </row>
    <row r="4" s="50" customFormat="true" ht="27" hidden="false" customHeight="true" outlineLevel="1" collapsed="false">
      <c r="A4" s="49" t="s">
        <v>1602</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34" customFormat="true" ht="115" hidden="false" customHeight="true" outlineLevel="2" collapsed="false">
      <c r="A5" s="51" t="s">
        <v>1603</v>
      </c>
      <c r="B5" s="57"/>
      <c r="C5" s="57"/>
      <c r="D5" s="53" t="s">
        <v>1604</v>
      </c>
      <c r="E5" s="53" t="s">
        <v>217</v>
      </c>
      <c r="F5" s="54" t="n">
        <v>448.51</v>
      </c>
      <c r="G5" s="55"/>
      <c r="H5" s="56" t="str">
        <f aca="false">IF(ISBLANK(G5),"",IF(ISNUMBER(F5),ROUND(F5*G5,2),"Укажите цену"))</f>
        <v/>
      </c>
      <c r="I5" s="57" t="n">
        <v>119</v>
      </c>
      <c r="J5" s="57" t="n">
        <v>15.8</v>
      </c>
      <c r="K5" s="57" t="s">
        <v>1605</v>
      </c>
      <c r="L5" s="57" t="s">
        <v>91</v>
      </c>
      <c r="M5" s="57" t="s">
        <v>92</v>
      </c>
      <c r="N5" s="57" t="n">
        <v>124</v>
      </c>
      <c r="O5" s="57" t="s">
        <v>641</v>
      </c>
      <c r="P5" s="58" t="n">
        <v>0.074</v>
      </c>
      <c r="Q5" s="68" t="s">
        <v>1606</v>
      </c>
      <c r="R5" s="93" t="s">
        <v>1607</v>
      </c>
      <c r="S5" s="60" t="s">
        <v>96</v>
      </c>
      <c r="T5" s="61"/>
    </row>
    <row r="6" s="34" customFormat="true" ht="115" hidden="false" customHeight="true" outlineLevel="2" collapsed="false">
      <c r="A6" s="51" t="s">
        <v>1608</v>
      </c>
      <c r="B6" s="57"/>
      <c r="C6" s="57"/>
      <c r="D6" s="53" t="s">
        <v>1609</v>
      </c>
      <c r="E6" s="53" t="s">
        <v>217</v>
      </c>
      <c r="F6" s="54" t="n">
        <v>521.9</v>
      </c>
      <c r="G6" s="55"/>
      <c r="H6" s="56" t="str">
        <f aca="false">IF(ISBLANK(G6),"",IF(ISNUMBER(F6),ROUND(F6*G6,2),"Укажите цену"))</f>
        <v/>
      </c>
      <c r="I6" s="57" t="n">
        <v>286</v>
      </c>
      <c r="J6" s="57" t="n">
        <v>17</v>
      </c>
      <c r="K6" s="57" t="s">
        <v>1610</v>
      </c>
      <c r="L6" s="57" t="s">
        <v>91</v>
      </c>
      <c r="M6" s="57" t="s">
        <v>92</v>
      </c>
      <c r="N6" s="57" t="n">
        <v>56</v>
      </c>
      <c r="O6" s="57" t="s">
        <v>696</v>
      </c>
      <c r="P6" s="58" t="n">
        <v>0.095</v>
      </c>
      <c r="Q6" s="119" t="s">
        <v>1611</v>
      </c>
      <c r="R6" s="93" t="s">
        <v>1612</v>
      </c>
      <c r="S6" s="60" t="s">
        <v>96</v>
      </c>
      <c r="T6" s="61"/>
    </row>
    <row r="7" s="70" customFormat="true" ht="115" hidden="false" customHeight="true" outlineLevel="2" collapsed="false">
      <c r="A7" s="51" t="s">
        <v>1613</v>
      </c>
      <c r="B7" s="57"/>
      <c r="C7" s="57"/>
      <c r="D7" s="53" t="s">
        <v>1614</v>
      </c>
      <c r="E7" s="53" t="s">
        <v>1615</v>
      </c>
      <c r="F7" s="54" t="n">
        <v>505.59</v>
      </c>
      <c r="G7" s="55"/>
      <c r="H7" s="56" t="str">
        <f aca="false">IF(ISBLANK(G7),"",IF(ISNUMBER(F7),ROUND(F7*G7,2),"Укажите цену"))</f>
        <v/>
      </c>
      <c r="I7" s="57" t="n">
        <v>282</v>
      </c>
      <c r="J7" s="57" t="n">
        <v>15.1</v>
      </c>
      <c r="K7" s="57" t="s">
        <v>1616</v>
      </c>
      <c r="L7" s="57" t="s">
        <v>91</v>
      </c>
      <c r="M7" s="57" t="s">
        <v>92</v>
      </c>
      <c r="N7" s="57" t="n">
        <v>50</v>
      </c>
      <c r="O7" s="57" t="s">
        <v>641</v>
      </c>
      <c r="P7" s="58" t="n">
        <v>0.074</v>
      </c>
      <c r="Q7" s="68" t="s">
        <v>1617</v>
      </c>
      <c r="R7" s="93" t="s">
        <v>1618</v>
      </c>
      <c r="S7" s="60" t="s">
        <v>96</v>
      </c>
      <c r="T7" s="61"/>
    </row>
    <row r="8" s="70" customFormat="true" ht="115" hidden="false" customHeight="true" outlineLevel="2" collapsed="false">
      <c r="A8" s="51" t="s">
        <v>1619</v>
      </c>
      <c r="B8" s="57"/>
      <c r="C8" s="57"/>
      <c r="D8" s="53" t="s">
        <v>1620</v>
      </c>
      <c r="E8" s="53" t="s">
        <v>1615</v>
      </c>
      <c r="F8" s="54" t="n">
        <v>448.51</v>
      </c>
      <c r="G8" s="55"/>
      <c r="H8" s="56" t="str">
        <f aca="false">IF(ISBLANK(G8),"",IF(ISNUMBER(F8),ROUND(F8*G8,2),"Укажите цену"))</f>
        <v/>
      </c>
      <c r="I8" s="57" t="n">
        <v>174</v>
      </c>
      <c r="J8" s="57" t="n">
        <v>13.2</v>
      </c>
      <c r="K8" s="57" t="s">
        <v>1621</v>
      </c>
      <c r="L8" s="57" t="s">
        <v>91</v>
      </c>
      <c r="M8" s="57" t="s">
        <v>92</v>
      </c>
      <c r="N8" s="57" t="n">
        <v>70</v>
      </c>
      <c r="O8" s="57" t="s">
        <v>641</v>
      </c>
      <c r="P8" s="58" t="n">
        <v>0.074</v>
      </c>
      <c r="Q8" s="68" t="s">
        <v>1622</v>
      </c>
      <c r="R8" s="93" t="s">
        <v>1623</v>
      </c>
      <c r="S8" s="60" t="s">
        <v>96</v>
      </c>
      <c r="T8" s="61"/>
    </row>
    <row r="9" s="4" customFormat="true" ht="5.25" hidden="false" customHeight="true" outlineLevel="2" collapsed="false">
      <c r="A9" s="135"/>
      <c r="B9" s="135"/>
      <c r="C9" s="135"/>
      <c r="D9" s="135"/>
      <c r="E9" s="135"/>
      <c r="F9" s="135"/>
      <c r="G9" s="135"/>
      <c r="H9" s="135"/>
      <c r="I9" s="135"/>
      <c r="J9" s="135"/>
      <c r="K9" s="135"/>
      <c r="L9" s="135"/>
      <c r="M9" s="135"/>
      <c r="N9" s="135"/>
      <c r="O9" s="135"/>
      <c r="P9" s="135"/>
      <c r="Q9" s="135"/>
      <c r="R9" s="135"/>
      <c r="S9" s="136"/>
      <c r="T9" s="61"/>
    </row>
    <row r="10" s="50" customFormat="true" ht="27" hidden="false" customHeight="true" outlineLevel="1" collapsed="false">
      <c r="A10" s="49" t="s">
        <v>24</v>
      </c>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c r="IW10" s="49"/>
    </row>
    <row r="11" s="62" customFormat="true" ht="115" hidden="false" customHeight="true" outlineLevel="2" collapsed="false">
      <c r="A11" s="51" t="s">
        <v>1624</v>
      </c>
      <c r="B11" s="52"/>
      <c r="C11" s="57"/>
      <c r="D11" s="53" t="s">
        <v>1625</v>
      </c>
      <c r="E11" s="53" t="s">
        <v>931</v>
      </c>
      <c r="F11" s="54" t="n">
        <v>146.78</v>
      </c>
      <c r="G11" s="55"/>
      <c r="H11" s="56" t="str">
        <f aca="false">IF(ISBLANK(G11),"",IF(ISNUMBER(F11),ROUND(F11*G11,2),"Укажите цену"))</f>
        <v/>
      </c>
      <c r="I11" s="57" t="n">
        <v>110</v>
      </c>
      <c r="J11" s="26" t="n">
        <v>14.1</v>
      </c>
      <c r="K11" s="57" t="s">
        <v>1626</v>
      </c>
      <c r="L11" s="57" t="s">
        <v>91</v>
      </c>
      <c r="M11" s="57" t="s">
        <v>92</v>
      </c>
      <c r="N11" s="57" t="n">
        <v>119</v>
      </c>
      <c r="O11" s="57" t="s">
        <v>696</v>
      </c>
      <c r="P11" s="58" t="n">
        <v>0.095</v>
      </c>
      <c r="Q11" s="124" t="s">
        <v>1627</v>
      </c>
      <c r="R11" s="125" t="s">
        <v>1628</v>
      </c>
      <c r="S11" s="60" t="s">
        <v>96</v>
      </c>
      <c r="T11" s="87"/>
      <c r="U11" s="61"/>
      <c r="V11" s="61"/>
      <c r="W11" s="61"/>
      <c r="X11" s="61"/>
      <c r="Y11" s="61"/>
      <c r="Z11" s="61"/>
    </row>
    <row r="12" s="62" customFormat="true" ht="115" hidden="false" customHeight="true" outlineLevel="2" collapsed="false">
      <c r="A12" s="51" t="s">
        <v>1629</v>
      </c>
      <c r="B12" s="52"/>
      <c r="C12" s="57"/>
      <c r="D12" s="53" t="s">
        <v>1630</v>
      </c>
      <c r="E12" s="53" t="s">
        <v>1631</v>
      </c>
      <c r="F12" s="54" t="n">
        <v>171.25</v>
      </c>
      <c r="G12" s="55"/>
      <c r="H12" s="56" t="str">
        <f aca="false">IF(ISBLANK(G12),"",IF(ISNUMBER(F12),ROUND(F12*G12,2),"Укажите цену"))</f>
        <v/>
      </c>
      <c r="I12" s="57" t="n">
        <v>72</v>
      </c>
      <c r="J12" s="26" t="n">
        <v>20.91</v>
      </c>
      <c r="K12" s="57" t="s">
        <v>1632</v>
      </c>
      <c r="L12" s="57" t="n">
        <v>43</v>
      </c>
      <c r="M12" s="57" t="s">
        <v>640</v>
      </c>
      <c r="N12" s="57" t="n">
        <v>258</v>
      </c>
      <c r="O12" s="57" t="s">
        <v>641</v>
      </c>
      <c r="P12" s="58" t="n">
        <v>0.074</v>
      </c>
      <c r="Q12" s="124" t="s">
        <v>1633</v>
      </c>
      <c r="R12" s="125" t="s">
        <v>1634</v>
      </c>
      <c r="S12" s="60" t="s">
        <v>96</v>
      </c>
      <c r="T12" s="87"/>
      <c r="U12" s="61"/>
      <c r="V12" s="61"/>
      <c r="W12" s="61"/>
      <c r="X12" s="61"/>
      <c r="Y12" s="61"/>
      <c r="Z12" s="61"/>
    </row>
    <row r="13" s="62" customFormat="true" ht="115" hidden="false" customHeight="true" outlineLevel="2" collapsed="false">
      <c r="A13" s="51" t="s">
        <v>1635</v>
      </c>
      <c r="B13" s="52"/>
      <c r="C13" s="57"/>
      <c r="D13" s="53" t="s">
        <v>1636</v>
      </c>
      <c r="E13" s="53" t="s">
        <v>1615</v>
      </c>
      <c r="F13" s="54" t="n">
        <v>179.4</v>
      </c>
      <c r="G13" s="55"/>
      <c r="H13" s="56" t="str">
        <f aca="false">IF(ISBLANK(G13),"",IF(ISNUMBER(F13),ROUND(F13*G13,2),"Укажите цену"))</f>
        <v/>
      </c>
      <c r="I13" s="57" t="n">
        <v>219</v>
      </c>
      <c r="J13" s="26" t="n">
        <v>17.48</v>
      </c>
      <c r="K13" s="57" t="s">
        <v>1637</v>
      </c>
      <c r="L13" s="57" t="s">
        <v>91</v>
      </c>
      <c r="M13" s="57" t="s">
        <v>92</v>
      </c>
      <c r="N13" s="57" t="n">
        <v>75</v>
      </c>
      <c r="O13" s="57" t="s">
        <v>696</v>
      </c>
      <c r="P13" s="58" t="n">
        <v>0.095</v>
      </c>
      <c r="Q13" s="124" t="s">
        <v>1638</v>
      </c>
      <c r="R13" s="125" t="s">
        <v>1639</v>
      </c>
      <c r="S13" s="60" t="s">
        <v>96</v>
      </c>
      <c r="T13" s="87"/>
      <c r="U13" s="61"/>
      <c r="V13" s="61"/>
      <c r="W13" s="61"/>
      <c r="X13" s="61"/>
      <c r="Y13" s="61"/>
      <c r="Z13" s="61"/>
    </row>
    <row r="14" s="62" customFormat="true" ht="115" hidden="false" customHeight="true" outlineLevel="2" collapsed="false">
      <c r="A14" s="51" t="s">
        <v>1640</v>
      </c>
      <c r="B14" s="52"/>
      <c r="C14" s="57"/>
      <c r="D14" s="53" t="s">
        <v>1641</v>
      </c>
      <c r="E14" s="53" t="s">
        <v>217</v>
      </c>
      <c r="F14" s="54" t="n">
        <v>138.63</v>
      </c>
      <c r="G14" s="55"/>
      <c r="H14" s="56" t="str">
        <f aca="false">IF(ISBLANK(G14),"",IF(ISNUMBER(F14),ROUND(F14*G14,2),"Укажите цену"))</f>
        <v/>
      </c>
      <c r="I14" s="57" t="n">
        <v>107</v>
      </c>
      <c r="J14" s="26" t="n">
        <v>12.24</v>
      </c>
      <c r="K14" s="57" t="s">
        <v>1642</v>
      </c>
      <c r="L14" s="57" t="n">
        <v>16</v>
      </c>
      <c r="M14" s="57" t="s">
        <v>640</v>
      </c>
      <c r="N14" s="57" t="n">
        <v>96</v>
      </c>
      <c r="O14" s="57" t="s">
        <v>641</v>
      </c>
      <c r="P14" s="58" t="n">
        <v>0.074</v>
      </c>
      <c r="Q14" s="68" t="s">
        <v>1643</v>
      </c>
      <c r="R14" s="125" t="s">
        <v>1644</v>
      </c>
      <c r="S14" s="60" t="s">
        <v>96</v>
      </c>
      <c r="T14" s="87"/>
      <c r="U14" s="61"/>
      <c r="V14" s="61"/>
      <c r="W14" s="61"/>
      <c r="X14" s="61"/>
      <c r="Y14" s="61"/>
      <c r="Z14" s="61"/>
    </row>
    <row r="15" s="62" customFormat="true" ht="115" hidden="false" customHeight="true" outlineLevel="2" collapsed="false">
      <c r="A15" s="51" t="s">
        <v>1645</v>
      </c>
      <c r="B15" s="52"/>
      <c r="C15" s="57"/>
      <c r="D15" s="53" t="s">
        <v>1646</v>
      </c>
      <c r="E15" s="53" t="s">
        <v>1615</v>
      </c>
      <c r="F15" s="54" t="n">
        <v>318.03</v>
      </c>
      <c r="G15" s="55"/>
      <c r="H15" s="56" t="str">
        <f aca="false">IF(ISBLANK(G15),"",IF(ISNUMBER(F15),ROUND(F15*G15,2),"Укажите цену"))</f>
        <v/>
      </c>
      <c r="I15" s="57" t="n">
        <v>114</v>
      </c>
      <c r="J15" s="26" t="n">
        <v>18.5</v>
      </c>
      <c r="K15" s="57" t="s">
        <v>1647</v>
      </c>
      <c r="L15" s="57" t="n">
        <v>36</v>
      </c>
      <c r="M15" s="57" t="s">
        <v>284</v>
      </c>
      <c r="N15" s="57" t="n">
        <v>144</v>
      </c>
      <c r="O15" s="57" t="s">
        <v>696</v>
      </c>
      <c r="P15" s="58" t="n">
        <v>0.095</v>
      </c>
      <c r="Q15" s="68" t="s">
        <v>1648</v>
      </c>
      <c r="R15" s="93" t="s">
        <v>1649</v>
      </c>
      <c r="S15" s="60" t="s">
        <v>96</v>
      </c>
      <c r="T15" s="87"/>
      <c r="U15" s="61"/>
      <c r="V15" s="61"/>
      <c r="W15" s="61"/>
      <c r="X15" s="61"/>
      <c r="Y15" s="61"/>
      <c r="Z15" s="61"/>
    </row>
    <row r="16" s="62" customFormat="true" ht="115" hidden="false" customHeight="true" outlineLevel="2" collapsed="false">
      <c r="A16" s="51" t="s">
        <v>1650</v>
      </c>
      <c r="B16" s="52"/>
      <c r="C16" s="57"/>
      <c r="D16" s="53" t="s">
        <v>1651</v>
      </c>
      <c r="E16" s="53" t="s">
        <v>217</v>
      </c>
      <c r="F16" s="54" t="n">
        <v>220.18</v>
      </c>
      <c r="G16" s="55"/>
      <c r="H16" s="56" t="str">
        <f aca="false">IF(ISBLANK(G16),"",IF(ISNUMBER(F16),ROUND(F16*G16,2),"Укажите цену"))</f>
        <v/>
      </c>
      <c r="I16" s="57" t="n">
        <v>96</v>
      </c>
      <c r="J16" s="26" t="n">
        <v>11.2</v>
      </c>
      <c r="K16" s="57" t="s">
        <v>1652</v>
      </c>
      <c r="L16" s="57" t="s">
        <v>91</v>
      </c>
      <c r="M16" s="57" t="s">
        <v>92</v>
      </c>
      <c r="N16" s="57" t="n">
        <v>106</v>
      </c>
      <c r="O16" s="57" t="s">
        <v>696</v>
      </c>
      <c r="P16" s="58" t="n">
        <v>0.095</v>
      </c>
      <c r="Q16" s="68" t="s">
        <v>1653</v>
      </c>
      <c r="R16" s="93" t="s">
        <v>1654</v>
      </c>
      <c r="S16" s="60" t="s">
        <v>96</v>
      </c>
      <c r="T16" s="87"/>
      <c r="U16" s="61"/>
      <c r="V16" s="61"/>
      <c r="W16" s="61"/>
      <c r="X16" s="61"/>
      <c r="Y16" s="61"/>
      <c r="Z16" s="61"/>
    </row>
    <row r="17" s="34" customFormat="true" ht="115" hidden="false" customHeight="true" outlineLevel="2" collapsed="false">
      <c r="A17" s="51" t="s">
        <v>1655</v>
      </c>
      <c r="B17" s="57"/>
      <c r="C17" s="57"/>
      <c r="D17" s="53" t="s">
        <v>1656</v>
      </c>
      <c r="E17" s="53" t="s">
        <v>217</v>
      </c>
      <c r="F17" s="54" t="n">
        <v>179.4</v>
      </c>
      <c r="G17" s="55"/>
      <c r="H17" s="56" t="str">
        <f aca="false">IF(ISBLANK(G17),"",IF(ISNUMBER(F17),ROUND(F17*G17,2),"Укажите цену"))</f>
        <v/>
      </c>
      <c r="I17" s="57" t="n">
        <v>101</v>
      </c>
      <c r="J17" s="57" t="n">
        <v>11.8</v>
      </c>
      <c r="K17" s="57" t="s">
        <v>1657</v>
      </c>
      <c r="L17" s="57" t="s">
        <v>1658</v>
      </c>
      <c r="M17" s="57" t="s">
        <v>1659</v>
      </c>
      <c r="N17" s="57" t="n">
        <v>106</v>
      </c>
      <c r="O17" s="57" t="s">
        <v>696</v>
      </c>
      <c r="P17" s="58" t="n">
        <v>0.095</v>
      </c>
      <c r="Q17" s="68" t="s">
        <v>1660</v>
      </c>
      <c r="R17" s="93" t="s">
        <v>1661</v>
      </c>
      <c r="S17" s="60" t="s">
        <v>96</v>
      </c>
      <c r="T17" s="61"/>
    </row>
    <row r="18" s="34" customFormat="true" ht="115" hidden="false" customHeight="true" outlineLevel="2" collapsed="false">
      <c r="A18" s="51" t="s">
        <v>1662</v>
      </c>
      <c r="B18" s="57"/>
      <c r="C18" s="57"/>
      <c r="D18" s="53" t="s">
        <v>1663</v>
      </c>
      <c r="E18" s="53" t="s">
        <v>217</v>
      </c>
      <c r="F18" s="54" t="n">
        <v>187.56</v>
      </c>
      <c r="G18" s="55"/>
      <c r="H18" s="56" t="str">
        <f aca="false">IF(ISBLANK(G18),"",IF(ISNUMBER(F18),ROUND(F18*G18,2),"Укажите цену"))</f>
        <v/>
      </c>
      <c r="I18" s="57" t="n">
        <v>169</v>
      </c>
      <c r="J18" s="57" t="n">
        <v>16.95</v>
      </c>
      <c r="K18" s="57" t="s">
        <v>1664</v>
      </c>
      <c r="L18" s="57" t="s">
        <v>91</v>
      </c>
      <c r="M18" s="57" t="s">
        <v>92</v>
      </c>
      <c r="N18" s="57" t="n">
        <v>94</v>
      </c>
      <c r="O18" s="57" t="s">
        <v>696</v>
      </c>
      <c r="P18" s="58" t="n">
        <v>0.095</v>
      </c>
      <c r="Q18" s="68" t="s">
        <v>1665</v>
      </c>
      <c r="R18" s="93" t="s">
        <v>1666</v>
      </c>
      <c r="S18" s="60" t="s">
        <v>96</v>
      </c>
      <c r="T18" s="61"/>
    </row>
    <row r="19" s="34" customFormat="true" ht="115" hidden="false" customHeight="true" outlineLevel="2" collapsed="false">
      <c r="A19" s="51" t="s">
        <v>1667</v>
      </c>
      <c r="B19" s="57"/>
      <c r="C19" s="57"/>
      <c r="D19" s="53" t="s">
        <v>1668</v>
      </c>
      <c r="E19" s="53" t="s">
        <v>1615</v>
      </c>
      <c r="F19" s="54" t="n">
        <v>236.49</v>
      </c>
      <c r="G19" s="55"/>
      <c r="H19" s="56" t="str">
        <f aca="false">IF(ISBLANK(G19),"",IF(ISNUMBER(F19),ROUND(F19*G19,2),"Укажите цену"))</f>
        <v/>
      </c>
      <c r="I19" s="57" t="n">
        <v>102</v>
      </c>
      <c r="J19" s="57" t="n">
        <v>16.65</v>
      </c>
      <c r="K19" s="57" t="s">
        <v>1647</v>
      </c>
      <c r="L19" s="57" t="n">
        <v>36</v>
      </c>
      <c r="M19" s="57" t="s">
        <v>284</v>
      </c>
      <c r="N19" s="57" t="n">
        <v>144</v>
      </c>
      <c r="O19" s="57" t="s">
        <v>696</v>
      </c>
      <c r="P19" s="58" t="n">
        <v>0.095</v>
      </c>
      <c r="Q19" s="68" t="s">
        <v>1669</v>
      </c>
      <c r="R19" s="93" t="s">
        <v>1670</v>
      </c>
      <c r="S19" s="60" t="s">
        <v>96</v>
      </c>
      <c r="T19" s="61"/>
    </row>
    <row r="20" s="34" customFormat="true" ht="115" hidden="false" customHeight="true" outlineLevel="2" collapsed="false">
      <c r="A20" s="51" t="s">
        <v>1671</v>
      </c>
      <c r="B20" s="57"/>
      <c r="C20" s="57"/>
      <c r="D20" s="53" t="s">
        <v>1672</v>
      </c>
      <c r="E20" s="53" t="s">
        <v>89</v>
      </c>
      <c r="F20" s="54" t="n">
        <v>318.03</v>
      </c>
      <c r="G20" s="55"/>
      <c r="H20" s="56" t="str">
        <f aca="false">IF(ISBLANK(G20),"",IF(ISNUMBER(F20),ROUND(F20*G20,2),"Укажите цену"))</f>
        <v/>
      </c>
      <c r="I20" s="57" t="n">
        <v>141</v>
      </c>
      <c r="J20" s="57" t="n">
        <v>16.7</v>
      </c>
      <c r="K20" s="57" t="s">
        <v>1673</v>
      </c>
      <c r="L20" s="57" t="s">
        <v>91</v>
      </c>
      <c r="M20" s="57" t="s">
        <v>92</v>
      </c>
      <c r="N20" s="57" t="n">
        <v>110</v>
      </c>
      <c r="O20" s="57" t="s">
        <v>696</v>
      </c>
      <c r="P20" s="58" t="n">
        <v>0.095</v>
      </c>
      <c r="Q20" s="92" t="s">
        <v>1674</v>
      </c>
      <c r="R20" s="93" t="s">
        <v>1675</v>
      </c>
      <c r="S20" s="60" t="s">
        <v>96</v>
      </c>
      <c r="T20" s="61"/>
    </row>
    <row r="21" s="34" customFormat="true" ht="115" hidden="false" customHeight="true" outlineLevel="2" collapsed="false">
      <c r="A21" s="51" t="s">
        <v>1676</v>
      </c>
      <c r="B21" s="57"/>
      <c r="C21" s="57"/>
      <c r="D21" s="53" t="s">
        <v>1677</v>
      </c>
      <c r="E21" s="53" t="s">
        <v>89</v>
      </c>
      <c r="F21" s="54" t="n">
        <v>122.32</v>
      </c>
      <c r="G21" s="55"/>
      <c r="H21" s="56" t="str">
        <f aca="false">IF(ISBLANK(G21),"",IF(ISNUMBER(F21),ROUND(F21*G21,2),"Укажите цену"))</f>
        <v/>
      </c>
      <c r="I21" s="57" t="n">
        <v>137</v>
      </c>
      <c r="J21" s="57" t="n">
        <v>11.4</v>
      </c>
      <c r="K21" s="57" t="s">
        <v>1678</v>
      </c>
      <c r="L21" s="57" t="n">
        <v>17</v>
      </c>
      <c r="M21" s="57" t="s">
        <v>284</v>
      </c>
      <c r="N21" s="57" t="n">
        <v>68</v>
      </c>
      <c r="O21" s="57" t="s">
        <v>696</v>
      </c>
      <c r="P21" s="58" t="n">
        <v>0.095</v>
      </c>
      <c r="Q21" s="95" t="s">
        <v>1679</v>
      </c>
      <c r="R21" s="93" t="s">
        <v>1680</v>
      </c>
      <c r="S21" s="60" t="s">
        <v>96</v>
      </c>
      <c r="T21" s="61"/>
    </row>
    <row r="22" s="70" customFormat="true" ht="115" hidden="false" customHeight="true" outlineLevel="2" collapsed="false">
      <c r="A22" s="51" t="s">
        <v>1681</v>
      </c>
      <c r="B22" s="57"/>
      <c r="C22" s="57"/>
      <c r="D22" s="53" t="s">
        <v>1682</v>
      </c>
      <c r="E22" s="53" t="s">
        <v>89</v>
      </c>
      <c r="F22" s="54" t="n">
        <v>215.28</v>
      </c>
      <c r="G22" s="55"/>
      <c r="H22" s="56" t="str">
        <f aca="false">IF(ISBLANK(G22),"",IF(ISNUMBER(F22),ROUND(F22*G22,2),"Укажите цену"))</f>
        <v/>
      </c>
      <c r="I22" s="57" t="n">
        <v>242</v>
      </c>
      <c r="J22" s="57" t="n">
        <v>13.4</v>
      </c>
      <c r="K22" s="57" t="s">
        <v>1683</v>
      </c>
      <c r="L22" s="57" t="s">
        <v>91</v>
      </c>
      <c r="M22" s="57" t="s">
        <v>92</v>
      </c>
      <c r="N22" s="57" t="n">
        <v>52</v>
      </c>
      <c r="O22" s="57" t="s">
        <v>641</v>
      </c>
      <c r="P22" s="58" t="n">
        <v>0.074</v>
      </c>
      <c r="Q22" s="68" t="s">
        <v>1684</v>
      </c>
      <c r="R22" s="93" t="s">
        <v>1685</v>
      </c>
      <c r="S22" s="60" t="s">
        <v>96</v>
      </c>
      <c r="T22" s="61"/>
    </row>
    <row r="23" s="70" customFormat="true" ht="115" hidden="false" customHeight="true" outlineLevel="2" collapsed="false">
      <c r="A23" s="51" t="s">
        <v>1686</v>
      </c>
      <c r="B23" s="57"/>
      <c r="C23" s="57"/>
      <c r="D23" s="53" t="s">
        <v>1687</v>
      </c>
      <c r="E23" s="53" t="s">
        <v>89</v>
      </c>
      <c r="F23" s="54" t="n">
        <v>172.88</v>
      </c>
      <c r="G23" s="55"/>
      <c r="H23" s="56" t="str">
        <f aca="false">IF(ISBLANK(G23),"",IF(ISNUMBER(F23),ROUND(F23*G23,2),"Укажите цену"))</f>
        <v/>
      </c>
      <c r="I23" s="57" t="n">
        <v>132</v>
      </c>
      <c r="J23" s="57" t="n">
        <v>17</v>
      </c>
      <c r="K23" s="57" t="s">
        <v>1688</v>
      </c>
      <c r="L23" s="57" t="s">
        <v>91</v>
      </c>
      <c r="M23" s="57" t="s">
        <v>92</v>
      </c>
      <c r="N23" s="57" t="n">
        <v>122</v>
      </c>
      <c r="O23" s="57" t="s">
        <v>696</v>
      </c>
      <c r="P23" s="58" t="n">
        <v>0.095</v>
      </c>
      <c r="Q23" s="68" t="s">
        <v>1689</v>
      </c>
      <c r="R23" s="93" t="s">
        <v>1690</v>
      </c>
      <c r="S23" s="60" t="s">
        <v>96</v>
      </c>
      <c r="T23" s="61"/>
    </row>
    <row r="24" s="34" customFormat="true" ht="115" hidden="false" customHeight="true" outlineLevel="2" collapsed="false">
      <c r="A24" s="51" t="s">
        <v>1691</v>
      </c>
      <c r="B24" s="57"/>
      <c r="C24" s="57"/>
      <c r="D24" s="53" t="s">
        <v>1692</v>
      </c>
      <c r="E24" s="53" t="s">
        <v>89</v>
      </c>
      <c r="F24" s="54" t="n">
        <v>159.83</v>
      </c>
      <c r="G24" s="55"/>
      <c r="H24" s="56" t="str">
        <f aca="false">IF(ISBLANK(G24),"",IF(ISNUMBER(F24),ROUND(F24*G24,2),"Укажите цену"))</f>
        <v/>
      </c>
      <c r="I24" s="57" t="n">
        <v>96</v>
      </c>
      <c r="J24" s="57" t="n">
        <v>9.35</v>
      </c>
      <c r="K24" s="57" t="s">
        <v>1693</v>
      </c>
      <c r="L24" s="57" t="n">
        <v>20</v>
      </c>
      <c r="M24" s="57" t="s">
        <v>284</v>
      </c>
      <c r="N24" s="57" t="n">
        <v>80</v>
      </c>
      <c r="O24" s="57" t="s">
        <v>696</v>
      </c>
      <c r="P24" s="58" t="n">
        <v>0.095</v>
      </c>
      <c r="Q24" s="137" t="s">
        <v>1694</v>
      </c>
      <c r="R24" s="93" t="s">
        <v>1695</v>
      </c>
      <c r="S24" s="60" t="s">
        <v>96</v>
      </c>
      <c r="T24" s="61"/>
    </row>
    <row r="25" s="70" customFormat="true" ht="115" hidden="false" customHeight="true" outlineLevel="2" collapsed="false">
      <c r="A25" s="51" t="s">
        <v>1696</v>
      </c>
      <c r="B25" s="57"/>
      <c r="C25" s="57"/>
      <c r="D25" s="53" t="s">
        <v>1697</v>
      </c>
      <c r="E25" s="53" t="s">
        <v>1698</v>
      </c>
      <c r="F25" s="54" t="n">
        <v>195.71</v>
      </c>
      <c r="G25" s="55"/>
      <c r="H25" s="56" t="str">
        <f aca="false">IF(ISBLANK(G25),"",IF(ISNUMBER(F25),ROUND(F25*G25,2),"Укажите цену"))</f>
        <v/>
      </c>
      <c r="I25" s="57" t="n">
        <v>197</v>
      </c>
      <c r="J25" s="57" t="n">
        <v>17.6</v>
      </c>
      <c r="K25" s="57" t="s">
        <v>1699</v>
      </c>
      <c r="L25" s="57" t="s">
        <v>91</v>
      </c>
      <c r="M25" s="57" t="s">
        <v>92</v>
      </c>
      <c r="N25" s="57" t="n">
        <v>84</v>
      </c>
      <c r="O25" s="57" t="s">
        <v>696</v>
      </c>
      <c r="P25" s="58" t="n">
        <v>0.095</v>
      </c>
      <c r="Q25" s="68" t="s">
        <v>1700</v>
      </c>
      <c r="R25" s="93" t="s">
        <v>1701</v>
      </c>
      <c r="S25" s="60" t="s">
        <v>96</v>
      </c>
      <c r="T25" s="61"/>
    </row>
    <row r="26" s="70" customFormat="true" ht="115" hidden="false" customHeight="true" outlineLevel="2" collapsed="false">
      <c r="A26" s="51" t="s">
        <v>1702</v>
      </c>
      <c r="B26" s="57"/>
      <c r="C26" s="57"/>
      <c r="D26" s="53" t="s">
        <v>1703</v>
      </c>
      <c r="E26" s="53" t="s">
        <v>1698</v>
      </c>
      <c r="F26" s="54" t="n">
        <v>107.64</v>
      </c>
      <c r="G26" s="55"/>
      <c r="H26" s="56" t="str">
        <f aca="false">IF(ISBLANK(G26),"",IF(ISNUMBER(F26),ROUND(F26*G26,2),"Укажите цену"))</f>
        <v/>
      </c>
      <c r="I26" s="57" t="n">
        <v>75</v>
      </c>
      <c r="J26" s="57" t="n">
        <v>11.4</v>
      </c>
      <c r="K26" s="57" t="s">
        <v>1704</v>
      </c>
      <c r="L26" s="57" t="n">
        <v>21</v>
      </c>
      <c r="M26" s="57" t="s">
        <v>640</v>
      </c>
      <c r="N26" s="57" t="n">
        <v>126</v>
      </c>
      <c r="O26" s="57" t="s">
        <v>641</v>
      </c>
      <c r="P26" s="58" t="n">
        <v>0.074</v>
      </c>
      <c r="Q26" s="68" t="s">
        <v>1705</v>
      </c>
      <c r="R26" s="93" t="s">
        <v>1706</v>
      </c>
      <c r="S26" s="60" t="s">
        <v>96</v>
      </c>
      <c r="T26" s="61"/>
    </row>
    <row r="27" s="70" customFormat="true" ht="115" hidden="false" customHeight="true" outlineLevel="2" collapsed="false">
      <c r="A27" s="51" t="s">
        <v>1707</v>
      </c>
      <c r="B27" s="57"/>
      <c r="C27" s="57"/>
      <c r="D27" s="53" t="s">
        <v>1708</v>
      </c>
      <c r="E27" s="53" t="s">
        <v>1615</v>
      </c>
      <c r="F27" s="54" t="n">
        <v>334.34</v>
      </c>
      <c r="G27" s="55"/>
      <c r="H27" s="56" t="str">
        <f aca="false">IF(ISBLANK(G27),"",IF(ISNUMBER(F27),ROUND(F27*G27,2),"Укажите цену"))</f>
        <v/>
      </c>
      <c r="I27" s="57" t="n">
        <v>191</v>
      </c>
      <c r="J27" s="57" t="n">
        <v>14.8</v>
      </c>
      <c r="K27" s="57" t="s">
        <v>1709</v>
      </c>
      <c r="L27" s="57" t="s">
        <v>91</v>
      </c>
      <c r="M27" s="57" t="s">
        <v>92</v>
      </c>
      <c r="N27" s="57" t="n">
        <v>72</v>
      </c>
      <c r="O27" s="57" t="s">
        <v>641</v>
      </c>
      <c r="P27" s="58" t="n">
        <v>0.074</v>
      </c>
      <c r="Q27" s="68" t="s">
        <v>1710</v>
      </c>
      <c r="R27" s="93" t="s">
        <v>1711</v>
      </c>
      <c r="S27" s="60" t="s">
        <v>96</v>
      </c>
      <c r="T27" s="61"/>
    </row>
    <row r="28" s="70" customFormat="true" ht="115" hidden="false" customHeight="true" outlineLevel="2" collapsed="false">
      <c r="A28" s="51" t="s">
        <v>1712</v>
      </c>
      <c r="B28" s="57"/>
      <c r="C28" s="57"/>
      <c r="D28" s="53" t="s">
        <v>1713</v>
      </c>
      <c r="E28" s="53" t="s">
        <v>1615</v>
      </c>
      <c r="F28" s="54" t="n">
        <v>228.33</v>
      </c>
      <c r="G28" s="55"/>
      <c r="H28" s="56" t="str">
        <f aca="false">IF(ISBLANK(G28),"",IF(ISNUMBER(F28),ROUND(F28*G28,2),"Укажите цену"))</f>
        <v/>
      </c>
      <c r="I28" s="57" t="n">
        <v>87</v>
      </c>
      <c r="J28" s="57" t="n">
        <v>9.88</v>
      </c>
      <c r="K28" s="57" t="s">
        <v>1714</v>
      </c>
      <c r="L28" s="57" t="n">
        <v>15</v>
      </c>
      <c r="M28" s="57" t="s">
        <v>640</v>
      </c>
      <c r="N28" s="57" t="n">
        <v>90</v>
      </c>
      <c r="O28" s="57" t="s">
        <v>641</v>
      </c>
      <c r="P28" s="58" t="n">
        <v>0.074</v>
      </c>
      <c r="Q28" s="68" t="s">
        <v>1715</v>
      </c>
      <c r="R28" s="93" t="s">
        <v>1716</v>
      </c>
      <c r="S28" s="60" t="s">
        <v>96</v>
      </c>
      <c r="T28" s="61"/>
    </row>
    <row r="29" s="152" customFormat="true" ht="115" hidden="false" customHeight="true" outlineLevel="2" collapsed="false">
      <c r="A29" s="51" t="s">
        <v>1717</v>
      </c>
      <c r="B29" s="57"/>
      <c r="C29" s="57"/>
      <c r="D29" s="53" t="s">
        <v>1718</v>
      </c>
      <c r="E29" s="53" t="s">
        <v>1631</v>
      </c>
      <c r="F29" s="54" t="n">
        <v>110.9</v>
      </c>
      <c r="G29" s="55"/>
      <c r="H29" s="56" t="str">
        <f aca="false">IF(ISBLANK(G29),"",IF(ISNUMBER(F29),ROUND(F29*G29,2),"Укажите цену"))</f>
        <v/>
      </c>
      <c r="I29" s="57" t="n">
        <v>53</v>
      </c>
      <c r="J29" s="57" t="n">
        <v>10.9</v>
      </c>
      <c r="K29" s="57" t="s">
        <v>1719</v>
      </c>
      <c r="L29" s="57" t="n">
        <v>28</v>
      </c>
      <c r="M29" s="57" t="s">
        <v>640</v>
      </c>
      <c r="N29" s="57" t="n">
        <v>168</v>
      </c>
      <c r="O29" s="57" t="s">
        <v>641</v>
      </c>
      <c r="P29" s="58" t="n">
        <v>0.074</v>
      </c>
      <c r="Q29" s="68" t="s">
        <v>1720</v>
      </c>
      <c r="R29" s="93" t="s">
        <v>1721</v>
      </c>
      <c r="S29" s="165" t="s">
        <v>96</v>
      </c>
      <c r="T29" s="61"/>
      <c r="AA29" s="153"/>
      <c r="AB29" s="153"/>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c r="DH29" s="154"/>
      <c r="DI29" s="154"/>
      <c r="DJ29" s="154"/>
      <c r="DK29" s="154"/>
      <c r="DL29" s="154"/>
      <c r="DM29" s="154"/>
      <c r="DN29" s="154"/>
      <c r="DO29" s="154"/>
      <c r="DP29" s="154"/>
      <c r="DQ29" s="154"/>
      <c r="DR29" s="154"/>
      <c r="DS29" s="154"/>
      <c r="DT29" s="154"/>
      <c r="DU29" s="154"/>
      <c r="DV29" s="154"/>
      <c r="DW29" s="154"/>
      <c r="DX29" s="154"/>
      <c r="DY29" s="154"/>
      <c r="DZ29" s="154"/>
      <c r="EA29" s="154"/>
      <c r="EB29" s="154"/>
      <c r="EC29" s="154"/>
      <c r="ED29" s="154"/>
      <c r="EE29" s="154"/>
      <c r="EF29" s="154"/>
      <c r="EG29" s="154"/>
      <c r="EH29" s="154"/>
      <c r="EI29" s="154"/>
      <c r="EJ29" s="154"/>
      <c r="EK29" s="154"/>
      <c r="EL29" s="154"/>
      <c r="EM29" s="154"/>
      <c r="EN29" s="154"/>
      <c r="EO29" s="154"/>
      <c r="EP29" s="154"/>
      <c r="EQ29" s="154"/>
      <c r="ER29" s="154"/>
      <c r="ES29" s="154"/>
      <c r="ET29" s="154"/>
      <c r="EU29" s="154"/>
      <c r="EV29" s="154"/>
      <c r="EW29" s="154"/>
      <c r="EX29" s="154"/>
      <c r="EY29" s="154"/>
      <c r="EZ29" s="154"/>
      <c r="FA29" s="154"/>
      <c r="FB29" s="154"/>
      <c r="FC29" s="154"/>
      <c r="FD29" s="154"/>
      <c r="FE29" s="154"/>
      <c r="FF29" s="154"/>
      <c r="FG29" s="154"/>
      <c r="FH29" s="154"/>
      <c r="FI29" s="154"/>
      <c r="FJ29" s="154"/>
      <c r="FK29" s="154"/>
      <c r="FL29" s="154"/>
      <c r="FM29" s="154"/>
      <c r="FN29" s="154"/>
      <c r="FO29" s="154"/>
      <c r="FP29" s="154"/>
      <c r="FQ29" s="154"/>
      <c r="FR29" s="154"/>
      <c r="FS29" s="154"/>
      <c r="FT29" s="154"/>
      <c r="FU29" s="154"/>
      <c r="FV29" s="154"/>
      <c r="FW29" s="154"/>
      <c r="FX29" s="154"/>
      <c r="FY29" s="154"/>
      <c r="FZ29" s="154"/>
      <c r="GA29" s="154"/>
      <c r="GB29" s="154"/>
      <c r="GC29" s="154"/>
      <c r="GD29" s="154"/>
      <c r="GE29" s="154"/>
      <c r="GF29" s="154"/>
      <c r="GG29" s="154"/>
      <c r="GH29" s="154"/>
      <c r="GI29" s="154"/>
      <c r="GJ29" s="154"/>
      <c r="GK29" s="154"/>
      <c r="GL29" s="154"/>
      <c r="GM29" s="154"/>
      <c r="GN29" s="154"/>
      <c r="GO29" s="154"/>
      <c r="GP29" s="154"/>
      <c r="GQ29" s="154"/>
      <c r="GR29" s="154"/>
      <c r="GS29" s="154"/>
      <c r="GT29" s="154"/>
      <c r="GU29" s="154"/>
      <c r="GV29" s="154"/>
      <c r="GW29" s="154"/>
      <c r="GX29" s="154"/>
      <c r="GY29" s="154"/>
      <c r="GZ29" s="154"/>
      <c r="HA29" s="154"/>
      <c r="HB29" s="154"/>
      <c r="HC29" s="154"/>
      <c r="HD29" s="154"/>
      <c r="HE29" s="154"/>
      <c r="HF29" s="154"/>
      <c r="HG29" s="154"/>
      <c r="HH29" s="154"/>
      <c r="HI29" s="154"/>
      <c r="HJ29" s="154"/>
      <c r="HK29" s="154"/>
      <c r="HL29" s="154"/>
      <c r="HM29" s="154"/>
      <c r="HN29" s="154"/>
      <c r="HO29" s="154"/>
      <c r="HP29" s="154"/>
      <c r="HQ29" s="154"/>
      <c r="HR29" s="154"/>
      <c r="HS29" s="154"/>
      <c r="HT29" s="154"/>
      <c r="HU29" s="154"/>
      <c r="HV29" s="154"/>
      <c r="HW29" s="154"/>
      <c r="HX29" s="154"/>
      <c r="HY29" s="154"/>
      <c r="HZ29" s="154"/>
      <c r="IA29" s="154"/>
      <c r="IB29" s="154"/>
      <c r="IC29" s="154"/>
      <c r="ID29" s="154"/>
      <c r="IE29" s="154"/>
      <c r="IF29" s="154"/>
      <c r="IG29" s="154"/>
      <c r="IH29" s="154"/>
      <c r="II29" s="154"/>
      <c r="IJ29" s="154"/>
      <c r="IK29" s="154"/>
      <c r="IL29" s="154"/>
      <c r="IM29" s="154"/>
      <c r="IN29" s="154"/>
      <c r="IO29" s="154"/>
      <c r="IP29" s="154"/>
      <c r="IQ29" s="154"/>
      <c r="IR29" s="154"/>
      <c r="IS29" s="154"/>
      <c r="IT29" s="154"/>
      <c r="IU29" s="154"/>
      <c r="IV29" s="154"/>
      <c r="IW29" s="154"/>
    </row>
    <row r="30" s="152" customFormat="true" ht="115" hidden="false" customHeight="true" outlineLevel="2" collapsed="false">
      <c r="A30" s="51" t="s">
        <v>1722</v>
      </c>
      <c r="B30" s="57"/>
      <c r="C30" s="57"/>
      <c r="D30" s="53" t="s">
        <v>1723</v>
      </c>
      <c r="E30" s="53" t="s">
        <v>1724</v>
      </c>
      <c r="F30" s="54" t="n">
        <v>238.12</v>
      </c>
      <c r="G30" s="55"/>
      <c r="H30" s="56" t="str">
        <f aca="false">IF(ISBLANK(G30),"",IF(ISNUMBER(F30),ROUND(F30*G30,2),"Укажите цену"))</f>
        <v/>
      </c>
      <c r="I30" s="57" t="n">
        <v>133</v>
      </c>
      <c r="J30" s="57" t="n">
        <v>10.9</v>
      </c>
      <c r="K30" s="57" t="s">
        <v>1725</v>
      </c>
      <c r="L30" s="57" t="s">
        <v>91</v>
      </c>
      <c r="M30" s="57" t="s">
        <v>92</v>
      </c>
      <c r="N30" s="57" t="n">
        <v>75</v>
      </c>
      <c r="O30" s="57" t="s">
        <v>641</v>
      </c>
      <c r="P30" s="58" t="n">
        <v>0.074</v>
      </c>
      <c r="Q30" s="68" t="s">
        <v>1726</v>
      </c>
      <c r="R30" s="72" t="s">
        <v>1727</v>
      </c>
      <c r="S30" s="165" t="s">
        <v>96</v>
      </c>
      <c r="T30" s="61"/>
      <c r="AA30" s="153"/>
      <c r="AB30" s="153"/>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c r="DH30" s="154"/>
      <c r="DI30" s="154"/>
      <c r="DJ30" s="154"/>
      <c r="DK30" s="154"/>
      <c r="DL30" s="154"/>
      <c r="DM30" s="154"/>
      <c r="DN30" s="154"/>
      <c r="DO30" s="154"/>
      <c r="DP30" s="154"/>
      <c r="DQ30" s="154"/>
      <c r="DR30" s="154"/>
      <c r="DS30" s="154"/>
      <c r="DT30" s="154"/>
      <c r="DU30" s="154"/>
      <c r="DV30" s="154"/>
      <c r="DW30" s="154"/>
      <c r="DX30" s="154"/>
      <c r="DY30" s="154"/>
      <c r="DZ30" s="154"/>
      <c r="EA30" s="154"/>
      <c r="EB30" s="154"/>
      <c r="EC30" s="154"/>
      <c r="ED30" s="154"/>
      <c r="EE30" s="154"/>
      <c r="EF30" s="154"/>
      <c r="EG30" s="154"/>
      <c r="EH30" s="154"/>
      <c r="EI30" s="154"/>
      <c r="EJ30" s="154"/>
      <c r="EK30" s="154"/>
      <c r="EL30" s="154"/>
      <c r="EM30" s="154"/>
      <c r="EN30" s="154"/>
      <c r="EO30" s="154"/>
      <c r="EP30" s="154"/>
      <c r="EQ30" s="154"/>
      <c r="ER30" s="154"/>
      <c r="ES30" s="154"/>
      <c r="ET30" s="154"/>
      <c r="EU30" s="154"/>
      <c r="EV30" s="154"/>
      <c r="EW30" s="154"/>
      <c r="EX30" s="154"/>
      <c r="EY30" s="154"/>
      <c r="EZ30" s="154"/>
      <c r="FA30" s="154"/>
      <c r="FB30" s="154"/>
      <c r="FC30" s="154"/>
      <c r="FD30" s="154"/>
      <c r="FE30" s="154"/>
      <c r="FF30" s="154"/>
      <c r="FG30" s="154"/>
      <c r="FH30" s="154"/>
      <c r="FI30" s="154"/>
      <c r="FJ30" s="154"/>
      <c r="FK30" s="154"/>
      <c r="FL30" s="154"/>
      <c r="FM30" s="154"/>
      <c r="FN30" s="154"/>
      <c r="FO30" s="154"/>
      <c r="FP30" s="154"/>
      <c r="FQ30" s="154"/>
      <c r="FR30" s="154"/>
      <c r="FS30" s="154"/>
      <c r="FT30" s="154"/>
      <c r="FU30" s="154"/>
      <c r="FV30" s="154"/>
      <c r="FW30" s="154"/>
      <c r="FX30" s="154"/>
      <c r="FY30" s="154"/>
      <c r="FZ30" s="154"/>
      <c r="GA30" s="154"/>
      <c r="GB30" s="154"/>
      <c r="GC30" s="154"/>
      <c r="GD30" s="154"/>
      <c r="GE30" s="154"/>
      <c r="GF30" s="154"/>
      <c r="GG30" s="154"/>
      <c r="GH30" s="154"/>
      <c r="GI30" s="154"/>
      <c r="GJ30" s="154"/>
      <c r="GK30" s="154"/>
      <c r="GL30" s="154"/>
      <c r="GM30" s="154"/>
      <c r="GN30" s="154"/>
      <c r="GO30" s="154"/>
      <c r="GP30" s="154"/>
      <c r="GQ30" s="154"/>
      <c r="GR30" s="154"/>
      <c r="GS30" s="154"/>
      <c r="GT30" s="154"/>
      <c r="GU30" s="154"/>
      <c r="GV30" s="154"/>
      <c r="GW30" s="154"/>
      <c r="GX30" s="154"/>
      <c r="GY30" s="154"/>
      <c r="GZ30" s="154"/>
      <c r="HA30" s="154"/>
      <c r="HB30" s="154"/>
      <c r="HC30" s="154"/>
      <c r="HD30" s="154"/>
      <c r="HE30" s="154"/>
      <c r="HF30" s="154"/>
      <c r="HG30" s="154"/>
      <c r="HH30" s="154"/>
      <c r="HI30" s="154"/>
      <c r="HJ30" s="154"/>
      <c r="HK30" s="154"/>
      <c r="HL30" s="154"/>
      <c r="HM30" s="154"/>
      <c r="HN30" s="154"/>
      <c r="HO30" s="154"/>
      <c r="HP30" s="154"/>
      <c r="HQ30" s="154"/>
      <c r="HR30" s="154"/>
      <c r="HS30" s="154"/>
      <c r="HT30" s="154"/>
      <c r="HU30" s="154"/>
      <c r="HV30" s="154"/>
      <c r="HW30" s="154"/>
      <c r="HX30" s="154"/>
      <c r="HY30" s="154"/>
      <c r="HZ30" s="154"/>
      <c r="IA30" s="154"/>
      <c r="IB30" s="154"/>
      <c r="IC30" s="154"/>
      <c r="ID30" s="154"/>
      <c r="IE30" s="154"/>
      <c r="IF30" s="154"/>
      <c r="IG30" s="154"/>
      <c r="IH30" s="154"/>
      <c r="II30" s="154"/>
      <c r="IJ30" s="154"/>
      <c r="IK30" s="154"/>
      <c r="IL30" s="154"/>
      <c r="IM30" s="154"/>
      <c r="IN30" s="154"/>
      <c r="IO30" s="154"/>
      <c r="IP30" s="154"/>
      <c r="IQ30" s="154"/>
      <c r="IR30" s="154"/>
      <c r="IS30" s="154"/>
      <c r="IT30" s="154"/>
      <c r="IU30" s="154"/>
      <c r="IV30" s="154"/>
      <c r="IW30" s="154"/>
    </row>
    <row r="31" s="152" customFormat="true" ht="115" hidden="false" customHeight="true" outlineLevel="2" collapsed="false">
      <c r="A31" s="51" t="s">
        <v>1728</v>
      </c>
      <c r="B31" s="57"/>
      <c r="C31" s="57"/>
      <c r="D31" s="53" t="s">
        <v>1729</v>
      </c>
      <c r="E31" s="53" t="s">
        <v>1724</v>
      </c>
      <c r="F31" s="54" t="n">
        <v>228.33</v>
      </c>
      <c r="G31" s="55"/>
      <c r="H31" s="56" t="str">
        <f aca="false">IF(ISBLANK(G31),"",IF(ISNUMBER(F31),ROUND(F31*G31,2),"Укажите цену"))</f>
        <v/>
      </c>
      <c r="I31" s="57" t="n">
        <v>125</v>
      </c>
      <c r="J31" s="57" t="n">
        <v>10.4</v>
      </c>
      <c r="K31" s="57" t="s">
        <v>1725</v>
      </c>
      <c r="L31" s="57" t="s">
        <v>91</v>
      </c>
      <c r="M31" s="57" t="s">
        <v>92</v>
      </c>
      <c r="N31" s="57" t="n">
        <v>75</v>
      </c>
      <c r="O31" s="57" t="s">
        <v>641</v>
      </c>
      <c r="P31" s="58" t="n">
        <v>0.074</v>
      </c>
      <c r="Q31" s="68" t="s">
        <v>1730</v>
      </c>
      <c r="R31" s="72" t="s">
        <v>1731</v>
      </c>
      <c r="S31" s="165" t="s">
        <v>96</v>
      </c>
      <c r="T31" s="61"/>
      <c r="AA31" s="153"/>
      <c r="AB31" s="153"/>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c r="DH31" s="154"/>
      <c r="DI31" s="154"/>
      <c r="DJ31" s="154"/>
      <c r="DK31" s="154"/>
      <c r="DL31" s="154"/>
      <c r="DM31" s="154"/>
      <c r="DN31" s="154"/>
      <c r="DO31" s="154"/>
      <c r="DP31" s="154"/>
      <c r="DQ31" s="154"/>
      <c r="DR31" s="154"/>
      <c r="DS31" s="154"/>
      <c r="DT31" s="154"/>
      <c r="DU31" s="154"/>
      <c r="DV31" s="154"/>
      <c r="DW31" s="154"/>
      <c r="DX31" s="154"/>
      <c r="DY31" s="154"/>
      <c r="DZ31" s="154"/>
      <c r="EA31" s="154"/>
      <c r="EB31" s="154"/>
      <c r="EC31" s="154"/>
      <c r="ED31" s="154"/>
      <c r="EE31" s="154"/>
      <c r="EF31" s="154"/>
      <c r="EG31" s="154"/>
      <c r="EH31" s="154"/>
      <c r="EI31" s="154"/>
      <c r="EJ31" s="154"/>
      <c r="EK31" s="154"/>
      <c r="EL31" s="154"/>
      <c r="EM31" s="154"/>
      <c r="EN31" s="154"/>
      <c r="EO31" s="154"/>
      <c r="EP31" s="154"/>
      <c r="EQ31" s="154"/>
      <c r="ER31" s="154"/>
      <c r="ES31" s="154"/>
      <c r="ET31" s="154"/>
      <c r="EU31" s="154"/>
      <c r="EV31" s="154"/>
      <c r="EW31" s="154"/>
      <c r="EX31" s="154"/>
      <c r="EY31" s="154"/>
      <c r="EZ31" s="154"/>
      <c r="FA31" s="154"/>
      <c r="FB31" s="154"/>
      <c r="FC31" s="154"/>
      <c r="FD31" s="154"/>
      <c r="FE31" s="154"/>
      <c r="FF31" s="154"/>
      <c r="FG31" s="154"/>
      <c r="FH31" s="154"/>
      <c r="FI31" s="154"/>
      <c r="FJ31" s="154"/>
      <c r="FK31" s="154"/>
      <c r="FL31" s="154"/>
      <c r="FM31" s="154"/>
      <c r="FN31" s="154"/>
      <c r="FO31" s="154"/>
      <c r="FP31" s="154"/>
      <c r="FQ31" s="154"/>
      <c r="FR31" s="154"/>
      <c r="FS31" s="154"/>
      <c r="FT31" s="154"/>
      <c r="FU31" s="154"/>
      <c r="FV31" s="154"/>
      <c r="FW31" s="154"/>
      <c r="FX31" s="154"/>
      <c r="FY31" s="154"/>
      <c r="FZ31" s="154"/>
      <c r="GA31" s="154"/>
      <c r="GB31" s="154"/>
      <c r="GC31" s="154"/>
      <c r="GD31" s="154"/>
      <c r="GE31" s="154"/>
      <c r="GF31" s="154"/>
      <c r="GG31" s="154"/>
      <c r="GH31" s="154"/>
      <c r="GI31" s="154"/>
      <c r="GJ31" s="154"/>
      <c r="GK31" s="154"/>
      <c r="GL31" s="154"/>
      <c r="GM31" s="154"/>
      <c r="GN31" s="154"/>
      <c r="GO31" s="154"/>
      <c r="GP31" s="154"/>
      <c r="GQ31" s="154"/>
      <c r="GR31" s="154"/>
      <c r="GS31" s="154"/>
      <c r="GT31" s="154"/>
      <c r="GU31" s="154"/>
      <c r="GV31" s="154"/>
      <c r="GW31" s="154"/>
      <c r="GX31" s="154"/>
      <c r="GY31" s="154"/>
      <c r="GZ31" s="154"/>
      <c r="HA31" s="154"/>
      <c r="HB31" s="154"/>
      <c r="HC31" s="154"/>
      <c r="HD31" s="154"/>
      <c r="HE31" s="154"/>
      <c r="HF31" s="154"/>
      <c r="HG31" s="154"/>
      <c r="HH31" s="154"/>
      <c r="HI31" s="154"/>
      <c r="HJ31" s="154"/>
      <c r="HK31" s="154"/>
      <c r="HL31" s="154"/>
      <c r="HM31" s="154"/>
      <c r="HN31" s="154"/>
      <c r="HO31" s="154"/>
      <c r="HP31" s="154"/>
      <c r="HQ31" s="154"/>
      <c r="HR31" s="154"/>
      <c r="HS31" s="154"/>
      <c r="HT31" s="154"/>
      <c r="HU31" s="154"/>
      <c r="HV31" s="154"/>
      <c r="HW31" s="154"/>
      <c r="HX31" s="154"/>
      <c r="HY31" s="154"/>
      <c r="HZ31" s="154"/>
      <c r="IA31" s="154"/>
      <c r="IB31" s="154"/>
      <c r="IC31" s="154"/>
      <c r="ID31" s="154"/>
      <c r="IE31" s="154"/>
      <c r="IF31" s="154"/>
      <c r="IG31" s="154"/>
      <c r="IH31" s="154"/>
      <c r="II31" s="154"/>
      <c r="IJ31" s="154"/>
      <c r="IK31" s="154"/>
      <c r="IL31" s="154"/>
      <c r="IM31" s="154"/>
      <c r="IN31" s="154"/>
      <c r="IO31" s="154"/>
      <c r="IP31" s="154"/>
      <c r="IQ31" s="154"/>
      <c r="IR31" s="154"/>
      <c r="IS31" s="154"/>
      <c r="IT31" s="154"/>
      <c r="IU31" s="154"/>
      <c r="IV31" s="154"/>
      <c r="IW31" s="154"/>
    </row>
    <row r="32" s="70" customFormat="true" ht="115" hidden="false" customHeight="true" outlineLevel="2" collapsed="false">
      <c r="A32" s="51" t="s">
        <v>1732</v>
      </c>
      <c r="B32" s="57"/>
      <c r="C32" s="57"/>
      <c r="D32" s="53" t="s">
        <v>1733</v>
      </c>
      <c r="E32" s="53" t="s">
        <v>89</v>
      </c>
      <c r="F32" s="54" t="n">
        <v>236.49</v>
      </c>
      <c r="G32" s="55"/>
      <c r="H32" s="56" t="str">
        <f aca="false">IF(ISBLANK(G32),"",IF(ISNUMBER(F32),ROUND(F32*G32,2),"Укажите цену"))</f>
        <v/>
      </c>
      <c r="I32" s="57" t="n">
        <v>195</v>
      </c>
      <c r="J32" s="57" t="n">
        <v>16.2</v>
      </c>
      <c r="K32" s="57" t="s">
        <v>1734</v>
      </c>
      <c r="L32" s="57" t="s">
        <v>91</v>
      </c>
      <c r="M32" s="57" t="s">
        <v>92</v>
      </c>
      <c r="N32" s="57" t="n">
        <v>75</v>
      </c>
      <c r="O32" s="57" t="s">
        <v>93</v>
      </c>
      <c r="P32" s="58" t="n">
        <v>0.133</v>
      </c>
      <c r="Q32" s="68" t="s">
        <v>1735</v>
      </c>
      <c r="R32" s="77" t="s">
        <v>1736</v>
      </c>
      <c r="S32" s="73" t="s">
        <v>96</v>
      </c>
      <c r="T32" s="61"/>
    </row>
    <row r="33" s="70" customFormat="true" ht="115" hidden="false" customHeight="true" outlineLevel="2" collapsed="false">
      <c r="A33" s="51" t="s">
        <v>1737</v>
      </c>
      <c r="B33" s="57"/>
      <c r="C33" s="57"/>
      <c r="D33" s="53" t="s">
        <v>1738</v>
      </c>
      <c r="E33" s="53" t="s">
        <v>89</v>
      </c>
      <c r="F33" s="54" t="n">
        <v>97.86</v>
      </c>
      <c r="G33" s="55"/>
      <c r="H33" s="56" t="str">
        <f aca="false">IF(ISBLANK(G33),"",IF(ISNUMBER(F33),ROUND(F33*G33,2),"Укажите цену"))</f>
        <v/>
      </c>
      <c r="I33" s="57" t="n">
        <v>64</v>
      </c>
      <c r="J33" s="57" t="n">
        <v>14.5</v>
      </c>
      <c r="K33" s="57" t="s">
        <v>1739</v>
      </c>
      <c r="L33" s="57" t="n">
        <v>48</v>
      </c>
      <c r="M33" s="57" t="s">
        <v>284</v>
      </c>
      <c r="N33" s="57" t="n">
        <v>192</v>
      </c>
      <c r="O33" s="57" t="s">
        <v>696</v>
      </c>
      <c r="P33" s="58" t="n">
        <v>0.095</v>
      </c>
      <c r="Q33" s="68" t="s">
        <v>1740</v>
      </c>
      <c r="R33" s="77" t="s">
        <v>1741</v>
      </c>
      <c r="S33" s="73" t="s">
        <v>96</v>
      </c>
      <c r="T33" s="61"/>
    </row>
    <row r="34" s="70" customFormat="true" ht="115" hidden="false" customHeight="true" outlineLevel="2" collapsed="false">
      <c r="A34" s="51" t="s">
        <v>1742</v>
      </c>
      <c r="B34" s="57"/>
      <c r="C34" s="57"/>
      <c r="D34" s="53" t="s">
        <v>1743</v>
      </c>
      <c r="E34" s="53" t="s">
        <v>89</v>
      </c>
      <c r="F34" s="54" t="n">
        <v>106.01</v>
      </c>
      <c r="G34" s="55"/>
      <c r="H34" s="56" t="str">
        <f aca="false">IF(ISBLANK(G34),"",IF(ISNUMBER(F34),ROUND(F34*G34,2),"Укажите цену"))</f>
        <v/>
      </c>
      <c r="I34" s="57" t="n">
        <v>69</v>
      </c>
      <c r="J34" s="57" t="n">
        <v>15.35</v>
      </c>
      <c r="K34" s="57" t="s">
        <v>1739</v>
      </c>
      <c r="L34" s="57" t="n">
        <v>48</v>
      </c>
      <c r="M34" s="57" t="s">
        <v>284</v>
      </c>
      <c r="N34" s="57" t="n">
        <v>192</v>
      </c>
      <c r="O34" s="57" t="s">
        <v>696</v>
      </c>
      <c r="P34" s="58" t="n">
        <v>0.095</v>
      </c>
      <c r="Q34" s="68" t="s">
        <v>1744</v>
      </c>
      <c r="R34" s="77" t="s">
        <v>1745</v>
      </c>
      <c r="S34" s="73" t="s">
        <v>96</v>
      </c>
      <c r="T34" s="61"/>
    </row>
    <row r="35" s="62" customFormat="true" ht="115" hidden="false" customHeight="true" outlineLevel="2" collapsed="false">
      <c r="A35" s="51" t="s">
        <v>1746</v>
      </c>
      <c r="B35" s="57"/>
      <c r="C35" s="57"/>
      <c r="D35" s="53" t="s">
        <v>1747</v>
      </c>
      <c r="E35" s="53" t="s">
        <v>1748</v>
      </c>
      <c r="F35" s="54" t="n">
        <v>260.95</v>
      </c>
      <c r="G35" s="55"/>
      <c r="H35" s="56" t="str">
        <f aca="false">IF(ISBLANK(G35),"",IF(ISNUMBER(F35),ROUND(F35*G35,2),"Укажите цену"))</f>
        <v/>
      </c>
      <c r="I35" s="57" t="n">
        <v>222</v>
      </c>
      <c r="J35" s="26" t="n">
        <v>19.7</v>
      </c>
      <c r="K35" s="57" t="s">
        <v>1749</v>
      </c>
      <c r="L35" s="57" t="s">
        <v>91</v>
      </c>
      <c r="M35" s="57" t="s">
        <v>92</v>
      </c>
      <c r="N35" s="57" t="n">
        <v>84</v>
      </c>
      <c r="O35" s="57" t="s">
        <v>696</v>
      </c>
      <c r="P35" s="58" t="n">
        <v>0.095</v>
      </c>
      <c r="Q35" s="59" t="s">
        <v>1750</v>
      </c>
      <c r="R35" s="77" t="s">
        <v>1751</v>
      </c>
      <c r="S35" s="73" t="s">
        <v>96</v>
      </c>
      <c r="T35" s="61"/>
      <c r="U35" s="87"/>
      <c r="V35" s="61"/>
      <c r="W35" s="61"/>
      <c r="X35" s="61"/>
      <c r="Y35" s="61"/>
      <c r="Z35" s="61"/>
    </row>
    <row r="36" s="62" customFormat="true" ht="115" hidden="false" customHeight="true" outlineLevel="2" collapsed="false">
      <c r="A36" s="51" t="s">
        <v>1752</v>
      </c>
      <c r="B36" s="57"/>
      <c r="C36" s="57"/>
      <c r="D36" s="53" t="s">
        <v>1753</v>
      </c>
      <c r="E36" s="53" t="s">
        <v>1748</v>
      </c>
      <c r="F36" s="54" t="n">
        <v>228.33</v>
      </c>
      <c r="G36" s="55"/>
      <c r="H36" s="56" t="str">
        <f aca="false">IF(ISBLANK(G36),"",IF(ISNUMBER(F36),ROUND(F36*G36,2),"Укажите цену"))</f>
        <v/>
      </c>
      <c r="I36" s="57" t="n">
        <v>108</v>
      </c>
      <c r="J36" s="26" t="n">
        <v>18.55</v>
      </c>
      <c r="K36" s="57" t="s">
        <v>1754</v>
      </c>
      <c r="L36" s="57" t="n">
        <v>38</v>
      </c>
      <c r="M36" s="57" t="s">
        <v>284</v>
      </c>
      <c r="N36" s="57" t="n">
        <v>152</v>
      </c>
      <c r="O36" s="57" t="s">
        <v>696</v>
      </c>
      <c r="P36" s="58" t="n">
        <v>0.095</v>
      </c>
      <c r="Q36" s="59" t="s">
        <v>1755</v>
      </c>
      <c r="R36" s="77" t="s">
        <v>1756</v>
      </c>
      <c r="S36" s="73" t="s">
        <v>96</v>
      </c>
      <c r="T36" s="61"/>
      <c r="U36" s="87"/>
      <c r="V36" s="61"/>
      <c r="W36" s="61"/>
      <c r="X36" s="61"/>
      <c r="Y36" s="61"/>
      <c r="Z36" s="61"/>
    </row>
    <row r="37" s="62" customFormat="true" ht="115" hidden="false" customHeight="true" outlineLevel="2" collapsed="false">
      <c r="A37" s="51" t="s">
        <v>1757</v>
      </c>
      <c r="B37" s="57"/>
      <c r="C37" s="57"/>
      <c r="D37" s="53" t="s">
        <v>1758</v>
      </c>
      <c r="E37" s="53" t="s">
        <v>89</v>
      </c>
      <c r="F37" s="54" t="n">
        <v>187.56</v>
      </c>
      <c r="G37" s="55"/>
      <c r="H37" s="56" t="str">
        <f aca="false">IF(ISBLANK(G37),"",IF(ISNUMBER(F37),ROUND(F37*G37,2),"Укажите цену"))</f>
        <v/>
      </c>
      <c r="I37" s="57" t="n">
        <v>229</v>
      </c>
      <c r="J37" s="26" t="n">
        <v>12.9</v>
      </c>
      <c r="K37" s="57" t="s">
        <v>1759</v>
      </c>
      <c r="L37" s="57" t="s">
        <v>91</v>
      </c>
      <c r="M37" s="57" t="s">
        <v>92</v>
      </c>
      <c r="N37" s="57" t="n">
        <v>52</v>
      </c>
      <c r="O37" s="57" t="s">
        <v>696</v>
      </c>
      <c r="P37" s="58" t="n">
        <v>0.095</v>
      </c>
      <c r="Q37" s="59" t="s">
        <v>1760</v>
      </c>
      <c r="R37" s="77" t="s">
        <v>1761</v>
      </c>
      <c r="S37" s="73" t="s">
        <v>96</v>
      </c>
      <c r="T37" s="61"/>
      <c r="U37" s="87"/>
      <c r="V37" s="61"/>
      <c r="W37" s="61"/>
      <c r="X37" s="61"/>
      <c r="Y37" s="61"/>
      <c r="Z37" s="61"/>
    </row>
    <row r="38" s="62" customFormat="true" ht="115" hidden="false" customHeight="true" outlineLevel="2" collapsed="false">
      <c r="A38" s="51" t="s">
        <v>1762</v>
      </c>
      <c r="B38" s="57"/>
      <c r="C38" s="57"/>
      <c r="D38" s="53" t="s">
        <v>1763</v>
      </c>
      <c r="E38" s="53" t="s">
        <v>89</v>
      </c>
      <c r="F38" s="54" t="n">
        <v>127.21</v>
      </c>
      <c r="G38" s="55"/>
      <c r="H38" s="56" t="str">
        <f aca="false">IF(ISBLANK(G38),"",IF(ISNUMBER(F38),ROUND(F38*G38,2),"Укажите цену"))</f>
        <v/>
      </c>
      <c r="I38" s="57" t="n">
        <v>124</v>
      </c>
      <c r="J38" s="26" t="n">
        <v>12.1</v>
      </c>
      <c r="K38" s="57" t="s">
        <v>1764</v>
      </c>
      <c r="L38" s="57" t="s">
        <v>91</v>
      </c>
      <c r="M38" s="57" t="s">
        <v>92</v>
      </c>
      <c r="N38" s="57" t="n">
        <v>90</v>
      </c>
      <c r="O38" s="57" t="s">
        <v>696</v>
      </c>
      <c r="P38" s="58" t="n">
        <v>0.095</v>
      </c>
      <c r="Q38" s="59" t="s">
        <v>1765</v>
      </c>
      <c r="R38" s="77" t="s">
        <v>1766</v>
      </c>
      <c r="S38" s="77" t="s">
        <v>1767</v>
      </c>
      <c r="T38" s="61"/>
      <c r="U38" s="87"/>
      <c r="V38" s="61"/>
      <c r="W38" s="61"/>
      <c r="X38" s="61"/>
      <c r="Y38" s="61"/>
      <c r="Z38" s="61"/>
    </row>
    <row r="39" s="61" customFormat="true" ht="115" hidden="false" customHeight="true" outlineLevel="2" collapsed="false">
      <c r="A39" s="51" t="s">
        <v>1768</v>
      </c>
      <c r="B39" s="57"/>
      <c r="C39" s="57"/>
      <c r="D39" s="53" t="s">
        <v>1769</v>
      </c>
      <c r="E39" s="53" t="s">
        <v>89</v>
      </c>
      <c r="F39" s="54" t="n">
        <v>220.18</v>
      </c>
      <c r="G39" s="55"/>
      <c r="H39" s="56" t="str">
        <f aca="false">IF(ISBLANK(G39),"",IF(ISNUMBER(F39),ROUND(F39*G39,2),"Укажите цену"))</f>
        <v/>
      </c>
      <c r="I39" s="57" t="n">
        <v>200</v>
      </c>
      <c r="J39" s="26" t="n">
        <v>16.9</v>
      </c>
      <c r="K39" s="57" t="s">
        <v>1770</v>
      </c>
      <c r="L39" s="57" t="s">
        <v>91</v>
      </c>
      <c r="M39" s="57" t="s">
        <v>92</v>
      </c>
      <c r="N39" s="57" t="n">
        <v>80</v>
      </c>
      <c r="O39" s="57" t="s">
        <v>696</v>
      </c>
      <c r="P39" s="58" t="n">
        <v>0.095</v>
      </c>
      <c r="Q39" s="59" t="s">
        <v>1771</v>
      </c>
      <c r="R39" s="77" t="s">
        <v>1772</v>
      </c>
      <c r="S39" s="73" t="s">
        <v>96</v>
      </c>
    </row>
    <row r="40" s="62" customFormat="true" ht="115" hidden="false" customHeight="true" outlineLevel="2" collapsed="false">
      <c r="A40" s="51" t="s">
        <v>1773</v>
      </c>
      <c r="B40" s="52"/>
      <c r="C40" s="57"/>
      <c r="D40" s="53" t="s">
        <v>1774</v>
      </c>
      <c r="E40" s="53" t="s">
        <v>89</v>
      </c>
      <c r="F40" s="54" t="n">
        <v>130.48</v>
      </c>
      <c r="G40" s="55"/>
      <c r="H40" s="56" t="str">
        <f aca="false">IF(ISBLANK(G40),"",IF(ISNUMBER(F40),ROUND(F40*G40,2),"Укажите цену"))</f>
        <v/>
      </c>
      <c r="I40" s="26" t="n">
        <v>85</v>
      </c>
      <c r="J40" s="26" t="n">
        <v>9.5</v>
      </c>
      <c r="K40" s="57" t="s">
        <v>1775</v>
      </c>
      <c r="L40" s="57" t="s">
        <v>91</v>
      </c>
      <c r="M40" s="57" t="s">
        <v>92</v>
      </c>
      <c r="N40" s="57" t="n">
        <v>99</v>
      </c>
      <c r="O40" s="57" t="s">
        <v>696</v>
      </c>
      <c r="P40" s="58" t="n">
        <v>0.095</v>
      </c>
      <c r="Q40" s="166" t="s">
        <v>1776</v>
      </c>
      <c r="R40" s="60" t="s">
        <v>1777</v>
      </c>
      <c r="S40" s="73" t="s">
        <v>96</v>
      </c>
      <c r="T40" s="61"/>
      <c r="U40" s="61"/>
      <c r="V40" s="61"/>
      <c r="W40" s="61"/>
      <c r="X40" s="61"/>
      <c r="Y40" s="61"/>
      <c r="Z40" s="61"/>
    </row>
    <row r="41" s="62" customFormat="true" ht="115" hidden="false" customHeight="true" outlineLevel="2" collapsed="false">
      <c r="A41" s="51" t="s">
        <v>1778</v>
      </c>
      <c r="B41" s="52"/>
      <c r="C41" s="57"/>
      <c r="D41" s="53" t="s">
        <v>1779</v>
      </c>
      <c r="E41" s="53" t="s">
        <v>89</v>
      </c>
      <c r="F41" s="54" t="n">
        <v>277.26</v>
      </c>
      <c r="G41" s="55"/>
      <c r="H41" s="56" t="str">
        <f aca="false">IF(ISBLANK(G41),"",IF(ISNUMBER(F41),ROUND(F41*G41,2),"Укажите цену"))</f>
        <v/>
      </c>
      <c r="I41" s="57" t="n">
        <v>245</v>
      </c>
      <c r="J41" s="57" t="n">
        <v>16.95</v>
      </c>
      <c r="K41" s="57" t="s">
        <v>1780</v>
      </c>
      <c r="L41" s="57" t="s">
        <v>91</v>
      </c>
      <c r="M41" s="57" t="s">
        <v>92</v>
      </c>
      <c r="N41" s="57" t="n">
        <v>63</v>
      </c>
      <c r="O41" s="57" t="s">
        <v>93</v>
      </c>
      <c r="P41" s="58" t="n">
        <v>0.133</v>
      </c>
      <c r="Q41" s="166" t="s">
        <v>1781</v>
      </c>
      <c r="R41" s="60" t="s">
        <v>1782</v>
      </c>
      <c r="S41" s="73" t="s">
        <v>96</v>
      </c>
      <c r="T41" s="61"/>
      <c r="U41" s="61"/>
      <c r="V41" s="61"/>
      <c r="W41" s="61"/>
      <c r="X41" s="61"/>
      <c r="Y41" s="61"/>
      <c r="Z41" s="61"/>
    </row>
    <row r="42" s="62" customFormat="true" ht="115" hidden="false" customHeight="true" outlineLevel="2" collapsed="false">
      <c r="A42" s="51" t="s">
        <v>1783</v>
      </c>
      <c r="B42" s="57"/>
      <c r="C42" s="57"/>
      <c r="D42" s="53" t="s">
        <v>1784</v>
      </c>
      <c r="E42" s="53" t="s">
        <v>89</v>
      </c>
      <c r="F42" s="54" t="n">
        <v>212.02</v>
      </c>
      <c r="G42" s="55"/>
      <c r="H42" s="56" t="str">
        <f aca="false">IF(ISBLANK(G42),"",IF(ISNUMBER(F42),ROUND(F42*G42,2),"Укажите цену"))</f>
        <v/>
      </c>
      <c r="I42" s="57" t="n">
        <v>145</v>
      </c>
      <c r="J42" s="57" t="n">
        <v>11.85</v>
      </c>
      <c r="K42" s="57" t="s">
        <v>1785</v>
      </c>
      <c r="L42" s="57" t="s">
        <v>91</v>
      </c>
      <c r="M42" s="57" t="s">
        <v>92</v>
      </c>
      <c r="N42" s="57" t="n">
        <v>75</v>
      </c>
      <c r="O42" s="57" t="s">
        <v>696</v>
      </c>
      <c r="P42" s="58" t="n">
        <v>0.095</v>
      </c>
      <c r="Q42" s="59" t="s">
        <v>1786</v>
      </c>
      <c r="R42" s="77" t="s">
        <v>1787</v>
      </c>
      <c r="S42" s="73" t="s">
        <v>96</v>
      </c>
      <c r="T42" s="61"/>
      <c r="U42" s="61"/>
      <c r="V42" s="61"/>
      <c r="W42" s="61"/>
      <c r="X42" s="61"/>
      <c r="Y42" s="61"/>
      <c r="Z42" s="61"/>
    </row>
    <row r="43" s="105" customFormat="true" ht="115" hidden="false" customHeight="true" outlineLevel="2" collapsed="false">
      <c r="A43" s="51" t="s">
        <v>1788</v>
      </c>
      <c r="B43" s="57"/>
      <c r="C43" s="57"/>
      <c r="D43" s="53" t="s">
        <v>1789</v>
      </c>
      <c r="E43" s="53" t="s">
        <v>89</v>
      </c>
      <c r="F43" s="54" t="n">
        <v>220.18</v>
      </c>
      <c r="G43" s="55"/>
      <c r="H43" s="56" t="str">
        <f aca="false">IF(ISBLANK(G43),"",IF(ISNUMBER(F43),ROUND(F43*G43,2),"Укажите цену"))</f>
        <v/>
      </c>
      <c r="I43" s="57" t="n">
        <v>241</v>
      </c>
      <c r="J43" s="26" t="n">
        <v>17.35</v>
      </c>
      <c r="K43" s="57" t="s">
        <v>1790</v>
      </c>
      <c r="L43" s="57" t="s">
        <v>91</v>
      </c>
      <c r="M43" s="57" t="s">
        <v>92</v>
      </c>
      <c r="N43" s="57" t="n">
        <v>68</v>
      </c>
      <c r="O43" s="57" t="s">
        <v>696</v>
      </c>
      <c r="P43" s="58" t="n">
        <v>0.095</v>
      </c>
      <c r="Q43" s="59" t="s">
        <v>1791</v>
      </c>
      <c r="R43" s="72" t="s">
        <v>1792</v>
      </c>
      <c r="S43" s="60" t="s">
        <v>1793</v>
      </c>
      <c r="T43" s="61"/>
    </row>
    <row r="44" s="34" customFormat="true" ht="115" hidden="false" customHeight="true" outlineLevel="2" collapsed="false">
      <c r="A44" s="51" t="s">
        <v>1794</v>
      </c>
      <c r="B44" s="57"/>
      <c r="C44" s="57"/>
      <c r="D44" s="53" t="s">
        <v>1795</v>
      </c>
      <c r="E44" s="53" t="s">
        <v>1796</v>
      </c>
      <c r="F44" s="54" t="n">
        <v>326.19</v>
      </c>
      <c r="G44" s="55"/>
      <c r="H44" s="56" t="str">
        <f aca="false">IF(ISBLANK(G44),"",IF(ISNUMBER(F44),ROUND(F44*G44,2),"Укажите цену"))</f>
        <v/>
      </c>
      <c r="I44" s="101" t="n">
        <v>234</v>
      </c>
      <c r="J44" s="76" t="n">
        <v>16.8</v>
      </c>
      <c r="K44" s="102" t="s">
        <v>1797</v>
      </c>
      <c r="L44" s="101" t="s">
        <v>91</v>
      </c>
      <c r="M44" s="57" t="s">
        <v>92</v>
      </c>
      <c r="N44" s="57" t="n">
        <v>64</v>
      </c>
      <c r="O44" s="57" t="s">
        <v>1215</v>
      </c>
      <c r="P44" s="58" t="n">
        <v>0.095</v>
      </c>
      <c r="Q44" s="68" t="s">
        <v>1798</v>
      </c>
      <c r="R44" s="60" t="s">
        <v>1799</v>
      </c>
      <c r="S44" s="73" t="s">
        <v>96</v>
      </c>
      <c r="T44" s="61"/>
    </row>
    <row r="45" s="34" customFormat="true" ht="115" hidden="false" customHeight="true" outlineLevel="2" collapsed="false">
      <c r="A45" s="51" t="s">
        <v>1800</v>
      </c>
      <c r="B45" s="57"/>
      <c r="C45" s="57"/>
      <c r="D45" s="53" t="s">
        <v>1801</v>
      </c>
      <c r="E45" s="53" t="s">
        <v>1802</v>
      </c>
      <c r="F45" s="54" t="n">
        <v>244.64</v>
      </c>
      <c r="G45" s="55"/>
      <c r="H45" s="56" t="str">
        <f aca="false">IF(ISBLANK(G45),"",IF(ISNUMBER(F45),ROUND(F45*G45,2),"Укажите цену"))</f>
        <v/>
      </c>
      <c r="I45" s="101" t="n">
        <v>238</v>
      </c>
      <c r="J45" s="76" t="n">
        <v>12.26</v>
      </c>
      <c r="K45" s="102" t="s">
        <v>1803</v>
      </c>
      <c r="L45" s="101" t="s">
        <v>91</v>
      </c>
      <c r="M45" s="57" t="s">
        <v>92</v>
      </c>
      <c r="N45" s="57" t="n">
        <v>48</v>
      </c>
      <c r="O45" s="57" t="s">
        <v>1804</v>
      </c>
      <c r="P45" s="58" t="n">
        <v>0.095</v>
      </c>
      <c r="Q45" s="68" t="s">
        <v>1805</v>
      </c>
      <c r="R45" s="60" t="s">
        <v>1806</v>
      </c>
      <c r="S45" s="77" t="s">
        <v>1807</v>
      </c>
      <c r="T45" s="61"/>
    </row>
    <row r="46" s="34" customFormat="true" ht="115" hidden="false" customHeight="true" outlineLevel="2" collapsed="false">
      <c r="A46" s="51" t="s">
        <v>1808</v>
      </c>
      <c r="B46" s="57"/>
      <c r="C46" s="57"/>
      <c r="D46" s="53" t="s">
        <v>1809</v>
      </c>
      <c r="E46" s="53" t="s">
        <v>89</v>
      </c>
      <c r="F46" s="54" t="n">
        <v>163.09</v>
      </c>
      <c r="G46" s="55"/>
      <c r="H46" s="56" t="str">
        <f aca="false">IF(ISBLANK(G46),"",IF(ISNUMBER(F46),ROUND(F46*G46,2),"Укажите цену"))</f>
        <v/>
      </c>
      <c r="I46" s="101" t="n">
        <v>88</v>
      </c>
      <c r="J46" s="76" t="n">
        <v>13.02</v>
      </c>
      <c r="K46" s="102" t="s">
        <v>1810</v>
      </c>
      <c r="L46" s="101" t="s">
        <v>91</v>
      </c>
      <c r="M46" s="57" t="s">
        <v>92</v>
      </c>
      <c r="N46" s="57" t="n">
        <v>140</v>
      </c>
      <c r="O46" s="57" t="s">
        <v>696</v>
      </c>
      <c r="P46" s="58" t="n">
        <v>0.095</v>
      </c>
      <c r="Q46" s="68" t="s">
        <v>1811</v>
      </c>
      <c r="R46" s="60" t="s">
        <v>1812</v>
      </c>
      <c r="S46" s="72" t="s">
        <v>1813</v>
      </c>
      <c r="T46" s="61"/>
    </row>
    <row r="47" s="34" customFormat="true" ht="115" hidden="false" customHeight="true" outlineLevel="2" collapsed="false">
      <c r="A47" s="51" t="s">
        <v>1814</v>
      </c>
      <c r="B47" s="57"/>
      <c r="C47" s="57"/>
      <c r="D47" s="53" t="s">
        <v>1815</v>
      </c>
      <c r="E47" s="53" t="s">
        <v>89</v>
      </c>
      <c r="F47" s="54" t="n">
        <v>228.33</v>
      </c>
      <c r="G47" s="55"/>
      <c r="H47" s="56" t="str">
        <f aca="false">IF(ISBLANK(G47),"",IF(ISNUMBER(F47),ROUND(F47*G47,2),"Укажите цену"))</f>
        <v/>
      </c>
      <c r="I47" s="101" t="n">
        <v>206</v>
      </c>
      <c r="J47" s="76" t="n">
        <v>15.91</v>
      </c>
      <c r="K47" s="102" t="s">
        <v>1816</v>
      </c>
      <c r="L47" s="101" t="s">
        <v>91</v>
      </c>
      <c r="M47" s="57" t="s">
        <v>92</v>
      </c>
      <c r="N47" s="57" t="n">
        <v>73</v>
      </c>
      <c r="O47" s="57" t="s">
        <v>696</v>
      </c>
      <c r="P47" s="58" t="n">
        <v>0.095</v>
      </c>
      <c r="Q47" s="68" t="s">
        <v>1817</v>
      </c>
      <c r="R47" s="60" t="s">
        <v>1818</v>
      </c>
      <c r="S47" s="73" t="s">
        <v>96</v>
      </c>
      <c r="T47" s="61"/>
    </row>
    <row r="48" s="34" customFormat="true" ht="115" hidden="false" customHeight="true" outlineLevel="2" collapsed="false">
      <c r="A48" s="51" t="s">
        <v>1819</v>
      </c>
      <c r="B48" s="57"/>
      <c r="C48" s="57"/>
      <c r="D48" s="53" t="s">
        <v>1820</v>
      </c>
      <c r="E48" s="53" t="s">
        <v>89</v>
      </c>
      <c r="F48" s="54" t="n">
        <v>228.33</v>
      </c>
      <c r="G48" s="55"/>
      <c r="H48" s="56" t="str">
        <f aca="false">IF(ISBLANK(G48),"",IF(ISNUMBER(F48),ROUND(F48*G48,2),"Укажите цену"))</f>
        <v/>
      </c>
      <c r="I48" s="101" t="n">
        <v>226</v>
      </c>
      <c r="J48" s="76" t="n">
        <v>13.6</v>
      </c>
      <c r="K48" s="102" t="s">
        <v>1821</v>
      </c>
      <c r="L48" s="101" t="s">
        <v>91</v>
      </c>
      <c r="M48" s="57" t="s">
        <v>92</v>
      </c>
      <c r="N48" s="57" t="n">
        <v>56</v>
      </c>
      <c r="O48" s="57" t="s">
        <v>696</v>
      </c>
      <c r="P48" s="58" t="n">
        <v>0.095</v>
      </c>
      <c r="Q48" s="68" t="s">
        <v>1822</v>
      </c>
      <c r="R48" s="60" t="s">
        <v>1823</v>
      </c>
      <c r="S48" s="73" t="s">
        <v>96</v>
      </c>
      <c r="T48" s="61"/>
    </row>
    <row r="49" s="34" customFormat="true" ht="115" hidden="false" customHeight="true" outlineLevel="2" collapsed="false">
      <c r="A49" s="51" t="s">
        <v>1824</v>
      </c>
      <c r="B49" s="57"/>
      <c r="C49" s="57"/>
      <c r="D49" s="53" t="s">
        <v>1825</v>
      </c>
      <c r="E49" s="53" t="s">
        <v>89</v>
      </c>
      <c r="F49" s="54" t="n">
        <v>244.64</v>
      </c>
      <c r="G49" s="55"/>
      <c r="H49" s="56" t="str">
        <f aca="false">IF(ISBLANK(G49),"",IF(ISNUMBER(F49),ROUND(F49*G49,2),"Укажите цену"))</f>
        <v/>
      </c>
      <c r="I49" s="101" t="n">
        <v>189</v>
      </c>
      <c r="J49" s="76" t="n">
        <v>12.2</v>
      </c>
      <c r="K49" s="102" t="s">
        <v>1826</v>
      </c>
      <c r="L49" s="101" t="s">
        <v>91</v>
      </c>
      <c r="M49" s="57" t="s">
        <v>92</v>
      </c>
      <c r="N49" s="57" t="n">
        <v>60</v>
      </c>
      <c r="O49" s="57" t="s">
        <v>696</v>
      </c>
      <c r="P49" s="58" t="n">
        <v>0.095</v>
      </c>
      <c r="Q49" s="68" t="s">
        <v>1827</v>
      </c>
      <c r="R49" s="60" t="s">
        <v>1828</v>
      </c>
      <c r="S49" s="73" t="s">
        <v>96</v>
      </c>
      <c r="T49" s="61"/>
    </row>
    <row r="50" s="34" customFormat="true" ht="110" hidden="false" customHeight="true" outlineLevel="2" collapsed="false">
      <c r="A50" s="51" t="s">
        <v>1829</v>
      </c>
      <c r="B50" s="57"/>
      <c r="C50" s="57"/>
      <c r="D50" s="53" t="s">
        <v>1830</v>
      </c>
      <c r="E50" s="53" t="s">
        <v>89</v>
      </c>
      <c r="F50" s="54" t="n">
        <v>125.58</v>
      </c>
      <c r="G50" s="55"/>
      <c r="H50" s="56" t="str">
        <f aca="false">IF(ISBLANK(G50),"",IF(ISNUMBER(F50),ROUND(F50*G50,2),"Укажите цену"))</f>
        <v/>
      </c>
      <c r="I50" s="57" t="n">
        <v>79</v>
      </c>
      <c r="J50" s="76" t="n">
        <v>11</v>
      </c>
      <c r="K50" s="57" t="s">
        <v>1831</v>
      </c>
      <c r="L50" s="57" t="s">
        <v>91</v>
      </c>
      <c r="M50" s="57" t="s">
        <v>92</v>
      </c>
      <c r="N50" s="57" t="n">
        <v>130</v>
      </c>
      <c r="O50" s="57" t="s">
        <v>696</v>
      </c>
      <c r="P50" s="58" t="n">
        <v>0.095</v>
      </c>
      <c r="Q50" s="59" t="s">
        <v>1832</v>
      </c>
      <c r="R50" s="60" t="s">
        <v>1833</v>
      </c>
      <c r="S50" s="73" t="s">
        <v>96</v>
      </c>
      <c r="T50" s="61"/>
    </row>
    <row r="51" s="34" customFormat="true" ht="110" hidden="false" customHeight="true" outlineLevel="2" collapsed="false">
      <c r="A51" s="51" t="s">
        <v>1834</v>
      </c>
      <c r="B51" s="75"/>
      <c r="C51" s="75"/>
      <c r="D51" s="53" t="s">
        <v>1835</v>
      </c>
      <c r="E51" s="53" t="s">
        <v>1836</v>
      </c>
      <c r="F51" s="54" t="n">
        <v>318.03</v>
      </c>
      <c r="G51" s="55"/>
      <c r="H51" s="56" t="str">
        <f aca="false">IF(ISBLANK(G51),"",IF(ISNUMBER(F51),ROUND(F51*G51,2),"Укажите цену"))</f>
        <v/>
      </c>
      <c r="I51" s="57" t="n">
        <v>161.5</v>
      </c>
      <c r="J51" s="76" t="n">
        <v>10.5</v>
      </c>
      <c r="K51" s="57" t="s">
        <v>1837</v>
      </c>
      <c r="L51" s="57" t="s">
        <v>91</v>
      </c>
      <c r="M51" s="26" t="s">
        <v>92</v>
      </c>
      <c r="N51" s="57" t="n">
        <v>60</v>
      </c>
      <c r="O51" s="57" t="s">
        <v>696</v>
      </c>
      <c r="P51" s="58" t="n">
        <v>0.095</v>
      </c>
      <c r="Q51" s="68" t="s">
        <v>1838</v>
      </c>
      <c r="R51" s="60" t="s">
        <v>1839</v>
      </c>
      <c r="S51" s="73" t="s">
        <v>96</v>
      </c>
      <c r="T51" s="61"/>
    </row>
    <row r="52" s="34" customFormat="true" ht="115" hidden="false" customHeight="true" outlineLevel="2" collapsed="false">
      <c r="A52" s="51" t="s">
        <v>1840</v>
      </c>
      <c r="B52" s="75"/>
      <c r="C52" s="75"/>
      <c r="D52" s="53" t="s">
        <v>1841</v>
      </c>
      <c r="E52" s="53" t="s">
        <v>89</v>
      </c>
      <c r="F52" s="54" t="n">
        <v>114.17</v>
      </c>
      <c r="G52" s="55"/>
      <c r="H52" s="56" t="str">
        <f aca="false">IF(ISBLANK(G52),"",IF(ISNUMBER(F52),ROUND(F52*G52,2),"Укажите цену"))</f>
        <v/>
      </c>
      <c r="I52" s="57" t="n">
        <v>61</v>
      </c>
      <c r="J52" s="76" t="n">
        <v>10.8</v>
      </c>
      <c r="K52" s="57" t="s">
        <v>1842</v>
      </c>
      <c r="L52" s="57" t="s">
        <v>91</v>
      </c>
      <c r="M52" s="26" t="s">
        <v>92</v>
      </c>
      <c r="N52" s="26" t="n">
        <v>160</v>
      </c>
      <c r="O52" s="57" t="s">
        <v>696</v>
      </c>
      <c r="P52" s="58" t="n">
        <v>0.095</v>
      </c>
      <c r="Q52" s="68" t="s">
        <v>1843</v>
      </c>
      <c r="R52" s="167" t="s">
        <v>1844</v>
      </c>
      <c r="S52" s="168" t="s">
        <v>1845</v>
      </c>
      <c r="T52" s="61"/>
    </row>
    <row r="53" s="34" customFormat="true" ht="115" hidden="false" customHeight="true" outlineLevel="2" collapsed="false">
      <c r="A53" s="51" t="s">
        <v>1846</v>
      </c>
      <c r="B53" s="75"/>
      <c r="C53" s="75"/>
      <c r="D53" s="53" t="s">
        <v>1847</v>
      </c>
      <c r="E53" s="53" t="s">
        <v>89</v>
      </c>
      <c r="F53" s="54" t="n">
        <v>106.01</v>
      </c>
      <c r="G53" s="55"/>
      <c r="H53" s="56" t="str">
        <f aca="false">IF(ISBLANK(G53),"",IF(ISNUMBER(F53),ROUND(F53*G53,2),"Укажите цену"))</f>
        <v/>
      </c>
      <c r="I53" s="57" t="n">
        <v>52</v>
      </c>
      <c r="J53" s="76" t="n">
        <v>15.82</v>
      </c>
      <c r="K53" s="57" t="s">
        <v>1848</v>
      </c>
      <c r="L53" s="57" t="s">
        <v>91</v>
      </c>
      <c r="M53" s="26" t="s">
        <v>92</v>
      </c>
      <c r="N53" s="26" t="n">
        <v>300</v>
      </c>
      <c r="O53" s="57" t="s">
        <v>285</v>
      </c>
      <c r="P53" s="58" t="n">
        <v>0.095</v>
      </c>
      <c r="Q53" s="68" t="s">
        <v>1849</v>
      </c>
      <c r="R53" s="167" t="s">
        <v>1850</v>
      </c>
      <c r="S53" s="73" t="s">
        <v>96</v>
      </c>
      <c r="T53" s="61"/>
    </row>
    <row r="54" customFormat="false" ht="30" hidden="false" customHeight="true" outlineLevel="1" collapsed="false">
      <c r="F54" s="109" t="s">
        <v>633</v>
      </c>
      <c r="G54" s="109"/>
      <c r="H54" s="109" t="n">
        <f aca="false">IF(COUNTIFS(H5:H53,"Укажите цену")&gt;0,"Укажите цены",SUM(H5:H53))</f>
        <v>0</v>
      </c>
    </row>
    <row r="55" customFormat="false" ht="50.1" hidden="false" customHeight="true" outlineLevel="0" collapsed="false">
      <c r="P55" s="169"/>
      <c r="T55" s="61"/>
    </row>
    <row r="56" customFormat="false" ht="50.1" hidden="false" customHeight="true" outlineLevel="0" collapsed="false">
      <c r="T56" s="61"/>
    </row>
    <row r="57" customFormat="false" ht="50.1" hidden="false" customHeight="true" outlineLevel="0" collapsed="false">
      <c r="T57" s="61"/>
    </row>
    <row r="58" customFormat="false" ht="50.1" hidden="false" customHeight="true" outlineLevel="0" collapsed="false">
      <c r="T58" s="61"/>
    </row>
    <row r="59" customFormat="false" ht="50.1" hidden="false" customHeight="true" outlineLevel="0" collapsed="false">
      <c r="T59" s="61"/>
    </row>
    <row r="60" customFormat="false" ht="50.1" hidden="false" customHeight="true" outlineLevel="0" collapsed="false">
      <c r="T60" s="61"/>
    </row>
    <row r="61" customFormat="false" ht="50.1" hidden="false" customHeight="true" outlineLevel="0" collapsed="false">
      <c r="T61" s="61"/>
    </row>
    <row r="62" customFormat="false" ht="50.1" hidden="false" customHeight="true" outlineLevel="0" collapsed="false">
      <c r="T62" s="61"/>
    </row>
    <row r="63" customFormat="false" ht="50.1" hidden="false" customHeight="true" outlineLevel="0" collapsed="false">
      <c r="T63" s="61"/>
    </row>
    <row r="64" customFormat="false" ht="50.1" hidden="false" customHeight="true" outlineLevel="0" collapsed="false">
      <c r="T64" s="61"/>
    </row>
    <row r="65" customFormat="false" ht="50.1" hidden="false" customHeight="true" outlineLevel="0" collapsed="false">
      <c r="T65" s="61"/>
    </row>
    <row r="66" customFormat="false" ht="50.1" hidden="false" customHeight="true" outlineLevel="0" collapsed="false">
      <c r="T66" s="61"/>
    </row>
    <row r="67" customFormat="false" ht="50.1" hidden="false" customHeight="true" outlineLevel="0" collapsed="false">
      <c r="T67" s="61"/>
    </row>
    <row r="68" customFormat="false" ht="50.1" hidden="false" customHeight="true" outlineLevel="0" collapsed="false">
      <c r="T68" s="61"/>
    </row>
    <row r="69" customFormat="false" ht="50.1" hidden="false" customHeight="true" outlineLevel="0" collapsed="false">
      <c r="T69" s="61"/>
    </row>
    <row r="70" customFormat="false" ht="50.1" hidden="false" customHeight="true" outlineLevel="0" collapsed="false">
      <c r="T70" s="61"/>
    </row>
    <row r="71" customFormat="false" ht="50.1" hidden="false" customHeight="true" outlineLevel="0" collapsed="false">
      <c r="T71" s="61"/>
    </row>
    <row r="72" customFormat="false" ht="50.1" hidden="false" customHeight="true" outlineLevel="0" collapsed="false">
      <c r="T72" s="61"/>
    </row>
    <row r="73" customFormat="false" ht="50.1" hidden="false" customHeight="true" outlineLevel="0" collapsed="false">
      <c r="T73" s="61"/>
    </row>
    <row r="74" customFormat="false" ht="50.1" hidden="false" customHeight="true" outlineLevel="0" collapsed="false">
      <c r="T74" s="61"/>
    </row>
    <row r="75" customFormat="false" ht="50.1" hidden="false" customHeight="true" outlineLevel="0" collapsed="false">
      <c r="T75" s="61"/>
    </row>
    <row r="76" customFormat="false" ht="50.1" hidden="false" customHeight="true" outlineLevel="0" collapsed="false">
      <c r="T76" s="61"/>
    </row>
    <row r="77" customFormat="false" ht="50.1" hidden="false" customHeight="true" outlineLevel="0" collapsed="false">
      <c r="T77" s="61"/>
    </row>
    <row r="78" customFormat="false" ht="50.1" hidden="false" customHeight="true" outlineLevel="0" collapsed="false">
      <c r="T78" s="61"/>
    </row>
    <row r="79" customFormat="false" ht="50.1" hidden="false" customHeight="true" outlineLevel="0" collapsed="false">
      <c r="T79" s="61"/>
    </row>
    <row r="80" customFormat="false" ht="50.1" hidden="false" customHeight="true" outlineLevel="0" collapsed="false">
      <c r="T80" s="61"/>
    </row>
    <row r="81" customFormat="false" ht="50.1" hidden="false" customHeight="true" outlineLevel="0" collapsed="false">
      <c r="T81" s="61"/>
    </row>
    <row r="82" customFormat="false" ht="50.1" hidden="false" customHeight="true" outlineLevel="0" collapsed="false">
      <c r="T82" s="61"/>
    </row>
    <row r="83" customFormat="false" ht="50.1" hidden="false" customHeight="true" outlineLevel="0" collapsed="false">
      <c r="T83" s="61"/>
    </row>
    <row r="84" customFormat="false" ht="50.1" hidden="false" customHeight="true" outlineLevel="0" collapsed="false">
      <c r="T84" s="61"/>
    </row>
    <row r="85" customFormat="false" ht="50.1" hidden="false" customHeight="true" outlineLevel="0" collapsed="false">
      <c r="T85" s="61"/>
    </row>
    <row r="86" customFormat="false" ht="50.1" hidden="false" customHeight="true" outlineLevel="0" collapsed="false">
      <c r="T86" s="61"/>
    </row>
    <row r="87" customFormat="false" ht="50.1" hidden="false" customHeight="true" outlineLevel="0" collapsed="false">
      <c r="T87" s="61"/>
    </row>
    <row r="88" customFormat="false" ht="50.1" hidden="false" customHeight="true" outlineLevel="0" collapsed="false">
      <c r="T88" s="61"/>
    </row>
    <row r="89" customFormat="false" ht="50.1" hidden="false" customHeight="true" outlineLevel="0" collapsed="false">
      <c r="T89" s="61"/>
    </row>
    <row r="90" customFormat="false" ht="50.1" hidden="false" customHeight="true" outlineLevel="0" collapsed="false">
      <c r="T90" s="61"/>
    </row>
    <row r="91" customFormat="false" ht="50.1" hidden="false" customHeight="true" outlineLevel="0" collapsed="false">
      <c r="T91" s="61"/>
    </row>
    <row r="92" customFormat="false" ht="50.1" hidden="false" customHeight="true" outlineLevel="0" collapsed="false">
      <c r="T92" s="61"/>
    </row>
    <row r="93" customFormat="false" ht="50.1" hidden="false" customHeight="true" outlineLevel="0" collapsed="false">
      <c r="T93" s="61"/>
    </row>
    <row r="94" customFormat="false" ht="50.1" hidden="false" customHeight="true" outlineLevel="0" collapsed="false">
      <c r="T94" s="61"/>
    </row>
    <row r="95" customFormat="false" ht="50.1" hidden="false" customHeight="true" outlineLevel="0" collapsed="false">
      <c r="T95" s="61"/>
    </row>
    <row r="96" customFormat="false" ht="50.1" hidden="false" customHeight="true" outlineLevel="0" collapsed="false">
      <c r="T96" s="61"/>
    </row>
    <row r="97" customFormat="false" ht="50.1" hidden="false" customHeight="true" outlineLevel="0" collapsed="false">
      <c r="T97" s="61"/>
    </row>
    <row r="98" customFormat="false" ht="50.1" hidden="false" customHeight="true" outlineLevel="0" collapsed="false">
      <c r="T98" s="61"/>
    </row>
    <row r="99" customFormat="false" ht="50.1" hidden="false" customHeight="true" outlineLevel="0" collapsed="false">
      <c r="T99" s="61"/>
    </row>
    <row r="100" customFormat="false" ht="50.1" hidden="false" customHeight="true" outlineLevel="0" collapsed="false">
      <c r="T100" s="61"/>
    </row>
    <row r="101" customFormat="false" ht="50.1" hidden="false" customHeight="true" outlineLevel="0" collapsed="false">
      <c r="T101" s="61"/>
    </row>
    <row r="102" customFormat="false" ht="50.1" hidden="false" customHeight="true" outlineLevel="0" collapsed="false">
      <c r="T102" s="61"/>
    </row>
    <row r="103" customFormat="false" ht="50.1" hidden="false" customHeight="true" outlineLevel="0" collapsed="false">
      <c r="T103" s="61"/>
    </row>
    <row r="104" customFormat="false" ht="50.1" hidden="false" customHeight="true" outlineLevel="0" collapsed="false">
      <c r="T104" s="61"/>
    </row>
    <row r="105" customFormat="false" ht="50.1" hidden="false" customHeight="true" outlineLevel="0" collapsed="false">
      <c r="T105" s="61"/>
    </row>
    <row r="106" customFormat="false" ht="50.1" hidden="false" customHeight="true" outlineLevel="0" collapsed="false">
      <c r="T106" s="61"/>
    </row>
    <row r="107" customFormat="false" ht="50.1" hidden="false" customHeight="true" outlineLevel="0" collapsed="false">
      <c r="T107" s="61"/>
    </row>
    <row r="108" customFormat="false" ht="50.1" hidden="false" customHeight="true" outlineLevel="0" collapsed="false">
      <c r="T108" s="61"/>
    </row>
    <row r="109" customFormat="false" ht="50.1" hidden="false" customHeight="true" outlineLevel="0" collapsed="false">
      <c r="T109" s="61"/>
    </row>
    <row r="110" customFormat="false" ht="50.1" hidden="false" customHeight="true" outlineLevel="0" collapsed="false">
      <c r="T110" s="61"/>
    </row>
    <row r="111" customFormat="false" ht="50.1" hidden="false" customHeight="true" outlineLevel="0" collapsed="false">
      <c r="T111" s="61"/>
    </row>
    <row r="112" customFormat="false" ht="50.1" hidden="false" customHeight="true" outlineLevel="0" collapsed="false">
      <c r="T112" s="61"/>
    </row>
    <row r="113" customFormat="false" ht="50.1" hidden="false" customHeight="true" outlineLevel="0" collapsed="false">
      <c r="T113" s="61"/>
    </row>
    <row r="114" customFormat="false" ht="50.1" hidden="false" customHeight="true" outlineLevel="0" collapsed="false">
      <c r="T114" s="61"/>
    </row>
    <row r="115" customFormat="false" ht="50.1" hidden="false" customHeight="true" outlineLevel="0" collapsed="false">
      <c r="T115" s="61"/>
    </row>
    <row r="116" customFormat="false" ht="50.1" hidden="false" customHeight="true" outlineLevel="0" collapsed="false">
      <c r="T116" s="61"/>
    </row>
    <row r="117" customFormat="false" ht="50.1" hidden="false" customHeight="true" outlineLevel="0" collapsed="false">
      <c r="T117" s="61"/>
    </row>
    <row r="118" customFormat="false" ht="50.1" hidden="false" customHeight="true" outlineLevel="0" collapsed="false">
      <c r="T118" s="61"/>
    </row>
    <row r="119" customFormat="false" ht="50.1" hidden="false" customHeight="true" outlineLevel="0" collapsed="false">
      <c r="T119" s="61"/>
    </row>
    <row r="120" customFormat="false" ht="50.1" hidden="false" customHeight="true" outlineLevel="0" collapsed="false">
      <c r="T120" s="61"/>
    </row>
    <row r="121" customFormat="false" ht="50.1" hidden="false" customHeight="true" outlineLevel="0" collapsed="false">
      <c r="T121" s="61"/>
    </row>
    <row r="122" customFormat="false" ht="50.1" hidden="false" customHeight="true" outlineLevel="0" collapsed="false">
      <c r="T122" s="61"/>
    </row>
    <row r="123" customFormat="false" ht="50.1" hidden="false" customHeight="true" outlineLevel="0" collapsed="false">
      <c r="T123" s="61"/>
    </row>
    <row r="124" customFormat="false" ht="50.1" hidden="false" customHeight="true" outlineLevel="0" collapsed="false">
      <c r="T124" s="61"/>
    </row>
    <row r="125" customFormat="false" ht="50.1" hidden="false" customHeight="true" outlineLevel="0" collapsed="false">
      <c r="T125" s="61"/>
    </row>
    <row r="126" customFormat="false" ht="50.1" hidden="false" customHeight="true" outlineLevel="0" collapsed="false">
      <c r="T126" s="61"/>
    </row>
    <row r="127" customFormat="false" ht="50.1" hidden="false" customHeight="true" outlineLevel="0" collapsed="false">
      <c r="T127" s="61"/>
    </row>
    <row r="128" customFormat="false" ht="50.1" hidden="false" customHeight="true" outlineLevel="0" collapsed="false">
      <c r="T128" s="61"/>
    </row>
    <row r="129" customFormat="false" ht="50.1" hidden="false" customHeight="true" outlineLevel="0" collapsed="false">
      <c r="T129" s="61"/>
    </row>
    <row r="130" customFormat="false" ht="50.1" hidden="false" customHeight="true" outlineLevel="0" collapsed="false">
      <c r="T130" s="61"/>
    </row>
    <row r="131" customFormat="false" ht="50.1" hidden="false" customHeight="true" outlineLevel="0" collapsed="false">
      <c r="T131" s="61"/>
    </row>
    <row r="132" customFormat="false" ht="50.1" hidden="false" customHeight="true" outlineLevel="0" collapsed="false">
      <c r="T132" s="61"/>
    </row>
    <row r="133" customFormat="false" ht="50.1" hidden="false" customHeight="true" outlineLevel="0" collapsed="false">
      <c r="T133" s="61"/>
    </row>
    <row r="134" customFormat="false" ht="50.1" hidden="false" customHeight="true" outlineLevel="0" collapsed="false">
      <c r="T134" s="61"/>
    </row>
    <row r="135" customFormat="false" ht="50.1" hidden="false" customHeight="true" outlineLevel="0" collapsed="false">
      <c r="T135" s="61"/>
    </row>
    <row r="136" customFormat="false" ht="50.1" hidden="false" customHeight="true" outlineLevel="0" collapsed="false">
      <c r="T136" s="61"/>
    </row>
    <row r="137" customFormat="false" ht="50.1" hidden="false" customHeight="true" outlineLevel="0" collapsed="false">
      <c r="T137" s="61"/>
    </row>
    <row r="138" customFormat="false" ht="50.1" hidden="false" customHeight="true" outlineLevel="0" collapsed="false">
      <c r="T138" s="61"/>
    </row>
    <row r="139" customFormat="false" ht="50.1" hidden="false" customHeight="true" outlineLevel="0" collapsed="false">
      <c r="T139" s="61"/>
    </row>
    <row r="140" customFormat="false" ht="50.1" hidden="false" customHeight="true" outlineLevel="0" collapsed="false">
      <c r="T140" s="61"/>
    </row>
    <row r="141" customFormat="false" ht="50.1" hidden="false" customHeight="true" outlineLevel="0" collapsed="false">
      <c r="T141" s="61"/>
    </row>
    <row r="142" customFormat="false" ht="50.1" hidden="false" customHeight="true" outlineLevel="0" collapsed="false">
      <c r="T142" s="61"/>
    </row>
    <row r="143" customFormat="false" ht="50.1" hidden="false" customHeight="true" outlineLevel="0" collapsed="false">
      <c r="T143" s="61"/>
    </row>
    <row r="144" customFormat="false" ht="50.1" hidden="false" customHeight="true" outlineLevel="0" collapsed="false">
      <c r="T144" s="61"/>
    </row>
    <row r="145" customFormat="false" ht="50.1" hidden="false" customHeight="true" outlineLevel="0" collapsed="false">
      <c r="T145" s="61"/>
    </row>
    <row r="146" customFormat="false" ht="50.1" hidden="false" customHeight="true" outlineLevel="0" collapsed="false">
      <c r="T146" s="61"/>
    </row>
    <row r="147" customFormat="false" ht="50.1" hidden="false" customHeight="true" outlineLevel="0" collapsed="false">
      <c r="T147" s="61"/>
    </row>
    <row r="148" customFormat="false" ht="50.1" hidden="false" customHeight="true" outlineLevel="0" collapsed="false">
      <c r="T148" s="61"/>
    </row>
    <row r="149" customFormat="false" ht="50.1" hidden="false" customHeight="true" outlineLevel="0" collapsed="false">
      <c r="T149" s="61"/>
    </row>
    <row r="150" customFormat="false" ht="50.1" hidden="false" customHeight="true" outlineLevel="0" collapsed="false">
      <c r="T150" s="61"/>
    </row>
    <row r="151" customFormat="false" ht="50.1" hidden="false" customHeight="true" outlineLevel="0" collapsed="false">
      <c r="T151" s="61"/>
    </row>
    <row r="152" customFormat="false" ht="50.1" hidden="false" customHeight="true" outlineLevel="0" collapsed="false">
      <c r="T152" s="61"/>
    </row>
    <row r="153" customFormat="false" ht="50.1" hidden="false" customHeight="true" outlineLevel="0" collapsed="false">
      <c r="T153" s="61"/>
    </row>
    <row r="154" customFormat="false" ht="50.1" hidden="false" customHeight="true" outlineLevel="0" collapsed="false">
      <c r="T154" s="61"/>
    </row>
    <row r="155" customFormat="false" ht="50.1" hidden="false" customHeight="true" outlineLevel="0" collapsed="false">
      <c r="T155" s="61"/>
    </row>
    <row r="156" customFormat="false" ht="50.1" hidden="false" customHeight="true" outlineLevel="0" collapsed="false">
      <c r="T156" s="61"/>
    </row>
    <row r="157" customFormat="false" ht="50.1" hidden="false" customHeight="true" outlineLevel="0" collapsed="false">
      <c r="T157" s="61"/>
    </row>
    <row r="158" customFormat="false" ht="50.1" hidden="false" customHeight="true" outlineLevel="0" collapsed="false">
      <c r="T158" s="61"/>
    </row>
    <row r="159" customFormat="false" ht="50.1" hidden="false" customHeight="true" outlineLevel="0" collapsed="false">
      <c r="T159" s="61"/>
    </row>
    <row r="160" customFormat="false" ht="50.1" hidden="false" customHeight="true" outlineLevel="0" collapsed="false">
      <c r="T160" s="61"/>
    </row>
    <row r="161" customFormat="false" ht="50.1" hidden="false" customHeight="true" outlineLevel="0" collapsed="false">
      <c r="T161" s="61"/>
    </row>
    <row r="162" customFormat="false" ht="50.1" hidden="false" customHeight="true" outlineLevel="0" collapsed="false">
      <c r="T162" s="61"/>
    </row>
    <row r="163" customFormat="false" ht="50.1" hidden="false" customHeight="true" outlineLevel="0" collapsed="false">
      <c r="T163" s="61"/>
    </row>
    <row r="164" customFormat="false" ht="50.1" hidden="false" customHeight="true" outlineLevel="0" collapsed="false">
      <c r="T164" s="61"/>
    </row>
    <row r="165" customFormat="false" ht="50.1" hidden="false" customHeight="true" outlineLevel="0" collapsed="false">
      <c r="T165" s="61"/>
    </row>
    <row r="166" customFormat="false" ht="50.1" hidden="false" customHeight="true" outlineLevel="0" collapsed="false">
      <c r="T166" s="61"/>
    </row>
    <row r="167" customFormat="false" ht="50.1" hidden="false" customHeight="true" outlineLevel="0" collapsed="false">
      <c r="T167" s="61"/>
    </row>
    <row r="168" customFormat="false" ht="50.1" hidden="false" customHeight="true" outlineLevel="0" collapsed="false">
      <c r="T168" s="61"/>
    </row>
    <row r="169" customFormat="false" ht="50.1" hidden="false" customHeight="true" outlineLevel="0" collapsed="false">
      <c r="T169" s="61"/>
    </row>
    <row r="170" customFormat="false" ht="50.1" hidden="false" customHeight="true" outlineLevel="0" collapsed="false">
      <c r="T170" s="61"/>
    </row>
    <row r="171" customFormat="false" ht="50.1" hidden="false" customHeight="true" outlineLevel="0" collapsed="false">
      <c r="T171" s="61"/>
    </row>
    <row r="172" customFormat="false" ht="50.1" hidden="false" customHeight="true" outlineLevel="0" collapsed="false">
      <c r="T172" s="61"/>
    </row>
    <row r="173" customFormat="false" ht="50.1" hidden="false" customHeight="true" outlineLevel="0" collapsed="false">
      <c r="T173" s="61"/>
    </row>
    <row r="174" customFormat="false" ht="50.1" hidden="false" customHeight="true" outlineLevel="0" collapsed="false">
      <c r="T174" s="61"/>
    </row>
    <row r="175" customFormat="false" ht="50.1" hidden="false" customHeight="true" outlineLevel="0" collapsed="false">
      <c r="T175" s="61"/>
    </row>
    <row r="176" customFormat="false" ht="50.1" hidden="false" customHeight="true" outlineLevel="0" collapsed="false">
      <c r="T176" s="61"/>
    </row>
    <row r="177" customFormat="false" ht="50.1" hidden="false" customHeight="true" outlineLevel="0" collapsed="false">
      <c r="T177" s="61"/>
    </row>
    <row r="178" customFormat="false" ht="50.1" hidden="false" customHeight="true" outlineLevel="0" collapsed="false">
      <c r="T178" s="61"/>
    </row>
    <row r="179" customFormat="false" ht="50.1" hidden="false" customHeight="true" outlineLevel="0" collapsed="false">
      <c r="T179" s="61"/>
    </row>
    <row r="180" customFormat="false" ht="50.1" hidden="false" customHeight="true" outlineLevel="0" collapsed="false">
      <c r="T180" s="61"/>
    </row>
    <row r="181" customFormat="false" ht="50.1" hidden="false" customHeight="true" outlineLevel="0" collapsed="false">
      <c r="T181" s="61"/>
    </row>
    <row r="182" customFormat="false" ht="50.1" hidden="false" customHeight="true" outlineLevel="0" collapsed="false">
      <c r="T182" s="61"/>
    </row>
    <row r="183" customFormat="false" ht="50.1" hidden="false" customHeight="true" outlineLevel="0" collapsed="false">
      <c r="T183" s="61"/>
    </row>
    <row r="184" customFormat="false" ht="50.1" hidden="false" customHeight="true" outlineLevel="0" collapsed="false">
      <c r="T184" s="61"/>
    </row>
    <row r="185" customFormat="false" ht="50.1" hidden="false" customHeight="true" outlineLevel="0" collapsed="false">
      <c r="T185" s="61"/>
    </row>
    <row r="186" customFormat="false" ht="50.1" hidden="false" customHeight="true" outlineLevel="0" collapsed="false">
      <c r="T186" s="61"/>
    </row>
    <row r="187" customFormat="false" ht="50.1" hidden="false" customHeight="true" outlineLevel="0" collapsed="false">
      <c r="T187" s="61"/>
    </row>
    <row r="188" customFormat="false" ht="50.1" hidden="false" customHeight="true" outlineLevel="0" collapsed="false">
      <c r="T188" s="61"/>
    </row>
    <row r="189" customFormat="false" ht="50.1" hidden="false" customHeight="true" outlineLevel="0" collapsed="false">
      <c r="T189" s="61"/>
    </row>
    <row r="190" customFormat="false" ht="50.1" hidden="false" customHeight="true" outlineLevel="0" collapsed="false">
      <c r="T190" s="61"/>
    </row>
    <row r="191" customFormat="false" ht="50.1" hidden="false" customHeight="true" outlineLevel="0" collapsed="false">
      <c r="T191" s="61"/>
    </row>
    <row r="192" customFormat="false" ht="50.1" hidden="false" customHeight="true" outlineLevel="0" collapsed="false">
      <c r="T192" s="61"/>
    </row>
    <row r="193" customFormat="false" ht="50.1" hidden="false" customHeight="true" outlineLevel="0" collapsed="false">
      <c r="T193" s="61"/>
    </row>
    <row r="194" customFormat="false" ht="50.1" hidden="false" customHeight="true" outlineLevel="0" collapsed="false">
      <c r="T194" s="61"/>
    </row>
    <row r="195" customFormat="false" ht="50.1" hidden="false" customHeight="true" outlineLevel="0" collapsed="false">
      <c r="T195" s="61"/>
    </row>
    <row r="196" customFormat="false" ht="50.1" hidden="false" customHeight="true" outlineLevel="0" collapsed="false">
      <c r="T196" s="61"/>
    </row>
    <row r="197" customFormat="false" ht="50.1" hidden="false" customHeight="true" outlineLevel="0" collapsed="false">
      <c r="T197" s="61"/>
    </row>
    <row r="198" customFormat="false" ht="50.1" hidden="false" customHeight="true" outlineLevel="0" collapsed="false">
      <c r="T198" s="61"/>
    </row>
    <row r="199" customFormat="false" ht="50.1" hidden="false" customHeight="true" outlineLevel="0" collapsed="false">
      <c r="T199" s="61"/>
    </row>
    <row r="200" customFormat="false" ht="50.1" hidden="false" customHeight="true" outlineLevel="0" collapsed="false">
      <c r="T200" s="61"/>
    </row>
    <row r="201" customFormat="false" ht="50.1" hidden="false" customHeight="true" outlineLevel="0" collapsed="false">
      <c r="T201" s="61"/>
    </row>
    <row r="202" customFormat="false" ht="50.1" hidden="false" customHeight="true" outlineLevel="0" collapsed="false">
      <c r="T202" s="61"/>
    </row>
    <row r="203" customFormat="false" ht="50.1" hidden="false" customHeight="true" outlineLevel="0" collapsed="false">
      <c r="T203" s="61"/>
    </row>
    <row r="204" customFormat="false" ht="50.1" hidden="false" customHeight="true" outlineLevel="0" collapsed="false">
      <c r="T204" s="61"/>
    </row>
    <row r="205" customFormat="false" ht="50.1" hidden="false" customHeight="true" outlineLevel="0" collapsed="false">
      <c r="T205" s="61"/>
    </row>
    <row r="206" customFormat="false" ht="50.1" hidden="false" customHeight="true" outlineLevel="0" collapsed="false">
      <c r="T206" s="61"/>
    </row>
    <row r="207" customFormat="false" ht="50.1" hidden="false" customHeight="true" outlineLevel="0" collapsed="false">
      <c r="T207" s="61"/>
    </row>
    <row r="208" customFormat="false" ht="50.1" hidden="false" customHeight="true" outlineLevel="0" collapsed="false">
      <c r="T208" s="61"/>
    </row>
    <row r="209" customFormat="false" ht="50.1" hidden="false" customHeight="true" outlineLevel="0" collapsed="false">
      <c r="T209" s="61"/>
    </row>
    <row r="210" customFormat="false" ht="50.1" hidden="false" customHeight="true" outlineLevel="0" collapsed="false">
      <c r="T210" s="61"/>
    </row>
    <row r="211" customFormat="false" ht="50.1" hidden="false" customHeight="true" outlineLevel="0" collapsed="false">
      <c r="T211" s="61"/>
    </row>
    <row r="212" customFormat="false" ht="50.1" hidden="false" customHeight="true" outlineLevel="0" collapsed="false">
      <c r="T212" s="61"/>
    </row>
    <row r="213" customFormat="false" ht="50.1" hidden="false" customHeight="true" outlineLevel="0" collapsed="false">
      <c r="T213" s="61"/>
    </row>
    <row r="214" customFormat="false" ht="50.1" hidden="false" customHeight="true" outlineLevel="0" collapsed="false">
      <c r="T214" s="61"/>
    </row>
    <row r="215" customFormat="false" ht="50.1" hidden="false" customHeight="true" outlineLevel="0" collapsed="false">
      <c r="T215" s="61"/>
    </row>
    <row r="216" customFormat="false" ht="50.1" hidden="false" customHeight="true" outlineLevel="0" collapsed="false">
      <c r="T216" s="61"/>
    </row>
    <row r="217" customFormat="false" ht="50.1" hidden="false" customHeight="true" outlineLevel="0" collapsed="false">
      <c r="T217" s="61"/>
    </row>
    <row r="218" customFormat="false" ht="50.1" hidden="false" customHeight="true" outlineLevel="0" collapsed="false">
      <c r="T218" s="61"/>
    </row>
    <row r="219" customFormat="false" ht="50.1" hidden="false" customHeight="true" outlineLevel="0" collapsed="false">
      <c r="T219" s="61"/>
    </row>
    <row r="220" customFormat="false" ht="50.1" hidden="false" customHeight="true" outlineLevel="0" collapsed="false">
      <c r="T220" s="61"/>
    </row>
    <row r="221" customFormat="false" ht="50.1" hidden="false" customHeight="true" outlineLevel="0" collapsed="false">
      <c r="T221" s="61"/>
    </row>
    <row r="222" customFormat="false" ht="50.1" hidden="false" customHeight="true" outlineLevel="0" collapsed="false">
      <c r="T222" s="61"/>
    </row>
    <row r="223" customFormat="false" ht="50.1" hidden="false" customHeight="true" outlineLevel="0" collapsed="false">
      <c r="T223" s="61"/>
    </row>
    <row r="224" customFormat="false" ht="50.1" hidden="false" customHeight="true" outlineLevel="0" collapsed="false">
      <c r="T224" s="61"/>
    </row>
    <row r="225" customFormat="false" ht="50.1" hidden="false" customHeight="true" outlineLevel="0" collapsed="false">
      <c r="T225" s="61"/>
    </row>
    <row r="226" customFormat="false" ht="50.1" hidden="false" customHeight="true" outlineLevel="0" collapsed="false">
      <c r="T226" s="61"/>
    </row>
    <row r="227" customFormat="false" ht="50.1" hidden="false" customHeight="true" outlineLevel="0" collapsed="false">
      <c r="T227" s="61"/>
    </row>
    <row r="228" customFormat="false" ht="50.1" hidden="false" customHeight="true" outlineLevel="0" collapsed="false">
      <c r="T228" s="61"/>
    </row>
    <row r="229" customFormat="false" ht="50.1" hidden="false" customHeight="true" outlineLevel="0" collapsed="false">
      <c r="T229" s="61"/>
    </row>
    <row r="230" customFormat="false" ht="50.1" hidden="false" customHeight="true" outlineLevel="0" collapsed="false">
      <c r="T230" s="61"/>
    </row>
    <row r="231" customFormat="false" ht="50.1" hidden="false" customHeight="true" outlineLevel="0" collapsed="false">
      <c r="T231" s="61"/>
    </row>
    <row r="232" customFormat="false" ht="50.1" hidden="false" customHeight="true" outlineLevel="0" collapsed="false">
      <c r="T232" s="61"/>
    </row>
    <row r="233" customFormat="false" ht="50.1" hidden="false" customHeight="true" outlineLevel="0" collapsed="false">
      <c r="T233" s="61"/>
    </row>
    <row r="234" customFormat="false" ht="50.1" hidden="false" customHeight="true" outlineLevel="0" collapsed="false">
      <c r="T234" s="61"/>
    </row>
    <row r="235" customFormat="false" ht="50.1" hidden="false" customHeight="true" outlineLevel="0" collapsed="false">
      <c r="T235" s="61"/>
    </row>
    <row r="236" customFormat="false" ht="50.1" hidden="false" customHeight="true" outlineLevel="0" collapsed="false">
      <c r="T236" s="61"/>
    </row>
    <row r="237" customFormat="false" ht="50.1" hidden="false" customHeight="true" outlineLevel="0" collapsed="false">
      <c r="T237" s="61"/>
    </row>
    <row r="238" customFormat="false" ht="50.1" hidden="false" customHeight="true" outlineLevel="0" collapsed="false">
      <c r="T238" s="61"/>
    </row>
    <row r="239" customFormat="false" ht="50.1" hidden="false" customHeight="true" outlineLevel="0" collapsed="false">
      <c r="T239" s="61"/>
    </row>
    <row r="240" customFormat="false" ht="50.1" hidden="false" customHeight="true" outlineLevel="0" collapsed="false">
      <c r="T240" s="61"/>
    </row>
    <row r="241" customFormat="false" ht="50.1" hidden="false" customHeight="true" outlineLevel="0" collapsed="false">
      <c r="T241" s="61"/>
    </row>
    <row r="242" customFormat="false" ht="50.1" hidden="false" customHeight="true" outlineLevel="0" collapsed="false">
      <c r="T242" s="61"/>
    </row>
    <row r="243" customFormat="false" ht="50.1" hidden="false" customHeight="true" outlineLevel="0" collapsed="false">
      <c r="T243" s="61"/>
    </row>
    <row r="244" customFormat="false" ht="50.1" hidden="false" customHeight="true" outlineLevel="0" collapsed="false">
      <c r="T244" s="61"/>
    </row>
    <row r="245" customFormat="false" ht="50.1" hidden="false" customHeight="true" outlineLevel="0" collapsed="false">
      <c r="T245" s="61"/>
    </row>
    <row r="246" customFormat="false" ht="50.1" hidden="false" customHeight="true" outlineLevel="0" collapsed="false">
      <c r="T246" s="61"/>
    </row>
    <row r="247" customFormat="false" ht="50.1" hidden="false" customHeight="true" outlineLevel="0" collapsed="false">
      <c r="T247" s="61"/>
    </row>
    <row r="248" customFormat="false" ht="50.1" hidden="false" customHeight="true" outlineLevel="0" collapsed="false">
      <c r="T248" s="61"/>
    </row>
    <row r="249" customFormat="false" ht="50.1" hidden="false" customHeight="true" outlineLevel="0" collapsed="false">
      <c r="T249" s="61"/>
    </row>
    <row r="250" customFormat="false" ht="50.1" hidden="false" customHeight="true" outlineLevel="0" collapsed="false">
      <c r="T250" s="61"/>
    </row>
    <row r="251" customFormat="false" ht="50.1" hidden="false" customHeight="true" outlineLevel="0" collapsed="false">
      <c r="T251" s="61"/>
    </row>
    <row r="252" customFormat="false" ht="50.1" hidden="false" customHeight="true" outlineLevel="0" collapsed="false">
      <c r="T252" s="61"/>
    </row>
    <row r="253" customFormat="false" ht="50.1" hidden="false" customHeight="true" outlineLevel="0" collapsed="false">
      <c r="T253" s="61"/>
    </row>
    <row r="254" customFormat="false" ht="50.1" hidden="false" customHeight="true" outlineLevel="0" collapsed="false">
      <c r="T254" s="61"/>
    </row>
    <row r="255" customFormat="false" ht="50.1" hidden="false" customHeight="true" outlineLevel="0" collapsed="false">
      <c r="T255" s="61"/>
    </row>
    <row r="256" customFormat="false" ht="50.1" hidden="false" customHeight="true" outlineLevel="0" collapsed="false">
      <c r="T256" s="61"/>
    </row>
    <row r="257" customFormat="false" ht="50.1" hidden="false" customHeight="true" outlineLevel="0" collapsed="false">
      <c r="T257" s="61"/>
    </row>
    <row r="258" customFormat="false" ht="50.1" hidden="false" customHeight="true" outlineLevel="0" collapsed="false">
      <c r="T258" s="61"/>
    </row>
    <row r="259" customFormat="false" ht="50.1" hidden="false" customHeight="true" outlineLevel="0" collapsed="false">
      <c r="T259" s="61"/>
    </row>
    <row r="260" customFormat="false" ht="50.1" hidden="false" customHeight="true" outlineLevel="0" collapsed="false">
      <c r="T260" s="61"/>
    </row>
    <row r="261" customFormat="false" ht="50.1" hidden="false" customHeight="true" outlineLevel="0" collapsed="false">
      <c r="T261" s="61"/>
    </row>
    <row r="262" customFormat="false" ht="50.1" hidden="false" customHeight="true" outlineLevel="0" collapsed="false">
      <c r="T262" s="61"/>
    </row>
    <row r="263" customFormat="false" ht="50.1" hidden="false" customHeight="true" outlineLevel="0" collapsed="false">
      <c r="T263" s="61"/>
    </row>
    <row r="264" customFormat="false" ht="50.1" hidden="false" customHeight="true" outlineLevel="0" collapsed="false">
      <c r="T264" s="61"/>
    </row>
    <row r="265" customFormat="false" ht="50.1" hidden="false" customHeight="true" outlineLevel="0" collapsed="false">
      <c r="T265" s="61"/>
    </row>
    <row r="266" customFormat="false" ht="50.1" hidden="false" customHeight="true" outlineLevel="0" collapsed="false">
      <c r="T266" s="61"/>
    </row>
    <row r="267" customFormat="false" ht="50.1" hidden="false" customHeight="true" outlineLevel="0" collapsed="false">
      <c r="T267" s="61"/>
    </row>
    <row r="268" customFormat="false" ht="50.1" hidden="false" customHeight="true" outlineLevel="0" collapsed="false">
      <c r="T268" s="61"/>
    </row>
    <row r="269" customFormat="false" ht="50.1" hidden="false" customHeight="true" outlineLevel="0" collapsed="false">
      <c r="T269" s="61"/>
    </row>
    <row r="270" customFormat="false" ht="50.1" hidden="false" customHeight="true" outlineLevel="0" collapsed="false">
      <c r="T270" s="61"/>
    </row>
    <row r="271" customFormat="false" ht="50.1" hidden="false" customHeight="true" outlineLevel="0" collapsed="false">
      <c r="T271" s="61"/>
    </row>
    <row r="272" customFormat="false" ht="50.1" hidden="false" customHeight="true" outlineLevel="0" collapsed="false">
      <c r="T272" s="61"/>
    </row>
    <row r="273" customFormat="false" ht="50.1" hidden="false" customHeight="true" outlineLevel="0" collapsed="false">
      <c r="T273" s="61"/>
    </row>
    <row r="274" customFormat="false" ht="50.1" hidden="false" customHeight="true" outlineLevel="0" collapsed="false">
      <c r="T274" s="61"/>
    </row>
    <row r="275" customFormat="false" ht="50.1" hidden="false" customHeight="true" outlineLevel="0" collapsed="false">
      <c r="T275" s="61"/>
    </row>
    <row r="276" customFormat="false" ht="50.1" hidden="false" customHeight="true" outlineLevel="0" collapsed="false">
      <c r="T276" s="61"/>
    </row>
    <row r="277" customFormat="false" ht="50.1" hidden="false" customHeight="true" outlineLevel="0" collapsed="false">
      <c r="T277" s="61"/>
    </row>
  </sheetData>
  <mergeCells count="6">
    <mergeCell ref="A1:R1"/>
    <mergeCell ref="A2:H2"/>
    <mergeCell ref="A4:H4"/>
    <mergeCell ref="A9:R9"/>
    <mergeCell ref="A10:H10"/>
    <mergeCell ref="F54:G54"/>
  </mergeCells>
  <hyperlinks>
    <hyperlink ref="R5" r:id="rId1" display="http://gofile.me/649X4/gFmuj5zlu"/>
    <hyperlink ref="R6" r:id="rId2" display="http://gofile.me/649X4/u91IqEspl"/>
    <hyperlink ref="R7" r:id="rId3" display="http://gofile.me/649X4/ngI8h521L"/>
    <hyperlink ref="R8" r:id="rId4" display="http://gofile.me/649X4/4jl5XAE00"/>
    <hyperlink ref="R11" r:id="rId5" display="http://gofile.me/649X4/ldRRTA5qu"/>
    <hyperlink ref="R12" r:id="rId6" display="http://gofile.me/649X4/AvkZKWx5J"/>
    <hyperlink ref="R13" r:id="rId7" display="http://gofile.me/649X4/qySCU0KkH"/>
    <hyperlink ref="R14" r:id="rId8" display="http://gofile.me/649X4/VBJwDcFFN"/>
    <hyperlink ref="R15" r:id="rId9" display="http://gofile.me/649X4/ae5z7qVex"/>
    <hyperlink ref="R16" r:id="rId10" display="http://gofile.me/649X4/l5XCjpohl"/>
    <hyperlink ref="R17" r:id="rId11" display="http://gofile.me/649X4/zQpEI92GA"/>
    <hyperlink ref="R18" r:id="rId12" display="http://gofile.me/649X4/XD2Zt0Zbm"/>
    <hyperlink ref="R19" r:id="rId13" display="http://gofile.me/649X4/EwDNMmkJ9"/>
    <hyperlink ref="R20" r:id="rId14" display="http://gofile.me/649X4/UOBV2IPXU"/>
    <hyperlink ref="R21" r:id="rId15" display="http://gofile.me/649X4/8hc73N9tI"/>
    <hyperlink ref="R22" r:id="rId16" display="http://gofile.me/649X4/EGe0wNcmt"/>
    <hyperlink ref="R23" r:id="rId17" display="http://gofile.me/649X4/CA37yOW3W"/>
    <hyperlink ref="R24" r:id="rId18" display="http://gofile.me/649X4/zL8nyUXrv"/>
    <hyperlink ref="R25" r:id="rId19" display="http://gofile.me/649X4/mahwhE9gg"/>
    <hyperlink ref="R26" r:id="rId20" display="http://gofile.me/649X4/RDE55gTUM"/>
    <hyperlink ref="R27" r:id="rId21" display="http://gofile.me/649X4/Q6sF6att6"/>
    <hyperlink ref="R28" r:id="rId22" display="http://gofile.me/649X4/MMn7x3E0t"/>
    <hyperlink ref="R29" r:id="rId23" display="http://gofile.me/649X4/XeD1lNhml"/>
    <hyperlink ref="R32" r:id="rId24" display="http://gofile.me/649X4/NmvvSjJFn"/>
    <hyperlink ref="R33" r:id="rId25" display="http://gofile.me/649X4/dQwXRGYyi"/>
    <hyperlink ref="R34" r:id="rId26" display="http://gofile.me/649X4/fPIVoENwx"/>
    <hyperlink ref="R35" r:id="rId27" display="http://gofile.me/649X4/fmKszFJAp"/>
    <hyperlink ref="R36" r:id="rId28" display="http://gofile.me/649X4/CG4sN0LX5"/>
    <hyperlink ref="R37" r:id="rId29" display="http://gofile.me/649X4/EFyFZtxwK"/>
    <hyperlink ref="R38" r:id="rId30" display="http://gofile.me/649X4/3u3IG5RiO"/>
    <hyperlink ref="S38" r:id="rId31" display="http://gofile.me/649X4/JQR2qqyVi"/>
    <hyperlink ref="R40" r:id="rId32" display="http://hoco.i234.me:8000/sharing/J3VvLHWas"/>
    <hyperlink ref="R41" r:id="rId33" display="http://hoco.i234.me:8000/sharing/PNvyhVHxp"/>
    <hyperlink ref="R42" r:id="rId34" display="http://hoco.i234.me:8000/sharing/QsLqJ82Wy"/>
    <hyperlink ref="R43" r:id="rId35" display="http://hoco.i234.me:8000/sharing/m0SFRzV1X"/>
    <hyperlink ref="S43" r:id="rId36" display="http://gofile.me/649X4/44hmMA8MM"/>
    <hyperlink ref="R45" r:id="rId37" display="http://hoco.i234.me:8000/sharing/TQnVFaZP5"/>
    <hyperlink ref="S45" r:id="rId38" display="http://gofile.me/649X4/2mFXTbkb7"/>
    <hyperlink ref="R46" r:id="rId39" display="http://hoco.i234.me:8000/sharing/kWtM2DYqq"/>
    <hyperlink ref="S46" r:id="rId40" display="http://gofile.me/649X4/79mLe5wb7"/>
    <hyperlink ref="R47" r:id="rId41" display="http://hoco.i234.me:8000/sharing/REAlpVDHb"/>
    <hyperlink ref="R48" r:id="rId42" display="http://hoco.i234.me:8000/sharing/BZ9JemPuk"/>
    <hyperlink ref="R49" r:id="rId43" display="http://hoco.i234.me:8000/sharing/Z17ouRMmw"/>
    <hyperlink ref="R50" r:id="rId44" display="http://hoco.i234.me:8000/sharing/J5M2FkYfG"/>
    <hyperlink ref="R51" r:id="rId45" display="http://hoco.i234.me:8000/sharing/h9zrn7BMa"/>
    <hyperlink ref="R52" r:id="rId46" display="http://hoco.i234.me:8000/sharing/YYNe45DOh"/>
    <hyperlink ref="S52" r:id="rId47" display="http://gofile.me/649X4/LqG4e0tXr"/>
    <hyperlink ref="R53" r:id="rId48" display="http://hoco.i234.me:8000/sharing/ZTwSmaQUc"/>
  </hyperlinks>
  <printOptions headings="false" gridLines="false" gridLinesSet="true" horizontalCentered="false" verticalCentered="false"/>
  <pageMargins left="0.309722222222222" right="0.240277777777778" top="0.390277777777778"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3" manualBreakCount="3">
    <brk id="9" man="true" max="16383" min="0"/>
    <brk id="31" man="true" max="16383" min="0"/>
    <brk id="37" man="true" max="16383" min="0"/>
  </rowBreaks>
  <drawing r:id="rId4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269"/>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33" width="46"/>
    <col collapsed="false" customWidth="true" hidden="false" outlineLevel="0" max="3" min="2" style="34" width="18"/>
    <col collapsed="false" customWidth="true" hidden="false" outlineLevel="0" max="4" min="4" style="39" width="20"/>
    <col collapsed="false" customWidth="true" hidden="false" outlineLevel="0" max="5" min="5" style="35"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9" min="9" style="115" width="6.63"/>
    <col collapsed="false" customWidth="true" hidden="false" outlineLevel="0" max="10" min="10" style="163" width="6.63"/>
    <col collapsed="false" customWidth="true" hidden="false" outlineLevel="0" max="11" min="11" style="115" width="11.2"/>
    <col collapsed="false" customWidth="true" hidden="false" outlineLevel="0" max="12" min="12" style="39" width="8.11"/>
    <col collapsed="false" customWidth="true" hidden="false" outlineLevel="0" max="13" min="13" style="39" width="10.63"/>
    <col collapsed="false" customWidth="true" hidden="false" outlineLevel="0" max="14" min="14" style="39" width="7.63"/>
    <col collapsed="false" customWidth="true" hidden="false" outlineLevel="0" max="15" min="15" style="39" width="10.63"/>
    <col collapsed="false" customWidth="true" hidden="false" outlineLevel="0" max="16" min="16" style="164" width="7.13"/>
    <col collapsed="false" customWidth="true" hidden="false" outlineLevel="0" max="17" min="17" style="39" width="70"/>
    <col collapsed="false" customWidth="true" hidden="false" outlineLevel="0" max="19" min="18" style="41" width="10"/>
    <col collapsed="false" customWidth="true" hidden="false" outlineLevel="0" max="20" min="20" style="42" width="7.37"/>
    <col collapsed="false" customWidth="true" hidden="false" outlineLevel="0" max="26" min="21" style="34" width="9"/>
    <col collapsed="false" customWidth="false" hidden="false" outlineLevel="0" max="98" min="27"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1851</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c r="T3" s="48"/>
    </row>
    <row r="4" s="50" customFormat="true" ht="27" hidden="false" customHeight="true" outlineLevel="1" collapsed="false">
      <c r="A4" s="49" t="s">
        <v>25</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62" customFormat="true" ht="115" hidden="false" customHeight="true" outlineLevel="2" collapsed="false">
      <c r="A5" s="51" t="s">
        <v>1852</v>
      </c>
      <c r="B5" s="52"/>
      <c r="C5" s="57"/>
      <c r="D5" s="53" t="s">
        <v>1853</v>
      </c>
      <c r="E5" s="53" t="s">
        <v>89</v>
      </c>
      <c r="F5" s="54" t="n">
        <v>73.39</v>
      </c>
      <c r="G5" s="55"/>
      <c r="H5" s="56" t="str">
        <f aca="false">IF(ISBLANK(G5),"",IF(ISNUMBER(F5),ROUND(F5*G5,2),"Укажите цену"))</f>
        <v/>
      </c>
      <c r="I5" s="57" t="n">
        <v>56</v>
      </c>
      <c r="J5" s="26" t="n">
        <v>16.8</v>
      </c>
      <c r="K5" s="57" t="s">
        <v>1854</v>
      </c>
      <c r="L5" s="57" t="n">
        <v>65</v>
      </c>
      <c r="M5" s="57" t="s">
        <v>284</v>
      </c>
      <c r="N5" s="57" t="n">
        <v>260</v>
      </c>
      <c r="O5" s="57" t="s">
        <v>696</v>
      </c>
      <c r="P5" s="58" t="n">
        <v>0.095</v>
      </c>
      <c r="Q5" s="68" t="s">
        <v>1855</v>
      </c>
      <c r="R5" s="125" t="s">
        <v>1856</v>
      </c>
      <c r="S5" s="60" t="s">
        <v>96</v>
      </c>
      <c r="T5" s="87"/>
      <c r="U5" s="61"/>
      <c r="V5" s="61"/>
      <c r="W5" s="61"/>
      <c r="X5" s="61"/>
      <c r="Y5" s="61"/>
      <c r="Z5" s="61"/>
    </row>
    <row r="6" s="70" customFormat="true" ht="115" hidden="false" customHeight="true" outlineLevel="2" collapsed="false">
      <c r="A6" s="51" t="s">
        <v>1857</v>
      </c>
      <c r="B6" s="57"/>
      <c r="C6" s="57"/>
      <c r="D6" s="53" t="s">
        <v>1858</v>
      </c>
      <c r="E6" s="53" t="s">
        <v>1615</v>
      </c>
      <c r="F6" s="54" t="n">
        <v>101.12</v>
      </c>
      <c r="G6" s="55"/>
      <c r="H6" s="56" t="str">
        <f aca="false">IF(ISBLANK(G6),"",IF(ISNUMBER(F6),ROUND(F6*G6,2),"Укажите цену"))</f>
        <v/>
      </c>
      <c r="I6" s="57" t="n">
        <v>48</v>
      </c>
      <c r="J6" s="57" t="n">
        <v>10.6</v>
      </c>
      <c r="K6" s="57" t="s">
        <v>1432</v>
      </c>
      <c r="L6" s="57" t="n">
        <v>44</v>
      </c>
      <c r="M6" s="57" t="s">
        <v>284</v>
      </c>
      <c r="N6" s="57" t="n">
        <v>176</v>
      </c>
      <c r="O6" s="57" t="s">
        <v>696</v>
      </c>
      <c r="P6" s="58" t="n">
        <v>0.095</v>
      </c>
      <c r="Q6" s="68" t="s">
        <v>1859</v>
      </c>
      <c r="R6" s="93" t="s">
        <v>1860</v>
      </c>
      <c r="S6" s="60" t="s">
        <v>96</v>
      </c>
      <c r="T6" s="61"/>
    </row>
    <row r="7" s="152" customFormat="true" ht="6" hidden="false" customHeight="true" outlineLevel="2" collapsed="false">
      <c r="A7" s="170"/>
      <c r="B7" s="170"/>
      <c r="C7" s="170"/>
      <c r="D7" s="170"/>
      <c r="E7" s="170"/>
      <c r="F7" s="170"/>
      <c r="G7" s="170"/>
      <c r="H7" s="170"/>
      <c r="I7" s="170"/>
      <c r="J7" s="170"/>
      <c r="K7" s="170"/>
      <c r="L7" s="170"/>
      <c r="M7" s="170"/>
      <c r="N7" s="170"/>
      <c r="O7" s="170"/>
      <c r="P7" s="170"/>
      <c r="Q7" s="170"/>
      <c r="R7" s="170"/>
      <c r="S7" s="170"/>
      <c r="T7" s="61"/>
      <c r="AA7" s="153"/>
      <c r="AB7" s="153"/>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c r="BF7" s="154"/>
      <c r="BG7" s="154"/>
      <c r="BH7" s="154"/>
      <c r="BI7" s="154"/>
      <c r="BJ7" s="154"/>
      <c r="BK7" s="154"/>
      <c r="BL7" s="154"/>
      <c r="BM7" s="154"/>
      <c r="BN7" s="154"/>
      <c r="BO7" s="154"/>
      <c r="BP7" s="154"/>
      <c r="BQ7" s="154"/>
      <c r="BR7" s="154"/>
      <c r="BS7" s="154"/>
      <c r="BT7" s="154"/>
      <c r="BU7" s="154"/>
      <c r="BV7" s="154"/>
      <c r="BW7" s="154"/>
      <c r="BX7" s="154"/>
      <c r="BY7" s="154"/>
      <c r="BZ7" s="154"/>
      <c r="CA7" s="154"/>
      <c r="CB7" s="154"/>
      <c r="CC7" s="154"/>
      <c r="CD7" s="154"/>
      <c r="CE7" s="154"/>
      <c r="CF7" s="154"/>
      <c r="CG7" s="154"/>
      <c r="CH7" s="154"/>
      <c r="CI7" s="154"/>
      <c r="CJ7" s="154"/>
      <c r="CK7" s="154"/>
      <c r="CL7" s="154"/>
      <c r="CM7" s="154"/>
      <c r="CN7" s="154"/>
      <c r="CO7" s="154"/>
      <c r="CP7" s="154"/>
      <c r="CQ7" s="154"/>
      <c r="CR7" s="154"/>
      <c r="CS7" s="154"/>
      <c r="CT7" s="154"/>
      <c r="CU7" s="154"/>
      <c r="CV7" s="154"/>
      <c r="CW7" s="154"/>
      <c r="CX7" s="154"/>
      <c r="CY7" s="154"/>
      <c r="CZ7" s="154"/>
      <c r="DA7" s="154"/>
      <c r="DB7" s="154"/>
      <c r="DC7" s="154"/>
      <c r="DD7" s="154"/>
      <c r="DE7" s="154"/>
      <c r="DF7" s="154"/>
      <c r="DG7" s="154"/>
      <c r="DH7" s="154"/>
      <c r="DI7" s="154"/>
      <c r="DJ7" s="154"/>
      <c r="DK7" s="154"/>
      <c r="DL7" s="154"/>
      <c r="DM7" s="154"/>
      <c r="DN7" s="154"/>
      <c r="DO7" s="154"/>
      <c r="DP7" s="154"/>
      <c r="DQ7" s="154"/>
      <c r="DR7" s="154"/>
      <c r="DS7" s="154"/>
      <c r="DT7" s="154"/>
      <c r="DU7" s="154"/>
      <c r="DV7" s="154"/>
      <c r="DW7" s="154"/>
      <c r="DX7" s="154"/>
      <c r="DY7" s="154"/>
      <c r="DZ7" s="154"/>
      <c r="EA7" s="154"/>
      <c r="EB7" s="154"/>
      <c r="EC7" s="154"/>
      <c r="ED7" s="154"/>
      <c r="EE7" s="154"/>
      <c r="EF7" s="154"/>
      <c r="EG7" s="154"/>
      <c r="EH7" s="154"/>
      <c r="EI7" s="154"/>
      <c r="EJ7" s="154"/>
      <c r="EK7" s="154"/>
      <c r="EL7" s="154"/>
      <c r="EM7" s="154"/>
      <c r="EN7" s="154"/>
      <c r="EO7" s="154"/>
      <c r="EP7" s="154"/>
      <c r="EQ7" s="154"/>
      <c r="ER7" s="154"/>
      <c r="ES7" s="154"/>
      <c r="ET7" s="154"/>
      <c r="EU7" s="154"/>
      <c r="EV7" s="154"/>
      <c r="EW7" s="154"/>
      <c r="EX7" s="154"/>
      <c r="EY7" s="154"/>
      <c r="EZ7" s="154"/>
      <c r="FA7" s="154"/>
      <c r="FB7" s="154"/>
      <c r="FC7" s="154"/>
      <c r="FD7" s="154"/>
      <c r="FE7" s="154"/>
      <c r="FF7" s="154"/>
      <c r="FG7" s="154"/>
      <c r="FH7" s="154"/>
      <c r="FI7" s="154"/>
      <c r="FJ7" s="154"/>
      <c r="FK7" s="154"/>
      <c r="FL7" s="154"/>
      <c r="FM7" s="154"/>
      <c r="FN7" s="154"/>
      <c r="FO7" s="154"/>
      <c r="FP7" s="154"/>
      <c r="FQ7" s="154"/>
      <c r="FR7" s="154"/>
      <c r="FS7" s="154"/>
      <c r="FT7" s="154"/>
      <c r="FU7" s="154"/>
      <c r="FV7" s="154"/>
      <c r="FW7" s="154"/>
      <c r="FX7" s="154"/>
      <c r="FY7" s="154"/>
      <c r="FZ7" s="154"/>
      <c r="GA7" s="154"/>
      <c r="GB7" s="154"/>
      <c r="GC7" s="154"/>
      <c r="GD7" s="154"/>
      <c r="GE7" s="154"/>
      <c r="GF7" s="154"/>
      <c r="GG7" s="154"/>
      <c r="GH7" s="154"/>
      <c r="GI7" s="154"/>
      <c r="GJ7" s="154"/>
      <c r="GK7" s="154"/>
      <c r="GL7" s="154"/>
      <c r="GM7" s="154"/>
      <c r="GN7" s="154"/>
      <c r="GO7" s="154"/>
      <c r="GP7" s="154"/>
      <c r="GQ7" s="154"/>
      <c r="GR7" s="154"/>
      <c r="GS7" s="154"/>
      <c r="GT7" s="154"/>
      <c r="GU7" s="154"/>
      <c r="GV7" s="154"/>
      <c r="GW7" s="154"/>
      <c r="GX7" s="154"/>
      <c r="GY7" s="154"/>
      <c r="GZ7" s="154"/>
      <c r="HA7" s="154"/>
      <c r="HB7" s="154"/>
      <c r="HC7" s="154"/>
      <c r="HD7" s="154"/>
      <c r="HE7" s="154"/>
      <c r="HF7" s="154"/>
      <c r="HG7" s="154"/>
      <c r="HH7" s="154"/>
      <c r="HI7" s="154"/>
      <c r="HJ7" s="154"/>
      <c r="HK7" s="154"/>
      <c r="HL7" s="154"/>
      <c r="HM7" s="154"/>
      <c r="HN7" s="154"/>
      <c r="HO7" s="154"/>
      <c r="HP7" s="154"/>
      <c r="HQ7" s="154"/>
      <c r="HR7" s="154"/>
      <c r="HS7" s="154"/>
      <c r="HT7" s="154"/>
      <c r="HU7" s="154"/>
      <c r="HV7" s="154"/>
      <c r="HW7" s="154"/>
      <c r="HX7" s="154"/>
      <c r="HY7" s="154"/>
      <c r="HZ7" s="154"/>
      <c r="IA7" s="154"/>
      <c r="IB7" s="154"/>
      <c r="IC7" s="154"/>
      <c r="ID7" s="154"/>
      <c r="IE7" s="154"/>
      <c r="IF7" s="154"/>
      <c r="IG7" s="154"/>
      <c r="IH7" s="154"/>
      <c r="II7" s="154"/>
      <c r="IJ7" s="154"/>
      <c r="IK7" s="154"/>
      <c r="IL7" s="154"/>
      <c r="IM7" s="154"/>
      <c r="IN7" s="154"/>
      <c r="IO7" s="154"/>
      <c r="IP7" s="154"/>
      <c r="IQ7" s="154"/>
      <c r="IR7" s="154"/>
      <c r="IS7" s="154"/>
      <c r="IT7" s="154"/>
      <c r="IU7" s="154"/>
      <c r="IV7" s="154"/>
      <c r="IW7" s="154"/>
    </row>
    <row r="8" s="50" customFormat="true" ht="27" hidden="false" customHeight="true" outlineLevel="1" collapsed="false">
      <c r="A8" s="49" t="s">
        <v>29</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c r="IV8" s="49"/>
      <c r="IW8" s="49"/>
    </row>
    <row r="9" s="62" customFormat="true" ht="115" hidden="false" customHeight="true" outlineLevel="2" collapsed="false">
      <c r="A9" s="51" t="s">
        <v>1861</v>
      </c>
      <c r="B9" s="52"/>
      <c r="C9" s="57"/>
      <c r="D9" s="53" t="s">
        <v>1862</v>
      </c>
      <c r="E9" s="53" t="s">
        <v>89</v>
      </c>
      <c r="F9" s="54" t="n">
        <v>228.33</v>
      </c>
      <c r="G9" s="55"/>
      <c r="H9" s="56" t="str">
        <f aca="false">IF(ISBLANK(G9),"",IF(ISNUMBER(F9),ROUND(F9*G9,2),"Укажите цену"))</f>
        <v/>
      </c>
      <c r="I9" s="57" t="n">
        <v>58</v>
      </c>
      <c r="J9" s="26" t="n">
        <v>11.74</v>
      </c>
      <c r="K9" s="57" t="s">
        <v>1863</v>
      </c>
      <c r="L9" s="57" t="n">
        <v>42</v>
      </c>
      <c r="M9" s="57" t="s">
        <v>284</v>
      </c>
      <c r="N9" s="57" t="n">
        <v>168</v>
      </c>
      <c r="O9" s="57" t="s">
        <v>696</v>
      </c>
      <c r="P9" s="58" t="n">
        <v>0.095</v>
      </c>
      <c r="Q9" s="68" t="s">
        <v>1864</v>
      </c>
      <c r="R9" s="69" t="s">
        <v>1865</v>
      </c>
      <c r="S9" s="60" t="s">
        <v>96</v>
      </c>
      <c r="T9" s="87"/>
      <c r="U9" s="61"/>
      <c r="V9" s="61"/>
      <c r="W9" s="61"/>
      <c r="X9" s="61"/>
      <c r="Y9" s="61"/>
      <c r="Z9" s="61"/>
    </row>
    <row r="10" s="62" customFormat="true" ht="115" hidden="false" customHeight="true" outlineLevel="2" collapsed="false">
      <c r="A10" s="51" t="s">
        <v>1866</v>
      </c>
      <c r="B10" s="52"/>
      <c r="C10" s="57"/>
      <c r="D10" s="53" t="s">
        <v>1867</v>
      </c>
      <c r="E10" s="53" t="s">
        <v>89</v>
      </c>
      <c r="F10" s="54" t="n">
        <v>274</v>
      </c>
      <c r="G10" s="55"/>
      <c r="H10" s="56" t="str">
        <f aca="false">IF(ISBLANK(G10),"",IF(ISNUMBER(F10),ROUND(F10*G10,2),"Укажите цену"))</f>
        <v/>
      </c>
      <c r="I10" s="57" t="n">
        <v>80</v>
      </c>
      <c r="J10" s="26" t="n">
        <v>15.68</v>
      </c>
      <c r="K10" s="57" t="s">
        <v>1863</v>
      </c>
      <c r="L10" s="57" t="n">
        <v>42</v>
      </c>
      <c r="M10" s="57" t="s">
        <v>284</v>
      </c>
      <c r="N10" s="57" t="n">
        <v>168</v>
      </c>
      <c r="O10" s="57" t="s">
        <v>696</v>
      </c>
      <c r="P10" s="58" t="n">
        <v>0.095</v>
      </c>
      <c r="Q10" s="68" t="s">
        <v>1868</v>
      </c>
      <c r="R10" s="69" t="s">
        <v>1869</v>
      </c>
      <c r="S10" s="60" t="s">
        <v>96</v>
      </c>
      <c r="T10" s="87"/>
      <c r="U10" s="61"/>
      <c r="V10" s="61"/>
      <c r="W10" s="61"/>
      <c r="X10" s="61"/>
      <c r="Y10" s="61"/>
      <c r="Z10" s="61"/>
    </row>
    <row r="11" s="34" customFormat="true" ht="60" hidden="false" customHeight="true" outlineLevel="2" collapsed="false">
      <c r="A11" s="63" t="s">
        <v>1870</v>
      </c>
      <c r="B11" s="57"/>
      <c r="C11" s="57"/>
      <c r="D11" s="53" t="s">
        <v>1871</v>
      </c>
      <c r="E11" s="53" t="s">
        <v>89</v>
      </c>
      <c r="F11" s="54" t="n">
        <v>101.12</v>
      </c>
      <c r="G11" s="55"/>
      <c r="H11" s="56" t="str">
        <f aca="false">IF(ISBLANK(G11),"",IF(ISNUMBER(F11),ROUND(F11*G11,2),"Укажите цену"))</f>
        <v/>
      </c>
      <c r="I11" s="57" t="n">
        <v>32</v>
      </c>
      <c r="J11" s="57" t="n">
        <v>14</v>
      </c>
      <c r="K11" s="57" t="s">
        <v>1872</v>
      </c>
      <c r="L11" s="57" t="n">
        <v>94</v>
      </c>
      <c r="M11" s="57" t="s">
        <v>284</v>
      </c>
      <c r="N11" s="57" t="n">
        <v>376</v>
      </c>
      <c r="O11" s="57" t="s">
        <v>696</v>
      </c>
      <c r="P11" s="58" t="n">
        <v>0.095</v>
      </c>
      <c r="Q11" s="68" t="s">
        <v>1873</v>
      </c>
      <c r="R11" s="69" t="s">
        <v>1874</v>
      </c>
      <c r="S11" s="60" t="s">
        <v>96</v>
      </c>
      <c r="T11" s="61"/>
    </row>
    <row r="12" s="34" customFormat="true" ht="60" hidden="false" customHeight="true" outlineLevel="2" collapsed="false">
      <c r="A12" s="63"/>
      <c r="B12" s="57"/>
      <c r="C12" s="57"/>
      <c r="D12" s="53" t="s">
        <v>1875</v>
      </c>
      <c r="E12" s="53" t="s">
        <v>103</v>
      </c>
      <c r="F12" s="54" t="n">
        <v>101.12</v>
      </c>
      <c r="G12" s="55"/>
      <c r="H12" s="56" t="str">
        <f aca="false">IF(ISBLANK(G12),"",IF(ISNUMBER(F12),ROUND(F12*G12,2),"Укажите цену"))</f>
        <v/>
      </c>
      <c r="I12" s="57"/>
      <c r="J12" s="57"/>
      <c r="K12" s="57"/>
      <c r="L12" s="57"/>
      <c r="M12" s="57"/>
      <c r="N12" s="57"/>
      <c r="O12" s="57"/>
      <c r="P12" s="58"/>
      <c r="Q12" s="68"/>
      <c r="R12" s="69"/>
      <c r="S12" s="60"/>
      <c r="T12" s="61"/>
    </row>
    <row r="13" s="34" customFormat="true" ht="60" hidden="false" customHeight="true" outlineLevel="2" collapsed="false">
      <c r="A13" s="63" t="s">
        <v>1876</v>
      </c>
      <c r="B13" s="57"/>
      <c r="C13" s="57"/>
      <c r="D13" s="53" t="s">
        <v>1877</v>
      </c>
      <c r="E13" s="53" t="s">
        <v>89</v>
      </c>
      <c r="F13" s="54" t="n">
        <v>122.32</v>
      </c>
      <c r="G13" s="55"/>
      <c r="H13" s="56" t="str">
        <f aca="false">IF(ISBLANK(G13),"",IF(ISNUMBER(F13),ROUND(F13*G13,2),"Укажите цену"))</f>
        <v/>
      </c>
      <c r="I13" s="57" t="n">
        <v>60</v>
      </c>
      <c r="J13" s="57" t="n">
        <v>24.9</v>
      </c>
      <c r="K13" s="57" t="s">
        <v>1872</v>
      </c>
      <c r="L13" s="57" t="n">
        <v>94</v>
      </c>
      <c r="M13" s="57" t="s">
        <v>284</v>
      </c>
      <c r="N13" s="57" t="n">
        <v>376</v>
      </c>
      <c r="O13" s="57" t="s">
        <v>696</v>
      </c>
      <c r="P13" s="58" t="n">
        <v>0.095</v>
      </c>
      <c r="Q13" s="68" t="s">
        <v>1878</v>
      </c>
      <c r="R13" s="69" t="s">
        <v>1879</v>
      </c>
      <c r="S13" s="60" t="s">
        <v>96</v>
      </c>
      <c r="T13" s="61"/>
    </row>
    <row r="14" s="34" customFormat="true" ht="60" hidden="false" customHeight="true" outlineLevel="2" collapsed="false">
      <c r="A14" s="63"/>
      <c r="B14" s="57"/>
      <c r="C14" s="57"/>
      <c r="D14" s="53" t="s">
        <v>1880</v>
      </c>
      <c r="E14" s="53" t="s">
        <v>103</v>
      </c>
      <c r="F14" s="54" t="n">
        <v>122.32</v>
      </c>
      <c r="G14" s="55"/>
      <c r="H14" s="56" t="str">
        <f aca="false">IF(ISBLANK(G14),"",IF(ISNUMBER(F14),ROUND(F14*G14,2),"Укажите цену"))</f>
        <v/>
      </c>
      <c r="I14" s="57"/>
      <c r="J14" s="57"/>
      <c r="K14" s="57"/>
      <c r="L14" s="57"/>
      <c r="M14" s="57"/>
      <c r="N14" s="57"/>
      <c r="O14" s="57"/>
      <c r="P14" s="58"/>
      <c r="Q14" s="68"/>
      <c r="R14" s="69"/>
      <c r="S14" s="60"/>
      <c r="T14" s="61"/>
    </row>
    <row r="15" s="34" customFormat="true" ht="60" hidden="false" customHeight="true" outlineLevel="2" collapsed="false">
      <c r="A15" s="63" t="s">
        <v>1881</v>
      </c>
      <c r="B15" s="57"/>
      <c r="C15" s="57"/>
      <c r="D15" s="53" t="s">
        <v>1882</v>
      </c>
      <c r="E15" s="53" t="s">
        <v>89</v>
      </c>
      <c r="F15" s="54" t="n">
        <v>127.21</v>
      </c>
      <c r="G15" s="55"/>
      <c r="H15" s="56" t="str">
        <f aca="false">IF(ISBLANK(G15),"",IF(ISNUMBER(F15),ROUND(F15*G15,2),"Укажите цену"))</f>
        <v/>
      </c>
      <c r="I15" s="57" t="n">
        <v>60</v>
      </c>
      <c r="J15" s="57" t="n">
        <v>24.8</v>
      </c>
      <c r="K15" s="57" t="s">
        <v>1872</v>
      </c>
      <c r="L15" s="57" t="n">
        <v>94</v>
      </c>
      <c r="M15" s="57" t="s">
        <v>284</v>
      </c>
      <c r="N15" s="57" t="n">
        <v>376</v>
      </c>
      <c r="O15" s="57" t="s">
        <v>696</v>
      </c>
      <c r="P15" s="58" t="n">
        <v>0.095</v>
      </c>
      <c r="Q15" s="68" t="s">
        <v>1883</v>
      </c>
      <c r="R15" s="69" t="s">
        <v>1884</v>
      </c>
      <c r="S15" s="60" t="s">
        <v>96</v>
      </c>
      <c r="T15" s="61"/>
    </row>
    <row r="16" s="34" customFormat="true" ht="60" hidden="false" customHeight="true" outlineLevel="2" collapsed="false">
      <c r="A16" s="63"/>
      <c r="B16" s="57"/>
      <c r="C16" s="57"/>
      <c r="D16" s="53" t="s">
        <v>1885</v>
      </c>
      <c r="E16" s="53" t="s">
        <v>103</v>
      </c>
      <c r="F16" s="54" t="n">
        <v>127.21</v>
      </c>
      <c r="G16" s="55"/>
      <c r="H16" s="56" t="str">
        <f aca="false">IF(ISBLANK(G16),"",IF(ISNUMBER(F16),ROUND(F16*G16,2),"Укажите цену"))</f>
        <v/>
      </c>
      <c r="I16" s="57"/>
      <c r="J16" s="57"/>
      <c r="K16" s="57"/>
      <c r="L16" s="57"/>
      <c r="M16" s="57"/>
      <c r="N16" s="57"/>
      <c r="O16" s="57"/>
      <c r="P16" s="58"/>
      <c r="Q16" s="68"/>
      <c r="R16" s="69"/>
      <c r="S16" s="60"/>
      <c r="T16" s="61"/>
    </row>
    <row r="17" s="34" customFormat="true" ht="60" hidden="false" customHeight="true" outlineLevel="2" collapsed="false">
      <c r="A17" s="63" t="s">
        <v>1886</v>
      </c>
      <c r="B17" s="57"/>
      <c r="C17" s="57"/>
      <c r="D17" s="53" t="s">
        <v>1887</v>
      </c>
      <c r="E17" s="53" t="s">
        <v>89</v>
      </c>
      <c r="F17" s="54" t="n">
        <v>104.38</v>
      </c>
      <c r="G17" s="55"/>
      <c r="H17" s="56" t="str">
        <f aca="false">IF(ISBLANK(G17),"",IF(ISNUMBER(F17),ROUND(F17*G17,2),"Укажите цену"))</f>
        <v/>
      </c>
      <c r="I17" s="57" t="n">
        <v>32</v>
      </c>
      <c r="J17" s="57" t="n">
        <v>14</v>
      </c>
      <c r="K17" s="57" t="s">
        <v>1872</v>
      </c>
      <c r="L17" s="57" t="n">
        <v>94</v>
      </c>
      <c r="M17" s="57" t="s">
        <v>284</v>
      </c>
      <c r="N17" s="57" t="n">
        <v>376</v>
      </c>
      <c r="O17" s="57" t="s">
        <v>696</v>
      </c>
      <c r="P17" s="58" t="n">
        <v>0.095</v>
      </c>
      <c r="Q17" s="68" t="s">
        <v>1888</v>
      </c>
      <c r="R17" s="69" t="s">
        <v>1889</v>
      </c>
      <c r="S17" s="60" t="s">
        <v>96</v>
      </c>
      <c r="T17" s="61"/>
    </row>
    <row r="18" s="34" customFormat="true" ht="60" hidden="false" customHeight="true" outlineLevel="2" collapsed="false">
      <c r="A18" s="63"/>
      <c r="B18" s="57"/>
      <c r="C18" s="57"/>
      <c r="D18" s="53" t="s">
        <v>1890</v>
      </c>
      <c r="E18" s="53" t="s">
        <v>103</v>
      </c>
      <c r="F18" s="54" t="n">
        <v>104.38</v>
      </c>
      <c r="G18" s="55"/>
      <c r="H18" s="56" t="str">
        <f aca="false">IF(ISBLANK(G18),"",IF(ISNUMBER(F18),ROUND(F18*G18,2),"Укажите цену"))</f>
        <v/>
      </c>
      <c r="I18" s="57"/>
      <c r="J18" s="57"/>
      <c r="K18" s="57"/>
      <c r="L18" s="57"/>
      <c r="M18" s="57"/>
      <c r="N18" s="57"/>
      <c r="O18" s="57"/>
      <c r="P18" s="58"/>
      <c r="Q18" s="68"/>
      <c r="R18" s="69"/>
      <c r="S18" s="60"/>
      <c r="T18" s="61"/>
    </row>
    <row r="19" s="34" customFormat="true" ht="115" hidden="false" customHeight="true" outlineLevel="2" collapsed="false">
      <c r="A19" s="51" t="s">
        <v>1891</v>
      </c>
      <c r="B19" s="57"/>
      <c r="C19" s="57"/>
      <c r="D19" s="53" t="s">
        <v>1892</v>
      </c>
      <c r="E19" s="53" t="s">
        <v>89</v>
      </c>
      <c r="F19" s="54" t="n">
        <v>163.09</v>
      </c>
      <c r="G19" s="55"/>
      <c r="H19" s="56" t="str">
        <f aca="false">IF(ISBLANK(G19),"",IF(ISNUMBER(F19),ROUND(F19*G19,2),"Укажите цену"))</f>
        <v/>
      </c>
      <c r="I19" s="57" t="n">
        <v>57</v>
      </c>
      <c r="J19" s="57" t="n">
        <v>23.8</v>
      </c>
      <c r="K19" s="57" t="s">
        <v>1872</v>
      </c>
      <c r="L19" s="57" t="n">
        <v>94</v>
      </c>
      <c r="M19" s="57" t="s">
        <v>284</v>
      </c>
      <c r="N19" s="57" t="n">
        <v>376</v>
      </c>
      <c r="O19" s="57" t="s">
        <v>696</v>
      </c>
      <c r="P19" s="58" t="n">
        <v>0.095</v>
      </c>
      <c r="Q19" s="68" t="s">
        <v>1893</v>
      </c>
      <c r="R19" s="69" t="s">
        <v>1894</v>
      </c>
      <c r="S19" s="60" t="s">
        <v>96</v>
      </c>
      <c r="T19" s="61"/>
    </row>
    <row r="20" s="34" customFormat="true" ht="115" hidden="false" customHeight="true" outlineLevel="2" collapsed="false">
      <c r="A20" s="51" t="s">
        <v>1895</v>
      </c>
      <c r="B20" s="57"/>
      <c r="C20" s="57"/>
      <c r="D20" s="53" t="s">
        <v>1896</v>
      </c>
      <c r="E20" s="53" t="s">
        <v>89</v>
      </c>
      <c r="F20" s="54" t="n">
        <v>141.89</v>
      </c>
      <c r="G20" s="55"/>
      <c r="H20" s="56" t="str">
        <f aca="false">IF(ISBLANK(G20),"",IF(ISNUMBER(F20),ROUND(F20*G20,2),"Укажите цену"))</f>
        <v/>
      </c>
      <c r="I20" s="57" t="n">
        <v>58</v>
      </c>
      <c r="J20" s="57" t="n">
        <v>23.8</v>
      </c>
      <c r="K20" s="57" t="s">
        <v>1872</v>
      </c>
      <c r="L20" s="57" t="n">
        <v>94</v>
      </c>
      <c r="M20" s="57" t="s">
        <v>284</v>
      </c>
      <c r="N20" s="57" t="n">
        <v>376</v>
      </c>
      <c r="O20" s="57" t="s">
        <v>696</v>
      </c>
      <c r="P20" s="58" t="n">
        <v>0.095</v>
      </c>
      <c r="Q20" s="68" t="s">
        <v>1897</v>
      </c>
      <c r="R20" s="69" t="s">
        <v>1898</v>
      </c>
      <c r="S20" s="60" t="s">
        <v>96</v>
      </c>
      <c r="T20" s="61"/>
    </row>
    <row r="21" s="34" customFormat="true" ht="60" hidden="false" customHeight="true" outlineLevel="2" collapsed="false">
      <c r="A21" s="63" t="s">
        <v>1899</v>
      </c>
      <c r="B21" s="57"/>
      <c r="C21" s="57"/>
      <c r="D21" s="53" t="s">
        <v>1900</v>
      </c>
      <c r="E21" s="53" t="s">
        <v>89</v>
      </c>
      <c r="F21" s="54" t="n">
        <v>127.21</v>
      </c>
      <c r="G21" s="55"/>
      <c r="H21" s="56" t="str">
        <f aca="false">IF(ISBLANK(G21),"",IF(ISNUMBER(F21),ROUND(F21*G21,2),"Укажите цену"))</f>
        <v/>
      </c>
      <c r="I21" s="57" t="n">
        <v>35</v>
      </c>
      <c r="J21" s="57" t="n">
        <v>15.1</v>
      </c>
      <c r="K21" s="57" t="s">
        <v>1872</v>
      </c>
      <c r="L21" s="57" t="n">
        <v>94</v>
      </c>
      <c r="M21" s="57" t="s">
        <v>284</v>
      </c>
      <c r="N21" s="57" t="n">
        <v>376</v>
      </c>
      <c r="O21" s="57" t="s">
        <v>696</v>
      </c>
      <c r="P21" s="58" t="n">
        <v>0.095</v>
      </c>
      <c r="Q21" s="68" t="s">
        <v>1901</v>
      </c>
      <c r="R21" s="69" t="s">
        <v>1902</v>
      </c>
      <c r="S21" s="60" t="s">
        <v>96</v>
      </c>
      <c r="T21" s="61"/>
    </row>
    <row r="22" s="34" customFormat="true" ht="60" hidden="false" customHeight="true" outlineLevel="2" collapsed="false">
      <c r="A22" s="63"/>
      <c r="B22" s="57"/>
      <c r="C22" s="57"/>
      <c r="D22" s="53" t="s">
        <v>1903</v>
      </c>
      <c r="E22" s="53" t="s">
        <v>103</v>
      </c>
      <c r="F22" s="54" t="n">
        <v>127.21</v>
      </c>
      <c r="G22" s="55"/>
      <c r="H22" s="56" t="str">
        <f aca="false">IF(ISBLANK(G22),"",IF(ISNUMBER(F22),ROUND(F22*G22,2),"Укажите цену"))</f>
        <v/>
      </c>
      <c r="I22" s="57"/>
      <c r="J22" s="57"/>
      <c r="K22" s="57"/>
      <c r="L22" s="57"/>
      <c r="M22" s="57"/>
      <c r="N22" s="57"/>
      <c r="O22" s="57"/>
      <c r="P22" s="58"/>
      <c r="Q22" s="68"/>
      <c r="R22" s="69"/>
      <c r="S22" s="60"/>
      <c r="T22" s="61"/>
    </row>
    <row r="23" s="34" customFormat="true" ht="60" hidden="false" customHeight="true" outlineLevel="2" collapsed="false">
      <c r="A23" s="63" t="s">
        <v>1904</v>
      </c>
      <c r="B23" s="57"/>
      <c r="C23" s="57"/>
      <c r="D23" s="53" t="s">
        <v>1905</v>
      </c>
      <c r="E23" s="53" t="s">
        <v>89</v>
      </c>
      <c r="F23" s="54" t="n">
        <v>185.93</v>
      </c>
      <c r="G23" s="55"/>
      <c r="H23" s="56" t="str">
        <f aca="false">IF(ISBLANK(G23),"",IF(ISNUMBER(F23),ROUND(F23*G23,2),"Укажите цену"))</f>
        <v/>
      </c>
      <c r="I23" s="57" t="n">
        <v>61</v>
      </c>
      <c r="J23" s="57" t="n">
        <v>25.2</v>
      </c>
      <c r="K23" s="57" t="s">
        <v>1872</v>
      </c>
      <c r="L23" s="57" t="n">
        <v>94</v>
      </c>
      <c r="M23" s="57" t="s">
        <v>284</v>
      </c>
      <c r="N23" s="57" t="n">
        <v>376</v>
      </c>
      <c r="O23" s="57" t="s">
        <v>696</v>
      </c>
      <c r="P23" s="58" t="n">
        <v>0.095</v>
      </c>
      <c r="Q23" s="68" t="s">
        <v>1906</v>
      </c>
      <c r="R23" s="69" t="s">
        <v>1907</v>
      </c>
      <c r="S23" s="60" t="s">
        <v>96</v>
      </c>
      <c r="T23" s="61"/>
    </row>
    <row r="24" s="34" customFormat="true" ht="60" hidden="false" customHeight="true" outlineLevel="2" collapsed="false">
      <c r="A24" s="63"/>
      <c r="B24" s="57"/>
      <c r="C24" s="57"/>
      <c r="D24" s="53" t="s">
        <v>1908</v>
      </c>
      <c r="E24" s="53" t="s">
        <v>103</v>
      </c>
      <c r="F24" s="54" t="n">
        <v>185.93</v>
      </c>
      <c r="G24" s="55"/>
      <c r="H24" s="56" t="str">
        <f aca="false">IF(ISBLANK(G24),"",IF(ISNUMBER(F24),ROUND(F24*G24,2),"Укажите цену"))</f>
        <v/>
      </c>
      <c r="I24" s="57"/>
      <c r="J24" s="57"/>
      <c r="K24" s="57"/>
      <c r="L24" s="57"/>
      <c r="M24" s="57"/>
      <c r="N24" s="57"/>
      <c r="O24" s="57"/>
      <c r="P24" s="58"/>
      <c r="Q24" s="68"/>
      <c r="R24" s="69"/>
      <c r="S24" s="60"/>
      <c r="T24" s="61"/>
    </row>
    <row r="25" s="34" customFormat="true" ht="60" hidden="false" customHeight="true" outlineLevel="2" collapsed="false">
      <c r="A25" s="63" t="s">
        <v>1909</v>
      </c>
      <c r="B25" s="57"/>
      <c r="C25" s="57"/>
      <c r="D25" s="53" t="s">
        <v>1910</v>
      </c>
      <c r="E25" s="53" t="s">
        <v>89</v>
      </c>
      <c r="F25" s="54" t="n">
        <v>164.73</v>
      </c>
      <c r="G25" s="55"/>
      <c r="H25" s="56" t="str">
        <f aca="false">IF(ISBLANK(G25),"",IF(ISNUMBER(F25),ROUND(F25*G25,2),"Укажите цену"))</f>
        <v/>
      </c>
      <c r="I25" s="57" t="n">
        <v>61</v>
      </c>
      <c r="J25" s="57" t="n">
        <v>25</v>
      </c>
      <c r="K25" s="57" t="s">
        <v>1872</v>
      </c>
      <c r="L25" s="57" t="n">
        <v>94</v>
      </c>
      <c r="M25" s="57" t="s">
        <v>284</v>
      </c>
      <c r="N25" s="57" t="n">
        <v>376</v>
      </c>
      <c r="O25" s="57" t="s">
        <v>696</v>
      </c>
      <c r="P25" s="58" t="n">
        <v>0.095</v>
      </c>
      <c r="Q25" s="68" t="s">
        <v>1911</v>
      </c>
      <c r="R25" s="69" t="s">
        <v>1912</v>
      </c>
      <c r="S25" s="60" t="s">
        <v>96</v>
      </c>
      <c r="T25" s="61"/>
    </row>
    <row r="26" s="34" customFormat="true" ht="60" hidden="false" customHeight="true" outlineLevel="2" collapsed="false">
      <c r="A26" s="63"/>
      <c r="B26" s="57"/>
      <c r="C26" s="57"/>
      <c r="D26" s="53" t="s">
        <v>1913</v>
      </c>
      <c r="E26" s="53" t="s">
        <v>103</v>
      </c>
      <c r="F26" s="54" t="n">
        <v>164.73</v>
      </c>
      <c r="G26" s="55"/>
      <c r="H26" s="56" t="str">
        <f aca="false">IF(ISBLANK(G26),"",IF(ISNUMBER(F26),ROUND(F26*G26,2),"Укажите цену"))</f>
        <v/>
      </c>
      <c r="I26" s="57"/>
      <c r="J26" s="57"/>
      <c r="K26" s="57"/>
      <c r="L26" s="57"/>
      <c r="M26" s="57"/>
      <c r="N26" s="57"/>
      <c r="O26" s="57"/>
      <c r="P26" s="58"/>
      <c r="Q26" s="68"/>
      <c r="R26" s="69"/>
      <c r="S26" s="60"/>
      <c r="T26" s="61"/>
    </row>
    <row r="27" s="70" customFormat="true" ht="115" hidden="false" customHeight="true" outlineLevel="2" collapsed="false">
      <c r="A27" s="51" t="s">
        <v>1914</v>
      </c>
      <c r="B27" s="57"/>
      <c r="C27" s="57"/>
      <c r="D27" s="53" t="s">
        <v>1915</v>
      </c>
      <c r="E27" s="53" t="s">
        <v>638</v>
      </c>
      <c r="F27" s="54" t="n">
        <v>159.83</v>
      </c>
      <c r="G27" s="55"/>
      <c r="H27" s="56" t="str">
        <f aca="false">IF(ISBLANK(G27),"",IF(ISNUMBER(F27),ROUND(F27*G27,2),"Укажите цену"))</f>
        <v/>
      </c>
      <c r="I27" s="57" t="n">
        <v>45</v>
      </c>
      <c r="J27" s="57" t="n">
        <v>9.7</v>
      </c>
      <c r="K27" s="57" t="s">
        <v>1473</v>
      </c>
      <c r="L27" s="57" t="n">
        <v>42</v>
      </c>
      <c r="M27" s="57" t="s">
        <v>284</v>
      </c>
      <c r="N27" s="57" t="n">
        <v>168</v>
      </c>
      <c r="O27" s="57" t="s">
        <v>696</v>
      </c>
      <c r="P27" s="58" t="n">
        <v>0.095</v>
      </c>
      <c r="Q27" s="68" t="s">
        <v>1916</v>
      </c>
      <c r="R27" s="69" t="s">
        <v>1917</v>
      </c>
      <c r="S27" s="60" t="s">
        <v>96</v>
      </c>
      <c r="T27" s="61"/>
    </row>
    <row r="28" s="70" customFormat="true" ht="115" hidden="false" customHeight="true" outlineLevel="2" collapsed="false">
      <c r="A28" s="51" t="s">
        <v>1918</v>
      </c>
      <c r="B28" s="57"/>
      <c r="C28" s="57"/>
      <c r="D28" s="53" t="s">
        <v>1919</v>
      </c>
      <c r="E28" s="53" t="s">
        <v>638</v>
      </c>
      <c r="F28" s="54" t="n">
        <v>215.28</v>
      </c>
      <c r="G28" s="55"/>
      <c r="H28" s="56" t="str">
        <f aca="false">IF(ISBLANK(G28),"",IF(ISNUMBER(F28),ROUND(F28*G28,2),"Укажите цену"))</f>
        <v/>
      </c>
      <c r="I28" s="57" t="n">
        <v>49</v>
      </c>
      <c r="J28" s="57" t="n">
        <v>10.3</v>
      </c>
      <c r="K28" s="57" t="s">
        <v>1473</v>
      </c>
      <c r="L28" s="57" t="n">
        <v>42</v>
      </c>
      <c r="M28" s="57" t="s">
        <v>284</v>
      </c>
      <c r="N28" s="57" t="n">
        <v>168</v>
      </c>
      <c r="O28" s="57" t="s">
        <v>696</v>
      </c>
      <c r="P28" s="58" t="n">
        <v>0.095</v>
      </c>
      <c r="Q28" s="68" t="s">
        <v>1920</v>
      </c>
      <c r="R28" s="69" t="s">
        <v>1921</v>
      </c>
      <c r="S28" s="60" t="s">
        <v>96</v>
      </c>
      <c r="T28" s="61"/>
    </row>
    <row r="29" s="70" customFormat="true" ht="115" hidden="false" customHeight="true" outlineLevel="2" collapsed="false">
      <c r="A29" s="51" t="s">
        <v>1922</v>
      </c>
      <c r="B29" s="57"/>
      <c r="C29" s="57"/>
      <c r="D29" s="53" t="s">
        <v>1923</v>
      </c>
      <c r="E29" s="53" t="s">
        <v>638</v>
      </c>
      <c r="F29" s="54" t="n">
        <v>257.69</v>
      </c>
      <c r="G29" s="55"/>
      <c r="H29" s="56" t="str">
        <f aca="false">IF(ISBLANK(G29),"",IF(ISNUMBER(F29),ROUND(F29*G29,2),"Укажите цену"))</f>
        <v/>
      </c>
      <c r="I29" s="57" t="n">
        <v>56</v>
      </c>
      <c r="J29" s="57" t="n">
        <v>11.6</v>
      </c>
      <c r="K29" s="57" t="s">
        <v>1473</v>
      </c>
      <c r="L29" s="57" t="n">
        <v>42</v>
      </c>
      <c r="M29" s="57" t="s">
        <v>284</v>
      </c>
      <c r="N29" s="57" t="n">
        <v>168</v>
      </c>
      <c r="O29" s="57" t="s">
        <v>696</v>
      </c>
      <c r="P29" s="58" t="n">
        <v>0.095</v>
      </c>
      <c r="Q29" s="68" t="s">
        <v>1924</v>
      </c>
      <c r="R29" s="69" t="s">
        <v>1925</v>
      </c>
      <c r="S29" s="60" t="s">
        <v>96</v>
      </c>
      <c r="T29" s="61"/>
    </row>
    <row r="30" s="70" customFormat="true" ht="115" hidden="false" customHeight="true" outlineLevel="2" collapsed="false">
      <c r="A30" s="51" t="s">
        <v>1926</v>
      </c>
      <c r="B30" s="57"/>
      <c r="C30" s="57"/>
      <c r="D30" s="53" t="s">
        <v>1927</v>
      </c>
      <c r="E30" s="53" t="s">
        <v>89</v>
      </c>
      <c r="F30" s="54" t="n">
        <v>208.76</v>
      </c>
      <c r="G30" s="55"/>
      <c r="H30" s="56" t="str">
        <f aca="false">IF(ISBLANK(G30),"",IF(ISNUMBER(F30),ROUND(F30*G30,2),"Укажите цену"))</f>
        <v/>
      </c>
      <c r="I30" s="57" t="n">
        <v>50</v>
      </c>
      <c r="J30" s="57" t="n">
        <v>9.5</v>
      </c>
      <c r="K30" s="57" t="s">
        <v>1928</v>
      </c>
      <c r="L30" s="57" t="n">
        <v>37</v>
      </c>
      <c r="M30" s="57" t="s">
        <v>284</v>
      </c>
      <c r="N30" s="57" t="n">
        <v>148</v>
      </c>
      <c r="O30" s="57" t="s">
        <v>696</v>
      </c>
      <c r="P30" s="58" t="n">
        <v>0.095</v>
      </c>
      <c r="Q30" s="68" t="s">
        <v>1929</v>
      </c>
      <c r="R30" s="72" t="s">
        <v>1930</v>
      </c>
      <c r="S30" s="73" t="s">
        <v>96</v>
      </c>
      <c r="T30" s="61"/>
    </row>
    <row r="31" s="70" customFormat="true" ht="115" hidden="false" customHeight="true" outlineLevel="2" collapsed="false">
      <c r="A31" s="51" t="s">
        <v>1931</v>
      </c>
      <c r="B31" s="57"/>
      <c r="C31" s="57"/>
      <c r="D31" s="53" t="s">
        <v>1932</v>
      </c>
      <c r="E31" s="53" t="s">
        <v>89</v>
      </c>
      <c r="F31" s="54" t="n">
        <v>298.46</v>
      </c>
      <c r="G31" s="55"/>
      <c r="H31" s="56" t="str">
        <f aca="false">IF(ISBLANK(G31),"",IF(ISNUMBER(F31),ROUND(F31*G31,2),"Укажите цену"))</f>
        <v/>
      </c>
      <c r="I31" s="57" t="n">
        <v>57</v>
      </c>
      <c r="J31" s="57" t="n">
        <v>10.6</v>
      </c>
      <c r="K31" s="57" t="s">
        <v>1928</v>
      </c>
      <c r="L31" s="57" t="n">
        <v>37</v>
      </c>
      <c r="M31" s="57" t="s">
        <v>284</v>
      </c>
      <c r="N31" s="57" t="n">
        <v>148</v>
      </c>
      <c r="O31" s="57" t="s">
        <v>696</v>
      </c>
      <c r="P31" s="58" t="n">
        <v>0.095</v>
      </c>
      <c r="Q31" s="68" t="s">
        <v>1933</v>
      </c>
      <c r="R31" s="72" t="s">
        <v>1934</v>
      </c>
      <c r="S31" s="73" t="s">
        <v>96</v>
      </c>
      <c r="T31" s="61"/>
    </row>
    <row r="32" s="62" customFormat="true" ht="115" hidden="false" customHeight="true" outlineLevel="2" collapsed="false">
      <c r="A32" s="51" t="s">
        <v>1935</v>
      </c>
      <c r="B32" s="57"/>
      <c r="C32" s="57"/>
      <c r="D32" s="53" t="s">
        <v>1936</v>
      </c>
      <c r="E32" s="53" t="s">
        <v>1937</v>
      </c>
      <c r="F32" s="54" t="n">
        <v>138.63</v>
      </c>
      <c r="G32" s="55"/>
      <c r="H32" s="56" t="str">
        <f aca="false">IF(ISBLANK(G32),"",IF(ISNUMBER(F32),ROUND(F32*G32,2),"Укажите цену"))</f>
        <v/>
      </c>
      <c r="I32" s="57" t="n">
        <v>54</v>
      </c>
      <c r="J32" s="26" t="n">
        <v>23.26</v>
      </c>
      <c r="K32" s="57" t="s">
        <v>1938</v>
      </c>
      <c r="L32" s="57" t="n">
        <v>98</v>
      </c>
      <c r="M32" s="57" t="s">
        <v>284</v>
      </c>
      <c r="N32" s="57" t="n">
        <v>392</v>
      </c>
      <c r="O32" s="57" t="s">
        <v>696</v>
      </c>
      <c r="P32" s="58" t="n">
        <v>0.095</v>
      </c>
      <c r="Q32" s="59" t="s">
        <v>1939</v>
      </c>
      <c r="R32" s="77" t="s">
        <v>1940</v>
      </c>
      <c r="S32" s="73" t="s">
        <v>96</v>
      </c>
      <c r="T32" s="61"/>
      <c r="U32" s="87"/>
      <c r="V32" s="61"/>
      <c r="W32" s="61"/>
      <c r="X32" s="61"/>
      <c r="Y32" s="61"/>
      <c r="Z32" s="61"/>
    </row>
    <row r="33" s="62" customFormat="true" ht="115" hidden="false" customHeight="true" outlineLevel="2" collapsed="false">
      <c r="A33" s="51" t="s">
        <v>1941</v>
      </c>
      <c r="B33" s="57"/>
      <c r="C33" s="57"/>
      <c r="D33" s="53" t="s">
        <v>1942</v>
      </c>
      <c r="E33" s="53" t="s">
        <v>1937</v>
      </c>
      <c r="F33" s="54" t="n">
        <v>220.18</v>
      </c>
      <c r="G33" s="55"/>
      <c r="H33" s="56" t="str">
        <f aca="false">IF(ISBLANK(G33),"",IF(ISNUMBER(F33),ROUND(F33*G33,2),"Укажите цену"))</f>
        <v/>
      </c>
      <c r="I33" s="57" t="n">
        <v>58</v>
      </c>
      <c r="J33" s="26" t="n">
        <v>24.68</v>
      </c>
      <c r="K33" s="57" t="s">
        <v>1938</v>
      </c>
      <c r="L33" s="57" t="n">
        <v>98</v>
      </c>
      <c r="M33" s="57" t="s">
        <v>284</v>
      </c>
      <c r="N33" s="57" t="n">
        <v>392</v>
      </c>
      <c r="O33" s="57" t="s">
        <v>696</v>
      </c>
      <c r="P33" s="58" t="n">
        <v>0.095</v>
      </c>
      <c r="Q33" s="59" t="s">
        <v>1943</v>
      </c>
      <c r="R33" s="77" t="s">
        <v>1944</v>
      </c>
      <c r="S33" s="73" t="s">
        <v>96</v>
      </c>
      <c r="T33" s="61"/>
      <c r="U33" s="87"/>
      <c r="V33" s="61"/>
      <c r="W33" s="61"/>
      <c r="X33" s="61"/>
      <c r="Y33" s="61"/>
      <c r="Z33" s="61"/>
    </row>
    <row r="34" s="62" customFormat="true" ht="115" hidden="false" customHeight="true" outlineLevel="2" collapsed="false">
      <c r="A34" s="51" t="s">
        <v>1945</v>
      </c>
      <c r="B34" s="57"/>
      <c r="C34" s="57"/>
      <c r="D34" s="53" t="s">
        <v>1946</v>
      </c>
      <c r="E34" s="53" t="s">
        <v>1937</v>
      </c>
      <c r="F34" s="54" t="n">
        <v>195.71</v>
      </c>
      <c r="G34" s="55"/>
      <c r="H34" s="56" t="str">
        <f aca="false">IF(ISBLANK(G34),"",IF(ISNUMBER(F34),ROUND(F34*G34,2),"Укажите цену"))</f>
        <v/>
      </c>
      <c r="I34" s="57" t="n">
        <v>58</v>
      </c>
      <c r="J34" s="26" t="n">
        <v>24.89</v>
      </c>
      <c r="K34" s="57" t="s">
        <v>1938</v>
      </c>
      <c r="L34" s="57" t="n">
        <v>98</v>
      </c>
      <c r="M34" s="57" t="s">
        <v>284</v>
      </c>
      <c r="N34" s="57" t="n">
        <v>392</v>
      </c>
      <c r="O34" s="57" t="s">
        <v>696</v>
      </c>
      <c r="P34" s="58" t="n">
        <v>0.095</v>
      </c>
      <c r="Q34" s="59" t="s">
        <v>1947</v>
      </c>
      <c r="R34" s="77" t="s">
        <v>1948</v>
      </c>
      <c r="S34" s="73" t="s">
        <v>96</v>
      </c>
      <c r="T34" s="61"/>
      <c r="U34" s="87"/>
      <c r="V34" s="61"/>
      <c r="W34" s="61"/>
      <c r="X34" s="61"/>
      <c r="Y34" s="61"/>
      <c r="Z34" s="61"/>
    </row>
    <row r="35" s="70" customFormat="true" ht="115" hidden="false" customHeight="true" outlineLevel="2" collapsed="false">
      <c r="A35" s="51" t="s">
        <v>1949</v>
      </c>
      <c r="B35" s="57"/>
      <c r="C35" s="57"/>
      <c r="D35" s="53" t="s">
        <v>1950</v>
      </c>
      <c r="E35" s="53" t="s">
        <v>89</v>
      </c>
      <c r="F35" s="54" t="n">
        <v>171.25</v>
      </c>
      <c r="G35" s="55"/>
      <c r="H35" s="56" t="str">
        <f aca="false">IF(ISBLANK(G35),"",IF(ISNUMBER(F35),ROUND(F35*G35,2),"Укажите цену"))</f>
        <v/>
      </c>
      <c r="I35" s="57" t="n">
        <v>27</v>
      </c>
      <c r="J35" s="57" t="n">
        <v>12.6</v>
      </c>
      <c r="K35" s="57" t="s">
        <v>1951</v>
      </c>
      <c r="L35" s="57" t="n">
        <v>98</v>
      </c>
      <c r="M35" s="57" t="s">
        <v>284</v>
      </c>
      <c r="N35" s="57" t="n">
        <v>392</v>
      </c>
      <c r="O35" s="57" t="s">
        <v>696</v>
      </c>
      <c r="P35" s="58" t="n">
        <v>0.095</v>
      </c>
      <c r="Q35" s="68" t="s">
        <v>1952</v>
      </c>
      <c r="R35" s="72" t="s">
        <v>1953</v>
      </c>
      <c r="S35" s="73" t="s">
        <v>96</v>
      </c>
      <c r="T35" s="61"/>
    </row>
    <row r="36" s="62" customFormat="true" ht="115" hidden="false" customHeight="true" outlineLevel="2" collapsed="false">
      <c r="A36" s="51" t="s">
        <v>1954</v>
      </c>
      <c r="B36" s="57"/>
      <c r="C36" s="57"/>
      <c r="D36" s="53" t="s">
        <v>1955</v>
      </c>
      <c r="E36" s="53" t="s">
        <v>89</v>
      </c>
      <c r="F36" s="54" t="n">
        <v>334.34</v>
      </c>
      <c r="G36" s="55"/>
      <c r="H36" s="56" t="str">
        <f aca="false">IF(ISBLANK(G36),"",IF(ISNUMBER(F36),ROUND(F36*G36,2),"Укажите цену"))</f>
        <v/>
      </c>
      <c r="I36" s="57" t="n">
        <v>57</v>
      </c>
      <c r="J36" s="26" t="n">
        <v>10.55</v>
      </c>
      <c r="K36" s="57" t="s">
        <v>1956</v>
      </c>
      <c r="L36" s="57" t="n">
        <v>37</v>
      </c>
      <c r="M36" s="57" t="s">
        <v>284</v>
      </c>
      <c r="N36" s="57" t="n">
        <v>148</v>
      </c>
      <c r="O36" s="57" t="s">
        <v>696</v>
      </c>
      <c r="P36" s="58" t="n">
        <v>0.095</v>
      </c>
      <c r="Q36" s="59" t="s">
        <v>1957</v>
      </c>
      <c r="R36" s="77" t="s">
        <v>1958</v>
      </c>
      <c r="S36" s="73" t="s">
        <v>96</v>
      </c>
      <c r="T36" s="61"/>
      <c r="U36" s="87"/>
      <c r="V36" s="61"/>
      <c r="W36" s="61"/>
      <c r="X36" s="61"/>
      <c r="Y36" s="61"/>
      <c r="Z36" s="61"/>
    </row>
    <row r="37" s="62" customFormat="true" ht="115" hidden="false" customHeight="true" outlineLevel="2" collapsed="false">
      <c r="A37" s="51" t="s">
        <v>1959</v>
      </c>
      <c r="B37" s="57"/>
      <c r="C37" s="57"/>
      <c r="D37" s="53" t="s">
        <v>1960</v>
      </c>
      <c r="E37" s="53" t="s">
        <v>89</v>
      </c>
      <c r="F37" s="54" t="n">
        <v>269.11</v>
      </c>
      <c r="G37" s="55"/>
      <c r="H37" s="56" t="str">
        <f aca="false">IF(ISBLANK(G37),"",IF(ISNUMBER(F37),ROUND(F37*G37,2),"Укажите цену"))</f>
        <v/>
      </c>
      <c r="I37" s="57" t="n">
        <v>58</v>
      </c>
      <c r="J37" s="26" t="n">
        <v>10.65</v>
      </c>
      <c r="K37" s="57" t="s">
        <v>1956</v>
      </c>
      <c r="L37" s="57" t="n">
        <v>37</v>
      </c>
      <c r="M37" s="57" t="s">
        <v>284</v>
      </c>
      <c r="N37" s="57" t="n">
        <v>148</v>
      </c>
      <c r="O37" s="57" t="s">
        <v>696</v>
      </c>
      <c r="P37" s="58" t="n">
        <v>0.095</v>
      </c>
      <c r="Q37" s="59" t="s">
        <v>1961</v>
      </c>
      <c r="R37" s="77" t="s">
        <v>1962</v>
      </c>
      <c r="S37" s="73" t="s">
        <v>96</v>
      </c>
      <c r="T37" s="61"/>
      <c r="U37" s="87"/>
      <c r="V37" s="61"/>
      <c r="W37" s="61"/>
      <c r="X37" s="61"/>
      <c r="Y37" s="61"/>
      <c r="Z37" s="61"/>
    </row>
    <row r="38" s="62" customFormat="true" ht="115" hidden="false" customHeight="true" outlineLevel="2" collapsed="false">
      <c r="A38" s="51" t="s">
        <v>1963</v>
      </c>
      <c r="B38" s="57"/>
      <c r="C38" s="57"/>
      <c r="D38" s="53" t="s">
        <v>1964</v>
      </c>
      <c r="E38" s="53" t="s">
        <v>89</v>
      </c>
      <c r="F38" s="54" t="n">
        <v>293.57</v>
      </c>
      <c r="G38" s="55"/>
      <c r="H38" s="56" t="str">
        <f aca="false">IF(ISBLANK(G38),"",IF(ISNUMBER(F38),ROUND(F38*G38,2),"Укажите цену"))</f>
        <v/>
      </c>
      <c r="I38" s="57" t="n">
        <v>82</v>
      </c>
      <c r="J38" s="26" t="n">
        <v>14.15</v>
      </c>
      <c r="K38" s="57" t="s">
        <v>1956</v>
      </c>
      <c r="L38" s="57" t="n">
        <v>37</v>
      </c>
      <c r="M38" s="57" t="s">
        <v>284</v>
      </c>
      <c r="N38" s="57" t="n">
        <v>148</v>
      </c>
      <c r="O38" s="57" t="s">
        <v>696</v>
      </c>
      <c r="P38" s="58" t="n">
        <v>0.095</v>
      </c>
      <c r="Q38" s="59" t="s">
        <v>1965</v>
      </c>
      <c r="R38" s="77" t="s">
        <v>1966</v>
      </c>
      <c r="S38" s="73" t="s">
        <v>96</v>
      </c>
      <c r="T38" s="61"/>
      <c r="U38" s="87"/>
      <c r="V38" s="61"/>
      <c r="W38" s="61"/>
      <c r="X38" s="61"/>
      <c r="Y38" s="61"/>
      <c r="Z38" s="61"/>
    </row>
    <row r="39" s="62" customFormat="true" ht="115" hidden="false" customHeight="true" outlineLevel="2" collapsed="false">
      <c r="A39" s="51" t="s">
        <v>1967</v>
      </c>
      <c r="B39" s="57"/>
      <c r="C39" s="57"/>
      <c r="D39" s="53" t="s">
        <v>1968</v>
      </c>
      <c r="E39" s="53" t="s">
        <v>1969</v>
      </c>
      <c r="F39" s="54" t="n">
        <v>285.41</v>
      </c>
      <c r="G39" s="55"/>
      <c r="H39" s="56" t="str">
        <f aca="false">IF(ISBLANK(G39),"",IF(ISNUMBER(F39),ROUND(F39*G39,2),"Укажите цену"))</f>
        <v/>
      </c>
      <c r="I39" s="57" t="n">
        <v>53</v>
      </c>
      <c r="J39" s="26" t="n">
        <v>9.92</v>
      </c>
      <c r="K39" s="57" t="s">
        <v>1970</v>
      </c>
      <c r="L39" s="57" t="n">
        <v>37</v>
      </c>
      <c r="M39" s="57" t="s">
        <v>284</v>
      </c>
      <c r="N39" s="57" t="n">
        <v>148</v>
      </c>
      <c r="O39" s="57" t="s">
        <v>696</v>
      </c>
      <c r="P39" s="58" t="n">
        <v>0.095</v>
      </c>
      <c r="Q39" s="59" t="s">
        <v>1971</v>
      </c>
      <c r="R39" s="77" t="s">
        <v>1972</v>
      </c>
      <c r="S39" s="73" t="s">
        <v>96</v>
      </c>
      <c r="T39" s="61"/>
      <c r="U39" s="87"/>
      <c r="V39" s="61"/>
      <c r="W39" s="61"/>
      <c r="X39" s="61"/>
      <c r="Y39" s="61"/>
      <c r="Z39" s="61"/>
    </row>
    <row r="40" s="62" customFormat="true" ht="115" hidden="false" customHeight="true" outlineLevel="2" collapsed="false">
      <c r="A40" s="51" t="s">
        <v>1973</v>
      </c>
      <c r="B40" s="57"/>
      <c r="C40" s="57"/>
      <c r="D40" s="53" t="s">
        <v>1974</v>
      </c>
      <c r="E40" s="53" t="s">
        <v>1969</v>
      </c>
      <c r="F40" s="54" t="n">
        <v>448.51</v>
      </c>
      <c r="G40" s="55"/>
      <c r="H40" s="56" t="str">
        <f aca="false">IF(ISBLANK(G40),"",IF(ISNUMBER(F40),ROUND(F40*G40,2),"Укажите цену"))</f>
        <v/>
      </c>
      <c r="I40" s="57" t="n">
        <v>56</v>
      </c>
      <c r="J40" s="26" t="n">
        <v>10.35</v>
      </c>
      <c r="K40" s="57" t="s">
        <v>1970</v>
      </c>
      <c r="L40" s="57" t="n">
        <v>37</v>
      </c>
      <c r="M40" s="57" t="s">
        <v>284</v>
      </c>
      <c r="N40" s="57" t="n">
        <v>148</v>
      </c>
      <c r="O40" s="57" t="s">
        <v>696</v>
      </c>
      <c r="P40" s="58" t="n">
        <v>0.095</v>
      </c>
      <c r="Q40" s="59" t="s">
        <v>1975</v>
      </c>
      <c r="R40" s="77" t="s">
        <v>1976</v>
      </c>
      <c r="S40" s="73" t="s">
        <v>96</v>
      </c>
      <c r="T40" s="61"/>
      <c r="U40" s="87"/>
      <c r="V40" s="61"/>
      <c r="W40" s="61"/>
      <c r="X40" s="61"/>
      <c r="Y40" s="61"/>
      <c r="Z40" s="61"/>
    </row>
    <row r="41" s="62" customFormat="true" ht="115" hidden="false" customHeight="true" outlineLevel="2" collapsed="false">
      <c r="A41" s="51" t="s">
        <v>1977</v>
      </c>
      <c r="B41" s="52"/>
      <c r="C41" s="57"/>
      <c r="D41" s="53" t="s">
        <v>1978</v>
      </c>
      <c r="E41" s="53" t="s">
        <v>89</v>
      </c>
      <c r="F41" s="54" t="n">
        <v>97.86</v>
      </c>
      <c r="G41" s="55"/>
      <c r="H41" s="56" t="str">
        <f aca="false">IF(ISBLANK(G41),"",IF(ISNUMBER(F41),ROUND(F41*G41,2),"Укажите цену"))</f>
        <v/>
      </c>
      <c r="I41" s="57" t="n">
        <v>34</v>
      </c>
      <c r="J41" s="57" t="n">
        <v>14.8</v>
      </c>
      <c r="K41" s="57" t="s">
        <v>1979</v>
      </c>
      <c r="L41" s="57" t="n">
        <v>94</v>
      </c>
      <c r="M41" s="57" t="s">
        <v>284</v>
      </c>
      <c r="N41" s="57" t="n">
        <v>376</v>
      </c>
      <c r="O41" s="57" t="s">
        <v>696</v>
      </c>
      <c r="P41" s="58" t="n">
        <v>0.095</v>
      </c>
      <c r="Q41" s="59" t="s">
        <v>1980</v>
      </c>
      <c r="R41" s="77" t="s">
        <v>1981</v>
      </c>
      <c r="S41" s="73" t="s">
        <v>96</v>
      </c>
      <c r="T41" s="61"/>
      <c r="U41" s="61"/>
      <c r="V41" s="61"/>
      <c r="W41" s="61"/>
      <c r="X41" s="61"/>
      <c r="Y41" s="61"/>
      <c r="Z41" s="61"/>
    </row>
    <row r="42" s="62" customFormat="true" ht="115" hidden="false" customHeight="true" outlineLevel="2" collapsed="false">
      <c r="A42" s="51" t="s">
        <v>1982</v>
      </c>
      <c r="B42" s="57"/>
      <c r="C42" s="57"/>
      <c r="D42" s="53" t="s">
        <v>1983</v>
      </c>
      <c r="E42" s="53" t="s">
        <v>89</v>
      </c>
      <c r="F42" s="54" t="n">
        <v>172.88</v>
      </c>
      <c r="G42" s="55"/>
      <c r="H42" s="56" t="str">
        <f aca="false">IF(ISBLANK(G42),"",IF(ISNUMBER(F42),ROUND(F42*G42,2),"Укажите цену"))</f>
        <v/>
      </c>
      <c r="I42" s="57" t="n">
        <v>39</v>
      </c>
      <c r="J42" s="57" t="n">
        <v>17.05</v>
      </c>
      <c r="K42" s="57" t="s">
        <v>1984</v>
      </c>
      <c r="L42" s="57" t="n">
        <v>94</v>
      </c>
      <c r="M42" s="57" t="s">
        <v>284</v>
      </c>
      <c r="N42" s="57" t="n">
        <v>376</v>
      </c>
      <c r="O42" s="57" t="s">
        <v>696</v>
      </c>
      <c r="P42" s="58" t="n">
        <v>0.095</v>
      </c>
      <c r="Q42" s="59" t="s">
        <v>1985</v>
      </c>
      <c r="R42" s="77" t="s">
        <v>1986</v>
      </c>
      <c r="S42" s="73" t="s">
        <v>96</v>
      </c>
      <c r="T42" s="61"/>
      <c r="U42" s="87"/>
      <c r="V42" s="61"/>
      <c r="W42" s="61"/>
      <c r="X42" s="61"/>
      <c r="Y42" s="61"/>
      <c r="Z42" s="61"/>
    </row>
    <row r="43" s="62" customFormat="true" ht="115" hidden="false" customHeight="true" outlineLevel="2" collapsed="false">
      <c r="A43" s="51" t="s">
        <v>1987</v>
      </c>
      <c r="B43" s="52"/>
      <c r="C43" s="57"/>
      <c r="D43" s="53" t="s">
        <v>1988</v>
      </c>
      <c r="E43" s="53" t="s">
        <v>89</v>
      </c>
      <c r="F43" s="54" t="n">
        <v>171.25</v>
      </c>
      <c r="G43" s="55"/>
      <c r="H43" s="56" t="str">
        <f aca="false">IF(ISBLANK(G43),"",IF(ISNUMBER(F43),ROUND(F43*G43,2),"Укажите цену"))</f>
        <v/>
      </c>
      <c r="I43" s="57" t="n">
        <v>39</v>
      </c>
      <c r="J43" s="26" t="n">
        <v>17.1</v>
      </c>
      <c r="K43" s="57" t="s">
        <v>1979</v>
      </c>
      <c r="L43" s="57" t="n">
        <v>94</v>
      </c>
      <c r="M43" s="57" t="s">
        <v>284</v>
      </c>
      <c r="N43" s="57" t="n">
        <v>376</v>
      </c>
      <c r="O43" s="57" t="s">
        <v>696</v>
      </c>
      <c r="P43" s="58" t="n">
        <v>0.095</v>
      </c>
      <c r="Q43" s="124" t="s">
        <v>1989</v>
      </c>
      <c r="R43" s="91" t="s">
        <v>1990</v>
      </c>
      <c r="S43" s="60" t="s">
        <v>96</v>
      </c>
      <c r="T43" s="87"/>
      <c r="U43" s="61"/>
      <c r="V43" s="61"/>
      <c r="W43" s="61"/>
      <c r="X43" s="61"/>
      <c r="Y43" s="61"/>
      <c r="Z43" s="61"/>
    </row>
    <row r="44" s="62" customFormat="true" ht="115" hidden="false" customHeight="true" outlineLevel="2" collapsed="false">
      <c r="A44" s="51" t="s">
        <v>1991</v>
      </c>
      <c r="B44" s="52"/>
      <c r="C44" s="57"/>
      <c r="D44" s="53" t="s">
        <v>1992</v>
      </c>
      <c r="E44" s="53" t="s">
        <v>89</v>
      </c>
      <c r="F44" s="54" t="n">
        <v>212.02</v>
      </c>
      <c r="G44" s="55"/>
      <c r="H44" s="56" t="str">
        <f aca="false">IF(ISBLANK(G44),"",IF(ISNUMBER(F44),ROUND(F44*G44,2),"Укажите цену"))</f>
        <v/>
      </c>
      <c r="I44" s="57" t="n">
        <v>65</v>
      </c>
      <c r="J44" s="26" t="n">
        <v>26.8</v>
      </c>
      <c r="K44" s="57" t="s">
        <v>1979</v>
      </c>
      <c r="L44" s="57" t="n">
        <v>94</v>
      </c>
      <c r="M44" s="57" t="s">
        <v>284</v>
      </c>
      <c r="N44" s="57" t="n">
        <v>376</v>
      </c>
      <c r="O44" s="57" t="s">
        <v>696</v>
      </c>
      <c r="P44" s="58" t="n">
        <v>0.095</v>
      </c>
      <c r="Q44" s="124" t="s">
        <v>1993</v>
      </c>
      <c r="R44" s="91" t="s">
        <v>1994</v>
      </c>
      <c r="S44" s="60" t="s">
        <v>96</v>
      </c>
      <c r="T44" s="87"/>
      <c r="U44" s="61"/>
      <c r="V44" s="61"/>
      <c r="W44" s="61"/>
      <c r="X44" s="61"/>
      <c r="Y44" s="61"/>
      <c r="Z44" s="61"/>
    </row>
    <row r="45" customFormat="false" ht="30" hidden="false" customHeight="true" outlineLevel="1" collapsed="false">
      <c r="F45" s="109" t="s">
        <v>633</v>
      </c>
      <c r="G45" s="109"/>
      <c r="H45" s="109" t="n">
        <f aca="false">IF(COUNTIFS(H5:H44,"Укажите цену")&gt;0,"Укажите цены",SUM(H5:H44))</f>
        <v>0</v>
      </c>
    </row>
    <row r="46" s="4" customFormat="true" ht="5.25" hidden="false" customHeight="true" outlineLevel="0" collapsed="false">
      <c r="A46" s="135"/>
      <c r="B46" s="135"/>
      <c r="C46" s="135"/>
      <c r="D46" s="135"/>
      <c r="E46" s="135"/>
      <c r="F46" s="135"/>
      <c r="G46" s="135"/>
      <c r="H46" s="135"/>
      <c r="I46" s="135"/>
      <c r="J46" s="135"/>
      <c r="K46" s="135"/>
      <c r="L46" s="135"/>
      <c r="M46" s="135"/>
      <c r="N46" s="135"/>
      <c r="O46" s="135"/>
      <c r="P46" s="135"/>
      <c r="Q46" s="135"/>
      <c r="R46" s="135"/>
      <c r="S46" s="73" t="s">
        <v>96</v>
      </c>
      <c r="T46" s="61"/>
    </row>
    <row r="47" customFormat="false" ht="50.1" hidden="false" customHeight="true" outlineLevel="0" collapsed="false">
      <c r="A47" s="110"/>
      <c r="D47" s="53"/>
      <c r="E47" s="53"/>
      <c r="I47" s="41"/>
      <c r="J47" s="171"/>
      <c r="K47" s="41"/>
      <c r="L47" s="34"/>
      <c r="M47" s="34"/>
      <c r="N47" s="34"/>
      <c r="O47" s="34"/>
      <c r="P47" s="169"/>
      <c r="Q47" s="34"/>
      <c r="T47" s="61"/>
    </row>
    <row r="48" customFormat="false" ht="50.1" hidden="false" customHeight="true" outlineLevel="0" collapsed="false">
      <c r="P48" s="169"/>
      <c r="T48" s="61"/>
    </row>
    <row r="49" customFormat="false" ht="50.1" hidden="false" customHeight="true" outlineLevel="0" collapsed="false">
      <c r="T49" s="61"/>
    </row>
    <row r="50" customFormat="false" ht="50.1" hidden="false" customHeight="true" outlineLevel="0" collapsed="false">
      <c r="T50" s="61"/>
    </row>
    <row r="51" customFormat="false" ht="50.1" hidden="false" customHeight="true" outlineLevel="0" collapsed="false">
      <c r="T51" s="61"/>
    </row>
    <row r="52" customFormat="false" ht="50.1" hidden="false" customHeight="true" outlineLevel="0" collapsed="false">
      <c r="T52" s="61"/>
    </row>
    <row r="53" customFormat="false" ht="50.1" hidden="false" customHeight="true" outlineLevel="0" collapsed="false">
      <c r="T53" s="61"/>
    </row>
    <row r="54" customFormat="false" ht="50.1" hidden="false" customHeight="true" outlineLevel="0" collapsed="false">
      <c r="T54" s="61"/>
    </row>
    <row r="55" customFormat="false" ht="50.1" hidden="false" customHeight="true" outlineLevel="0" collapsed="false">
      <c r="T55" s="61"/>
    </row>
    <row r="56" customFormat="false" ht="50.1" hidden="false" customHeight="true" outlineLevel="0" collapsed="false">
      <c r="T56" s="61"/>
    </row>
    <row r="57" customFormat="false" ht="50.1" hidden="false" customHeight="true" outlineLevel="0" collapsed="false">
      <c r="T57" s="61"/>
    </row>
    <row r="58" customFormat="false" ht="50.1" hidden="false" customHeight="true" outlineLevel="0" collapsed="false">
      <c r="T58" s="61"/>
    </row>
    <row r="59" customFormat="false" ht="50.1" hidden="false" customHeight="true" outlineLevel="0" collapsed="false">
      <c r="T59" s="61"/>
    </row>
    <row r="60" customFormat="false" ht="50.1" hidden="false" customHeight="true" outlineLevel="0" collapsed="false">
      <c r="T60" s="61"/>
    </row>
    <row r="61" customFormat="false" ht="50.1" hidden="false" customHeight="true" outlineLevel="0" collapsed="false">
      <c r="T61" s="61"/>
    </row>
    <row r="62" customFormat="false" ht="50.1" hidden="false" customHeight="true" outlineLevel="0" collapsed="false">
      <c r="T62" s="61"/>
    </row>
    <row r="63" customFormat="false" ht="50.1" hidden="false" customHeight="true" outlineLevel="0" collapsed="false">
      <c r="T63" s="61"/>
    </row>
    <row r="64" customFormat="false" ht="50.1" hidden="false" customHeight="true" outlineLevel="0" collapsed="false">
      <c r="T64" s="61"/>
    </row>
    <row r="65" customFormat="false" ht="50.1" hidden="false" customHeight="true" outlineLevel="0" collapsed="false">
      <c r="T65" s="61"/>
    </row>
    <row r="66" customFormat="false" ht="50.1" hidden="false" customHeight="true" outlineLevel="0" collapsed="false">
      <c r="T66" s="61"/>
    </row>
    <row r="67" customFormat="false" ht="50.1" hidden="false" customHeight="true" outlineLevel="0" collapsed="false">
      <c r="T67" s="61"/>
    </row>
    <row r="68" customFormat="false" ht="50.1" hidden="false" customHeight="true" outlineLevel="0" collapsed="false">
      <c r="T68" s="61"/>
    </row>
    <row r="69" customFormat="false" ht="50.1" hidden="false" customHeight="true" outlineLevel="0" collapsed="false">
      <c r="T69" s="61"/>
    </row>
    <row r="70" customFormat="false" ht="50.1" hidden="false" customHeight="true" outlineLevel="0" collapsed="false">
      <c r="T70" s="61"/>
    </row>
    <row r="71" customFormat="false" ht="50.1" hidden="false" customHeight="true" outlineLevel="0" collapsed="false">
      <c r="T71" s="61"/>
    </row>
    <row r="72" customFormat="false" ht="50.1" hidden="false" customHeight="true" outlineLevel="0" collapsed="false">
      <c r="T72" s="61"/>
    </row>
    <row r="73" customFormat="false" ht="50.1" hidden="false" customHeight="true" outlineLevel="0" collapsed="false">
      <c r="T73" s="61"/>
    </row>
    <row r="74" customFormat="false" ht="50.1" hidden="false" customHeight="true" outlineLevel="0" collapsed="false">
      <c r="T74" s="61"/>
    </row>
    <row r="75" customFormat="false" ht="50.1" hidden="false" customHeight="true" outlineLevel="0" collapsed="false">
      <c r="T75" s="61"/>
    </row>
    <row r="76" customFormat="false" ht="50.1" hidden="false" customHeight="true" outlineLevel="0" collapsed="false">
      <c r="T76" s="61"/>
    </row>
    <row r="77" customFormat="false" ht="50.1" hidden="false" customHeight="true" outlineLevel="0" collapsed="false">
      <c r="T77" s="61"/>
    </row>
    <row r="78" customFormat="false" ht="50.1" hidden="false" customHeight="true" outlineLevel="0" collapsed="false">
      <c r="T78" s="61"/>
    </row>
    <row r="79" customFormat="false" ht="50.1" hidden="false" customHeight="true" outlineLevel="0" collapsed="false">
      <c r="T79" s="61"/>
    </row>
    <row r="80" customFormat="false" ht="50.1" hidden="false" customHeight="true" outlineLevel="0" collapsed="false">
      <c r="T80" s="61"/>
    </row>
    <row r="81" customFormat="false" ht="50.1" hidden="false" customHeight="true" outlineLevel="0" collapsed="false">
      <c r="T81" s="61"/>
    </row>
    <row r="82" customFormat="false" ht="50.1" hidden="false" customHeight="true" outlineLevel="0" collapsed="false">
      <c r="T82" s="61"/>
    </row>
    <row r="83" customFormat="false" ht="50.1" hidden="false" customHeight="true" outlineLevel="0" collapsed="false">
      <c r="T83" s="61"/>
    </row>
    <row r="84" customFormat="false" ht="50.1" hidden="false" customHeight="true" outlineLevel="0" collapsed="false">
      <c r="T84" s="61"/>
    </row>
    <row r="85" customFormat="false" ht="50.1" hidden="false" customHeight="true" outlineLevel="0" collapsed="false">
      <c r="T85" s="61"/>
    </row>
    <row r="86" customFormat="false" ht="50.1" hidden="false" customHeight="true" outlineLevel="0" collapsed="false">
      <c r="T86" s="61"/>
    </row>
    <row r="87" customFormat="false" ht="50.1" hidden="false" customHeight="true" outlineLevel="0" collapsed="false">
      <c r="T87" s="61"/>
    </row>
    <row r="88" customFormat="false" ht="50.1" hidden="false" customHeight="true" outlineLevel="0" collapsed="false">
      <c r="T88" s="61"/>
    </row>
    <row r="89" customFormat="false" ht="50.1" hidden="false" customHeight="true" outlineLevel="0" collapsed="false">
      <c r="T89" s="61"/>
    </row>
    <row r="90" customFormat="false" ht="50.1" hidden="false" customHeight="true" outlineLevel="0" collapsed="false">
      <c r="T90" s="61"/>
    </row>
    <row r="91" customFormat="false" ht="50.1" hidden="false" customHeight="true" outlineLevel="0" collapsed="false">
      <c r="T91" s="61"/>
    </row>
    <row r="92" customFormat="false" ht="50.1" hidden="false" customHeight="true" outlineLevel="0" collapsed="false">
      <c r="T92" s="61"/>
    </row>
    <row r="93" customFormat="false" ht="50.1" hidden="false" customHeight="true" outlineLevel="0" collapsed="false">
      <c r="T93" s="61"/>
    </row>
    <row r="94" customFormat="false" ht="50.1" hidden="false" customHeight="true" outlineLevel="0" collapsed="false">
      <c r="T94" s="61"/>
    </row>
    <row r="95" customFormat="false" ht="50.1" hidden="false" customHeight="true" outlineLevel="0" collapsed="false">
      <c r="T95" s="61"/>
    </row>
    <row r="96" customFormat="false" ht="50.1" hidden="false" customHeight="true" outlineLevel="0" collapsed="false">
      <c r="T96" s="61"/>
    </row>
    <row r="97" customFormat="false" ht="50.1" hidden="false" customHeight="true" outlineLevel="0" collapsed="false">
      <c r="T97" s="61"/>
    </row>
    <row r="98" customFormat="false" ht="50.1" hidden="false" customHeight="true" outlineLevel="0" collapsed="false">
      <c r="T98" s="61"/>
    </row>
    <row r="99" customFormat="false" ht="50.1" hidden="false" customHeight="true" outlineLevel="0" collapsed="false">
      <c r="T99" s="61"/>
    </row>
    <row r="100" customFormat="false" ht="50.1" hidden="false" customHeight="true" outlineLevel="0" collapsed="false">
      <c r="T100" s="61"/>
    </row>
    <row r="101" customFormat="false" ht="50.1" hidden="false" customHeight="true" outlineLevel="0" collapsed="false">
      <c r="T101" s="61"/>
    </row>
    <row r="102" customFormat="false" ht="50.1" hidden="false" customHeight="true" outlineLevel="0" collapsed="false">
      <c r="T102" s="61"/>
    </row>
    <row r="103" customFormat="false" ht="50.1" hidden="false" customHeight="true" outlineLevel="0" collapsed="false">
      <c r="T103" s="61"/>
    </row>
    <row r="104" customFormat="false" ht="50.1" hidden="false" customHeight="true" outlineLevel="0" collapsed="false">
      <c r="T104" s="61"/>
    </row>
    <row r="105" customFormat="false" ht="50.1" hidden="false" customHeight="true" outlineLevel="0" collapsed="false">
      <c r="T105" s="61"/>
    </row>
    <row r="106" customFormat="false" ht="50.1" hidden="false" customHeight="true" outlineLevel="0" collapsed="false">
      <c r="T106" s="61"/>
    </row>
    <row r="107" customFormat="false" ht="50.1" hidden="false" customHeight="true" outlineLevel="0" collapsed="false">
      <c r="T107" s="61"/>
    </row>
    <row r="108" customFormat="false" ht="50.1" hidden="false" customHeight="true" outlineLevel="0" collapsed="false">
      <c r="T108" s="61"/>
    </row>
    <row r="109" customFormat="false" ht="50.1" hidden="false" customHeight="true" outlineLevel="0" collapsed="false">
      <c r="T109" s="61"/>
    </row>
    <row r="110" customFormat="false" ht="50.1" hidden="false" customHeight="true" outlineLevel="0" collapsed="false">
      <c r="T110" s="61"/>
    </row>
    <row r="111" customFormat="false" ht="50.1" hidden="false" customHeight="true" outlineLevel="0" collapsed="false">
      <c r="T111" s="61"/>
    </row>
    <row r="112" customFormat="false" ht="50.1" hidden="false" customHeight="true" outlineLevel="0" collapsed="false">
      <c r="T112" s="61"/>
    </row>
    <row r="113" customFormat="false" ht="50.1" hidden="false" customHeight="true" outlineLevel="0" collapsed="false">
      <c r="T113" s="61"/>
    </row>
    <row r="114" customFormat="false" ht="50.1" hidden="false" customHeight="true" outlineLevel="0" collapsed="false">
      <c r="T114" s="61"/>
    </row>
    <row r="115" customFormat="false" ht="50.1" hidden="false" customHeight="true" outlineLevel="0" collapsed="false">
      <c r="T115" s="61"/>
    </row>
    <row r="116" customFormat="false" ht="50.1" hidden="false" customHeight="true" outlineLevel="0" collapsed="false">
      <c r="T116" s="61"/>
    </row>
    <row r="117" customFormat="false" ht="50.1" hidden="false" customHeight="true" outlineLevel="0" collapsed="false">
      <c r="T117" s="61"/>
    </row>
    <row r="118" customFormat="false" ht="50.1" hidden="false" customHeight="true" outlineLevel="0" collapsed="false">
      <c r="T118" s="61"/>
    </row>
    <row r="119" customFormat="false" ht="50.1" hidden="false" customHeight="true" outlineLevel="0" collapsed="false">
      <c r="T119" s="61"/>
    </row>
    <row r="120" customFormat="false" ht="50.1" hidden="false" customHeight="true" outlineLevel="0" collapsed="false">
      <c r="T120" s="61"/>
    </row>
    <row r="121" customFormat="false" ht="50.1" hidden="false" customHeight="true" outlineLevel="0" collapsed="false">
      <c r="T121" s="61"/>
    </row>
    <row r="122" customFormat="false" ht="50.1" hidden="false" customHeight="true" outlineLevel="0" collapsed="false">
      <c r="T122" s="61"/>
    </row>
    <row r="123" customFormat="false" ht="50.1" hidden="false" customHeight="true" outlineLevel="0" collapsed="false">
      <c r="T123" s="61"/>
    </row>
    <row r="124" customFormat="false" ht="50.1" hidden="false" customHeight="true" outlineLevel="0" collapsed="false">
      <c r="T124" s="61"/>
    </row>
    <row r="125" customFormat="false" ht="50.1" hidden="false" customHeight="true" outlineLevel="0" collapsed="false">
      <c r="T125" s="61"/>
    </row>
    <row r="126" customFormat="false" ht="50.1" hidden="false" customHeight="true" outlineLevel="0" collapsed="false">
      <c r="T126" s="61"/>
    </row>
    <row r="127" customFormat="false" ht="50.1" hidden="false" customHeight="true" outlineLevel="0" collapsed="false">
      <c r="T127" s="61"/>
    </row>
    <row r="128" customFormat="false" ht="50.1" hidden="false" customHeight="true" outlineLevel="0" collapsed="false">
      <c r="T128" s="61"/>
    </row>
    <row r="129" customFormat="false" ht="50.1" hidden="false" customHeight="true" outlineLevel="0" collapsed="false">
      <c r="T129" s="61"/>
    </row>
    <row r="130" customFormat="false" ht="50.1" hidden="false" customHeight="true" outlineLevel="0" collapsed="false">
      <c r="T130" s="61"/>
    </row>
    <row r="131" customFormat="false" ht="50.1" hidden="false" customHeight="true" outlineLevel="0" collapsed="false">
      <c r="T131" s="61"/>
    </row>
    <row r="132" customFormat="false" ht="50.1" hidden="false" customHeight="true" outlineLevel="0" collapsed="false">
      <c r="T132" s="61"/>
    </row>
    <row r="133" customFormat="false" ht="50.1" hidden="false" customHeight="true" outlineLevel="0" collapsed="false">
      <c r="T133" s="61"/>
    </row>
    <row r="134" customFormat="false" ht="50.1" hidden="false" customHeight="true" outlineLevel="0" collapsed="false">
      <c r="T134" s="61"/>
    </row>
    <row r="135" customFormat="false" ht="50.1" hidden="false" customHeight="true" outlineLevel="0" collapsed="false">
      <c r="T135" s="61"/>
    </row>
    <row r="136" customFormat="false" ht="50.1" hidden="false" customHeight="true" outlineLevel="0" collapsed="false">
      <c r="T136" s="61"/>
    </row>
    <row r="137" customFormat="false" ht="50.1" hidden="false" customHeight="true" outlineLevel="0" collapsed="false">
      <c r="T137" s="61"/>
    </row>
    <row r="138" customFormat="false" ht="50.1" hidden="false" customHeight="true" outlineLevel="0" collapsed="false">
      <c r="T138" s="61"/>
    </row>
    <row r="139" customFormat="false" ht="50.1" hidden="false" customHeight="true" outlineLevel="0" collapsed="false">
      <c r="T139" s="61"/>
    </row>
    <row r="140" customFormat="false" ht="50.1" hidden="false" customHeight="true" outlineLevel="0" collapsed="false">
      <c r="T140" s="61"/>
    </row>
    <row r="141" customFormat="false" ht="50.1" hidden="false" customHeight="true" outlineLevel="0" collapsed="false">
      <c r="T141" s="61"/>
    </row>
    <row r="142" customFormat="false" ht="50.1" hidden="false" customHeight="true" outlineLevel="0" collapsed="false">
      <c r="T142" s="61"/>
    </row>
    <row r="143" customFormat="false" ht="50.1" hidden="false" customHeight="true" outlineLevel="0" collapsed="false">
      <c r="T143" s="61"/>
    </row>
    <row r="144" customFormat="false" ht="50.1" hidden="false" customHeight="true" outlineLevel="0" collapsed="false">
      <c r="T144" s="61"/>
    </row>
    <row r="145" customFormat="false" ht="50.1" hidden="false" customHeight="true" outlineLevel="0" collapsed="false">
      <c r="T145" s="61"/>
    </row>
    <row r="146" customFormat="false" ht="50.1" hidden="false" customHeight="true" outlineLevel="0" collapsed="false">
      <c r="T146" s="61"/>
    </row>
    <row r="147" customFormat="false" ht="50.1" hidden="false" customHeight="true" outlineLevel="0" collapsed="false">
      <c r="T147" s="61"/>
    </row>
    <row r="148" customFormat="false" ht="50.1" hidden="false" customHeight="true" outlineLevel="0" collapsed="false">
      <c r="T148" s="61"/>
    </row>
    <row r="149" customFormat="false" ht="50.1" hidden="false" customHeight="true" outlineLevel="0" collapsed="false">
      <c r="T149" s="61"/>
    </row>
    <row r="150" customFormat="false" ht="50.1" hidden="false" customHeight="true" outlineLevel="0" collapsed="false">
      <c r="T150" s="61"/>
    </row>
    <row r="151" customFormat="false" ht="50.1" hidden="false" customHeight="true" outlineLevel="0" collapsed="false">
      <c r="T151" s="61"/>
    </row>
    <row r="152" customFormat="false" ht="50.1" hidden="false" customHeight="true" outlineLevel="0" collapsed="false">
      <c r="T152" s="61"/>
    </row>
    <row r="153" customFormat="false" ht="50.1" hidden="false" customHeight="true" outlineLevel="0" collapsed="false">
      <c r="T153" s="61"/>
    </row>
    <row r="154" customFormat="false" ht="50.1" hidden="false" customHeight="true" outlineLevel="0" collapsed="false">
      <c r="T154" s="61"/>
    </row>
    <row r="155" customFormat="false" ht="50.1" hidden="false" customHeight="true" outlineLevel="0" collapsed="false">
      <c r="T155" s="61"/>
    </row>
    <row r="156" customFormat="false" ht="50.1" hidden="false" customHeight="true" outlineLevel="0" collapsed="false">
      <c r="T156" s="61"/>
    </row>
    <row r="157" customFormat="false" ht="50.1" hidden="false" customHeight="true" outlineLevel="0" collapsed="false">
      <c r="T157" s="61"/>
    </row>
    <row r="158" customFormat="false" ht="50.1" hidden="false" customHeight="true" outlineLevel="0" collapsed="false">
      <c r="T158" s="61"/>
    </row>
    <row r="159" customFormat="false" ht="50.1" hidden="false" customHeight="true" outlineLevel="0" collapsed="false">
      <c r="T159" s="61"/>
    </row>
    <row r="160" customFormat="false" ht="50.1" hidden="false" customHeight="true" outlineLevel="0" collapsed="false">
      <c r="T160" s="61"/>
    </row>
    <row r="161" customFormat="false" ht="50.1" hidden="false" customHeight="true" outlineLevel="0" collapsed="false">
      <c r="T161" s="61"/>
    </row>
    <row r="162" customFormat="false" ht="50.1" hidden="false" customHeight="true" outlineLevel="0" collapsed="false">
      <c r="T162" s="61"/>
    </row>
    <row r="163" customFormat="false" ht="50.1" hidden="false" customHeight="true" outlineLevel="0" collapsed="false">
      <c r="T163" s="61"/>
    </row>
    <row r="164" customFormat="false" ht="50.1" hidden="false" customHeight="true" outlineLevel="0" collapsed="false">
      <c r="T164" s="61"/>
    </row>
    <row r="165" customFormat="false" ht="50.1" hidden="false" customHeight="true" outlineLevel="0" collapsed="false">
      <c r="T165" s="61"/>
    </row>
    <row r="166" customFormat="false" ht="50.1" hidden="false" customHeight="true" outlineLevel="0" collapsed="false">
      <c r="T166" s="61"/>
    </row>
    <row r="167" customFormat="false" ht="50.1" hidden="false" customHeight="true" outlineLevel="0" collapsed="false">
      <c r="T167" s="61"/>
    </row>
    <row r="168" customFormat="false" ht="50.1" hidden="false" customHeight="true" outlineLevel="0" collapsed="false">
      <c r="T168" s="61"/>
    </row>
    <row r="169" customFormat="false" ht="50.1" hidden="false" customHeight="true" outlineLevel="0" collapsed="false">
      <c r="T169" s="61"/>
    </row>
    <row r="170" customFormat="false" ht="50.1" hidden="false" customHeight="true" outlineLevel="0" collapsed="false">
      <c r="T170" s="61"/>
    </row>
    <row r="171" customFormat="false" ht="50.1" hidden="false" customHeight="true" outlineLevel="0" collapsed="false">
      <c r="T171" s="61"/>
    </row>
    <row r="172" customFormat="false" ht="50.1" hidden="false" customHeight="true" outlineLevel="0" collapsed="false">
      <c r="T172" s="61"/>
    </row>
    <row r="173" customFormat="false" ht="50.1" hidden="false" customHeight="true" outlineLevel="0" collapsed="false">
      <c r="T173" s="61"/>
    </row>
    <row r="174" customFormat="false" ht="50.1" hidden="false" customHeight="true" outlineLevel="0" collapsed="false">
      <c r="T174" s="61"/>
    </row>
    <row r="175" customFormat="false" ht="50.1" hidden="false" customHeight="true" outlineLevel="0" collapsed="false">
      <c r="T175" s="61"/>
    </row>
    <row r="176" customFormat="false" ht="50.1" hidden="false" customHeight="true" outlineLevel="0" collapsed="false">
      <c r="T176" s="61"/>
    </row>
    <row r="177" customFormat="false" ht="50.1" hidden="false" customHeight="true" outlineLevel="0" collapsed="false">
      <c r="T177" s="61"/>
    </row>
    <row r="178" customFormat="false" ht="50.1" hidden="false" customHeight="true" outlineLevel="0" collapsed="false">
      <c r="T178" s="61"/>
    </row>
    <row r="179" customFormat="false" ht="50.1" hidden="false" customHeight="true" outlineLevel="0" collapsed="false">
      <c r="T179" s="61"/>
    </row>
    <row r="180" customFormat="false" ht="50.1" hidden="false" customHeight="true" outlineLevel="0" collapsed="false">
      <c r="T180" s="61"/>
    </row>
    <row r="181" customFormat="false" ht="50.1" hidden="false" customHeight="true" outlineLevel="0" collapsed="false">
      <c r="T181" s="61"/>
    </row>
    <row r="182" customFormat="false" ht="50.1" hidden="false" customHeight="true" outlineLevel="0" collapsed="false">
      <c r="T182" s="61"/>
    </row>
    <row r="183" customFormat="false" ht="50.1" hidden="false" customHeight="true" outlineLevel="0" collapsed="false">
      <c r="T183" s="61"/>
    </row>
    <row r="184" customFormat="false" ht="50.1" hidden="false" customHeight="true" outlineLevel="0" collapsed="false">
      <c r="T184" s="61"/>
    </row>
    <row r="185" customFormat="false" ht="50.1" hidden="false" customHeight="true" outlineLevel="0" collapsed="false">
      <c r="T185" s="61"/>
    </row>
    <row r="186" customFormat="false" ht="50.1" hidden="false" customHeight="true" outlineLevel="0" collapsed="false">
      <c r="T186" s="61"/>
    </row>
    <row r="187" customFormat="false" ht="50.1" hidden="false" customHeight="true" outlineLevel="0" collapsed="false">
      <c r="T187" s="61"/>
    </row>
    <row r="188" customFormat="false" ht="50.1" hidden="false" customHeight="true" outlineLevel="0" collapsed="false">
      <c r="T188" s="61"/>
    </row>
    <row r="189" customFormat="false" ht="50.1" hidden="false" customHeight="true" outlineLevel="0" collapsed="false">
      <c r="T189" s="61"/>
    </row>
    <row r="190" customFormat="false" ht="50.1" hidden="false" customHeight="true" outlineLevel="0" collapsed="false">
      <c r="T190" s="61"/>
    </row>
    <row r="191" customFormat="false" ht="50.1" hidden="false" customHeight="true" outlineLevel="0" collapsed="false">
      <c r="T191" s="61"/>
    </row>
    <row r="192" customFormat="false" ht="50.1" hidden="false" customHeight="true" outlineLevel="0" collapsed="false">
      <c r="T192" s="61"/>
    </row>
    <row r="193" customFormat="false" ht="50.1" hidden="false" customHeight="true" outlineLevel="0" collapsed="false">
      <c r="T193" s="61"/>
    </row>
    <row r="194" customFormat="false" ht="50.1" hidden="false" customHeight="true" outlineLevel="0" collapsed="false">
      <c r="T194" s="61"/>
    </row>
    <row r="195" customFormat="false" ht="50.1" hidden="false" customHeight="true" outlineLevel="0" collapsed="false">
      <c r="T195" s="61"/>
    </row>
    <row r="196" customFormat="false" ht="50.1" hidden="false" customHeight="true" outlineLevel="0" collapsed="false">
      <c r="T196" s="61"/>
    </row>
    <row r="197" customFormat="false" ht="50.1" hidden="false" customHeight="true" outlineLevel="0" collapsed="false">
      <c r="T197" s="61"/>
    </row>
    <row r="198" customFormat="false" ht="50.1" hidden="false" customHeight="true" outlineLevel="0" collapsed="false">
      <c r="T198" s="61"/>
    </row>
    <row r="199" customFormat="false" ht="50.1" hidden="false" customHeight="true" outlineLevel="0" collapsed="false">
      <c r="T199" s="61"/>
    </row>
    <row r="200" customFormat="false" ht="50.1" hidden="false" customHeight="true" outlineLevel="0" collapsed="false">
      <c r="T200" s="61"/>
    </row>
    <row r="201" customFormat="false" ht="50.1" hidden="false" customHeight="true" outlineLevel="0" collapsed="false">
      <c r="T201" s="61"/>
    </row>
    <row r="202" customFormat="false" ht="50.1" hidden="false" customHeight="true" outlineLevel="0" collapsed="false">
      <c r="T202" s="61"/>
    </row>
    <row r="203" customFormat="false" ht="50.1" hidden="false" customHeight="true" outlineLevel="0" collapsed="false">
      <c r="T203" s="61"/>
    </row>
    <row r="204" customFormat="false" ht="50.1" hidden="false" customHeight="true" outlineLevel="0" collapsed="false">
      <c r="T204" s="61"/>
    </row>
    <row r="205" customFormat="false" ht="50.1" hidden="false" customHeight="true" outlineLevel="0" collapsed="false">
      <c r="T205" s="61"/>
    </row>
    <row r="206" customFormat="false" ht="50.1" hidden="false" customHeight="true" outlineLevel="0" collapsed="false">
      <c r="T206" s="61"/>
    </row>
    <row r="207" customFormat="false" ht="50.1" hidden="false" customHeight="true" outlineLevel="0" collapsed="false">
      <c r="T207" s="61"/>
    </row>
    <row r="208" customFormat="false" ht="50.1" hidden="false" customHeight="true" outlineLevel="0" collapsed="false">
      <c r="T208" s="61"/>
    </row>
    <row r="209" customFormat="false" ht="50.1" hidden="false" customHeight="true" outlineLevel="0" collapsed="false">
      <c r="T209" s="61"/>
    </row>
    <row r="210" customFormat="false" ht="50.1" hidden="false" customHeight="true" outlineLevel="0" collapsed="false">
      <c r="T210" s="61"/>
    </row>
    <row r="211" customFormat="false" ht="50.1" hidden="false" customHeight="true" outlineLevel="0" collapsed="false">
      <c r="T211" s="61"/>
    </row>
    <row r="212" customFormat="false" ht="50.1" hidden="false" customHeight="true" outlineLevel="0" collapsed="false">
      <c r="T212" s="61"/>
    </row>
    <row r="213" customFormat="false" ht="50.1" hidden="false" customHeight="true" outlineLevel="0" collapsed="false">
      <c r="T213" s="61"/>
    </row>
    <row r="214" customFormat="false" ht="50.1" hidden="false" customHeight="true" outlineLevel="0" collapsed="false">
      <c r="T214" s="61"/>
    </row>
    <row r="215" customFormat="false" ht="50.1" hidden="false" customHeight="true" outlineLevel="0" collapsed="false">
      <c r="T215" s="61"/>
    </row>
    <row r="216" customFormat="false" ht="50.1" hidden="false" customHeight="true" outlineLevel="0" collapsed="false">
      <c r="T216" s="61"/>
    </row>
    <row r="217" customFormat="false" ht="50.1" hidden="false" customHeight="true" outlineLevel="0" collapsed="false">
      <c r="T217" s="61"/>
    </row>
    <row r="218" customFormat="false" ht="50.1" hidden="false" customHeight="true" outlineLevel="0" collapsed="false">
      <c r="T218" s="61"/>
    </row>
    <row r="219" customFormat="false" ht="50.1" hidden="false" customHeight="true" outlineLevel="0" collapsed="false">
      <c r="T219" s="61"/>
    </row>
    <row r="220" customFormat="false" ht="50.1" hidden="false" customHeight="true" outlineLevel="0" collapsed="false">
      <c r="T220" s="61"/>
    </row>
    <row r="221" customFormat="false" ht="50.1" hidden="false" customHeight="true" outlineLevel="0" collapsed="false">
      <c r="T221" s="61"/>
    </row>
    <row r="222" customFormat="false" ht="50.1" hidden="false" customHeight="true" outlineLevel="0" collapsed="false">
      <c r="T222" s="61"/>
    </row>
    <row r="223" customFormat="false" ht="50.1" hidden="false" customHeight="true" outlineLevel="0" collapsed="false">
      <c r="T223" s="61"/>
    </row>
    <row r="224" customFormat="false" ht="50.1" hidden="false" customHeight="true" outlineLevel="0" collapsed="false">
      <c r="T224" s="61"/>
    </row>
    <row r="225" customFormat="false" ht="50.1" hidden="false" customHeight="true" outlineLevel="0" collapsed="false">
      <c r="T225" s="61"/>
    </row>
    <row r="226" customFormat="false" ht="50.1" hidden="false" customHeight="true" outlineLevel="0" collapsed="false">
      <c r="T226" s="61"/>
    </row>
    <row r="227" customFormat="false" ht="50.1" hidden="false" customHeight="true" outlineLevel="0" collapsed="false">
      <c r="T227" s="61"/>
    </row>
    <row r="228" customFormat="false" ht="50.1" hidden="false" customHeight="true" outlineLevel="0" collapsed="false">
      <c r="T228" s="61"/>
    </row>
    <row r="229" customFormat="false" ht="50.1" hidden="false" customHeight="true" outlineLevel="0" collapsed="false">
      <c r="T229" s="61"/>
    </row>
    <row r="230" customFormat="false" ht="50.1" hidden="false" customHeight="true" outlineLevel="0" collapsed="false">
      <c r="T230" s="61"/>
    </row>
    <row r="231" customFormat="false" ht="50.1" hidden="false" customHeight="true" outlineLevel="0" collapsed="false">
      <c r="T231" s="61"/>
    </row>
    <row r="232" customFormat="false" ht="50.1" hidden="false" customHeight="true" outlineLevel="0" collapsed="false">
      <c r="T232" s="61"/>
    </row>
    <row r="233" customFormat="false" ht="50.1" hidden="false" customHeight="true" outlineLevel="0" collapsed="false">
      <c r="T233" s="61"/>
    </row>
    <row r="234" customFormat="false" ht="50.1" hidden="false" customHeight="true" outlineLevel="0" collapsed="false">
      <c r="T234" s="61"/>
    </row>
    <row r="235" customFormat="false" ht="50.1" hidden="false" customHeight="true" outlineLevel="0" collapsed="false">
      <c r="T235" s="61"/>
    </row>
    <row r="236" customFormat="false" ht="50.1" hidden="false" customHeight="true" outlineLevel="0" collapsed="false">
      <c r="T236" s="61"/>
    </row>
    <row r="237" customFormat="false" ht="50.1" hidden="false" customHeight="true" outlineLevel="0" collapsed="false">
      <c r="T237" s="61"/>
    </row>
    <row r="238" customFormat="false" ht="50.1" hidden="false" customHeight="true" outlineLevel="0" collapsed="false">
      <c r="T238" s="61"/>
    </row>
    <row r="239" customFormat="false" ht="50.1" hidden="false" customHeight="true" outlineLevel="0" collapsed="false">
      <c r="T239" s="61"/>
    </row>
    <row r="240" customFormat="false" ht="50.1" hidden="false" customHeight="true" outlineLevel="0" collapsed="false">
      <c r="T240" s="61"/>
    </row>
    <row r="241" customFormat="false" ht="50.1" hidden="false" customHeight="true" outlineLevel="0" collapsed="false">
      <c r="T241" s="61"/>
    </row>
    <row r="242" customFormat="false" ht="50.1" hidden="false" customHeight="true" outlineLevel="0" collapsed="false">
      <c r="T242" s="61"/>
    </row>
    <row r="243" customFormat="false" ht="50.1" hidden="false" customHeight="true" outlineLevel="0" collapsed="false">
      <c r="T243" s="61"/>
    </row>
    <row r="244" customFormat="false" ht="50.1" hidden="false" customHeight="true" outlineLevel="0" collapsed="false">
      <c r="T244" s="61"/>
    </row>
    <row r="245" customFormat="false" ht="50.1" hidden="false" customHeight="true" outlineLevel="0" collapsed="false">
      <c r="T245" s="61"/>
    </row>
    <row r="246" customFormat="false" ht="50.1" hidden="false" customHeight="true" outlineLevel="0" collapsed="false">
      <c r="T246" s="61"/>
    </row>
    <row r="247" customFormat="false" ht="50.1" hidden="false" customHeight="true" outlineLevel="0" collapsed="false">
      <c r="T247" s="61"/>
    </row>
    <row r="248" customFormat="false" ht="50.1" hidden="false" customHeight="true" outlineLevel="0" collapsed="false">
      <c r="T248" s="61"/>
    </row>
    <row r="249" customFormat="false" ht="50.1" hidden="false" customHeight="true" outlineLevel="0" collapsed="false">
      <c r="T249" s="61"/>
    </row>
    <row r="250" customFormat="false" ht="50.1" hidden="false" customHeight="true" outlineLevel="0" collapsed="false">
      <c r="T250" s="61"/>
    </row>
    <row r="251" customFormat="false" ht="50.1" hidden="false" customHeight="true" outlineLevel="0" collapsed="false">
      <c r="T251" s="61"/>
    </row>
    <row r="252" customFormat="false" ht="50.1" hidden="false" customHeight="true" outlineLevel="0" collapsed="false">
      <c r="T252" s="61"/>
    </row>
    <row r="253" customFormat="false" ht="50.1" hidden="false" customHeight="true" outlineLevel="0" collapsed="false">
      <c r="T253" s="61"/>
    </row>
    <row r="254" customFormat="false" ht="50.1" hidden="false" customHeight="true" outlineLevel="0" collapsed="false">
      <c r="T254" s="61"/>
    </row>
    <row r="255" customFormat="false" ht="50.1" hidden="false" customHeight="true" outlineLevel="0" collapsed="false">
      <c r="T255" s="61"/>
    </row>
    <row r="256" customFormat="false" ht="50.1" hidden="false" customHeight="true" outlineLevel="0" collapsed="false">
      <c r="T256" s="61"/>
    </row>
    <row r="257" customFormat="false" ht="50.1" hidden="false" customHeight="true" outlineLevel="0" collapsed="false">
      <c r="T257" s="61"/>
    </row>
    <row r="258" customFormat="false" ht="50.1" hidden="false" customHeight="true" outlineLevel="0" collapsed="false">
      <c r="T258" s="61"/>
    </row>
    <row r="259" customFormat="false" ht="50.1" hidden="false" customHeight="true" outlineLevel="0" collapsed="false">
      <c r="T259" s="61"/>
    </row>
    <row r="260" customFormat="false" ht="50.1" hidden="false" customHeight="true" outlineLevel="0" collapsed="false">
      <c r="T260" s="61"/>
    </row>
    <row r="261" customFormat="false" ht="50.1" hidden="false" customHeight="true" outlineLevel="0" collapsed="false">
      <c r="T261" s="61"/>
    </row>
    <row r="262" customFormat="false" ht="50.1" hidden="false" customHeight="true" outlineLevel="0" collapsed="false">
      <c r="T262" s="61"/>
    </row>
    <row r="263" customFormat="false" ht="50.1" hidden="false" customHeight="true" outlineLevel="0" collapsed="false">
      <c r="T263" s="61"/>
    </row>
    <row r="264" customFormat="false" ht="50.1" hidden="false" customHeight="true" outlineLevel="0" collapsed="false">
      <c r="T264" s="61"/>
    </row>
    <row r="265" customFormat="false" ht="50.1" hidden="false" customHeight="true" outlineLevel="0" collapsed="false">
      <c r="T265" s="61"/>
    </row>
    <row r="266" customFormat="false" ht="50.1" hidden="false" customHeight="true" outlineLevel="0" collapsed="false">
      <c r="T266" s="61"/>
    </row>
    <row r="267" customFormat="false" ht="50.1" hidden="false" customHeight="true" outlineLevel="0" collapsed="false">
      <c r="T267" s="61"/>
    </row>
    <row r="268" customFormat="false" ht="50.1" hidden="false" customHeight="true" outlineLevel="0" collapsed="false">
      <c r="T268" s="61"/>
    </row>
    <row r="269" customFormat="false" ht="50.1" hidden="false" customHeight="true" outlineLevel="0" collapsed="false">
      <c r="T269" s="61"/>
    </row>
  </sheetData>
  <mergeCells count="105">
    <mergeCell ref="A1:R1"/>
    <mergeCell ref="A2:H2"/>
    <mergeCell ref="A4:H4"/>
    <mergeCell ref="A7:S7"/>
    <mergeCell ref="A8:H8"/>
    <mergeCell ref="A11:A12"/>
    <mergeCell ref="B11:B12"/>
    <mergeCell ref="C11:C12"/>
    <mergeCell ref="I11:I12"/>
    <mergeCell ref="J11:J12"/>
    <mergeCell ref="K11:K12"/>
    <mergeCell ref="L11:L12"/>
    <mergeCell ref="M11:M12"/>
    <mergeCell ref="N11:N12"/>
    <mergeCell ref="O11:O12"/>
    <mergeCell ref="P11:P12"/>
    <mergeCell ref="Q11:Q12"/>
    <mergeCell ref="R11:R12"/>
    <mergeCell ref="S11:S12"/>
    <mergeCell ref="A13:A14"/>
    <mergeCell ref="B13:B14"/>
    <mergeCell ref="C13:C14"/>
    <mergeCell ref="I13:I14"/>
    <mergeCell ref="J13:J14"/>
    <mergeCell ref="K13:K14"/>
    <mergeCell ref="L13:L14"/>
    <mergeCell ref="M13:M14"/>
    <mergeCell ref="N13:N14"/>
    <mergeCell ref="O13:O14"/>
    <mergeCell ref="P13:P14"/>
    <mergeCell ref="Q13:Q14"/>
    <mergeCell ref="R13:R14"/>
    <mergeCell ref="S13:S14"/>
    <mergeCell ref="A15:A16"/>
    <mergeCell ref="B15:B16"/>
    <mergeCell ref="C15:C16"/>
    <mergeCell ref="I15:I16"/>
    <mergeCell ref="J15:J16"/>
    <mergeCell ref="K15:K16"/>
    <mergeCell ref="L15:L16"/>
    <mergeCell ref="M15:M16"/>
    <mergeCell ref="N15:N16"/>
    <mergeCell ref="O15:O16"/>
    <mergeCell ref="P15:P16"/>
    <mergeCell ref="Q15:Q16"/>
    <mergeCell ref="R15:R16"/>
    <mergeCell ref="S15:S16"/>
    <mergeCell ref="A17:A18"/>
    <mergeCell ref="B17:B18"/>
    <mergeCell ref="C17:C18"/>
    <mergeCell ref="I17:I18"/>
    <mergeCell ref="J17:J18"/>
    <mergeCell ref="K17:K18"/>
    <mergeCell ref="L17:L18"/>
    <mergeCell ref="M17:M18"/>
    <mergeCell ref="N17:N18"/>
    <mergeCell ref="O17:O18"/>
    <mergeCell ref="P17:P18"/>
    <mergeCell ref="Q17:Q18"/>
    <mergeCell ref="R17:R18"/>
    <mergeCell ref="S17:S18"/>
    <mergeCell ref="A21:A22"/>
    <mergeCell ref="B21:B22"/>
    <mergeCell ref="C21:C22"/>
    <mergeCell ref="I21:I22"/>
    <mergeCell ref="J21:J22"/>
    <mergeCell ref="K21:K22"/>
    <mergeCell ref="L21:L22"/>
    <mergeCell ref="M21:M22"/>
    <mergeCell ref="N21:N22"/>
    <mergeCell ref="O21:O22"/>
    <mergeCell ref="P21:P22"/>
    <mergeCell ref="Q21:Q22"/>
    <mergeCell ref="R21:R22"/>
    <mergeCell ref="S21:S22"/>
    <mergeCell ref="A23:A24"/>
    <mergeCell ref="B23:B24"/>
    <mergeCell ref="C23:C24"/>
    <mergeCell ref="I23:I24"/>
    <mergeCell ref="J23:J24"/>
    <mergeCell ref="K23:K24"/>
    <mergeCell ref="L23:L24"/>
    <mergeCell ref="M23:M24"/>
    <mergeCell ref="N23:N24"/>
    <mergeCell ref="O23:O24"/>
    <mergeCell ref="P23:P24"/>
    <mergeCell ref="Q23:Q24"/>
    <mergeCell ref="R23:R24"/>
    <mergeCell ref="S23:S24"/>
    <mergeCell ref="A25:A26"/>
    <mergeCell ref="B25:B26"/>
    <mergeCell ref="C25:C26"/>
    <mergeCell ref="I25:I26"/>
    <mergeCell ref="J25:J26"/>
    <mergeCell ref="K25:K26"/>
    <mergeCell ref="L25:L26"/>
    <mergeCell ref="M25:M26"/>
    <mergeCell ref="N25:N26"/>
    <mergeCell ref="O25:O26"/>
    <mergeCell ref="P25:P26"/>
    <mergeCell ref="Q25:Q26"/>
    <mergeCell ref="R25:R26"/>
    <mergeCell ref="S25:S26"/>
    <mergeCell ref="F45:G45"/>
    <mergeCell ref="A46:R46"/>
  </mergeCells>
  <hyperlinks>
    <hyperlink ref="R5" r:id="rId1" display="http://gofile.me/649X4/xRF7MyVv5"/>
    <hyperlink ref="R6" r:id="rId2" display="http://gofile.me/649X4/AsnbTUVXw"/>
    <hyperlink ref="R9" r:id="rId3" display="http://gofile.me/649X4/e3tnGmVqR"/>
    <hyperlink ref="R10" r:id="rId4" display="http://gofile.me/649X4/hZ0N2CKpm"/>
    <hyperlink ref="R11" r:id="rId5" display="http://gofile.me/649X4/eASdBxGQt"/>
    <hyperlink ref="R13" r:id="rId6" display="http://gofile.me/649X4/lHfvLX99C"/>
    <hyperlink ref="R15" r:id="rId7" display="http://gofile.me/649X4/mg19RSvjB"/>
    <hyperlink ref="R17" r:id="rId8" display="http://gofile.me/649X4/PPSTUMFjL"/>
    <hyperlink ref="R19" r:id="rId9" display="http://gofile.me/649X4/KMcClIZZV"/>
    <hyperlink ref="R20" r:id="rId10" display="http://gofile.me/649X4/VtGQE0Hbm"/>
    <hyperlink ref="R21" r:id="rId11" display="http://gofile.me/649X4/rtuc0W4i2"/>
    <hyperlink ref="R23" r:id="rId12" display="http://gofile.me/649X4/u67B8745R"/>
    <hyperlink ref="R25" r:id="rId13" display="http://gofile.me/649X4/l7vmUSaeW"/>
    <hyperlink ref="R27" r:id="rId14" display="http://gofile.me/649X4/46gVH3f5u"/>
    <hyperlink ref="R28" r:id="rId15" display="http://gofile.me/649X4/DpLIavbMD"/>
    <hyperlink ref="R29" r:id="rId16" display="http://gofile.me/649X4/zoL66VEDJ"/>
    <hyperlink ref="R32" r:id="rId17" display="http://gofile.me/649X4/VY578Gzew"/>
    <hyperlink ref="R33" r:id="rId18" display="http://gofile.me/649X4/SfPFttpi0"/>
    <hyperlink ref="R34" r:id="rId19" display="http://gofile.me/649X4/xcMsscdQy"/>
    <hyperlink ref="R35" r:id="rId20" display="http://gofile.me/649X4/ZvigzL0u4"/>
    <hyperlink ref="R39" r:id="rId21" display="http://gofile.me/649X4/qmmzlnuJU"/>
    <hyperlink ref="R40" r:id="rId22" display="http://gofile.me/649X4/u2ebeei4C"/>
    <hyperlink ref="R42" r:id="rId23" display="http://gofile.me/649X4/e46YKqLqE"/>
    <hyperlink ref="R43" r:id="rId24" display="http://gofile.me/649X4/9sbvosjsw"/>
    <hyperlink ref="R44" r:id="rId25" display="http://gofile.me/649X4/4RDYN25vr"/>
  </hyperlinks>
  <printOptions headings="false" gridLines="false" gridLinesSet="true" horizontalCentered="false" verticalCentered="false"/>
  <pageMargins left="0.309722222222222" right="0.240277777777778" top="0.390277777777778"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1" manualBreakCount="1">
    <brk id="10" man="true" max="16383" min="0"/>
  </rowBreaks>
  <drawing r:id="rId26"/>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243"/>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33" width="46"/>
    <col collapsed="false" customWidth="true" hidden="false" outlineLevel="0" max="3" min="2" style="34" width="18"/>
    <col collapsed="false" customWidth="true" hidden="false" outlineLevel="0" max="4" min="4" style="35" width="20"/>
    <col collapsed="false" customWidth="true" hidden="false" outlineLevel="0" max="5" min="5" style="35"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10" min="9" style="39" width="7.42"/>
    <col collapsed="false" customWidth="true" hidden="false" outlineLevel="0" max="11" min="11" style="39" width="10.7"/>
    <col collapsed="false" customWidth="true" hidden="false" outlineLevel="0" max="12" min="12" style="39" width="7.63"/>
    <col collapsed="false" customWidth="true" hidden="false" outlineLevel="0" max="13" min="13" style="39" width="11.2"/>
    <col collapsed="false" customWidth="true" hidden="false" outlineLevel="0" max="14" min="14" style="39" width="7.63"/>
    <col collapsed="false" customWidth="true" hidden="false" outlineLevel="0" max="15" min="15" style="39" width="11.7"/>
    <col collapsed="false" customWidth="true" hidden="false" outlineLevel="0" max="16" min="16" style="42" width="7.63"/>
    <col collapsed="false" customWidth="true" hidden="false" outlineLevel="0" max="17" min="17" style="39" width="70"/>
    <col collapsed="false" customWidth="true" hidden="false" outlineLevel="0" max="19" min="18" style="115" width="9.51"/>
    <col collapsed="false" customWidth="true" hidden="false" outlineLevel="0" max="20" min="20" style="42" width="7.37"/>
    <col collapsed="false" customWidth="true" hidden="false" outlineLevel="0" max="21" min="21" style="39" width="11.12"/>
    <col collapsed="false" customWidth="true" hidden="false" outlineLevel="0" max="33" min="22" style="39" width="9"/>
    <col collapsed="false" customWidth="false" hidden="false" outlineLevel="0" max="98" min="34"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1995</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c r="T3" s="48"/>
    </row>
    <row r="4" s="50" customFormat="true" ht="27" hidden="false" customHeight="true" outlineLevel="1" collapsed="false">
      <c r="A4" s="49" t="s">
        <v>1996</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42" customFormat="true" ht="60" hidden="false" customHeight="true" outlineLevel="2" collapsed="false">
      <c r="A5" s="63" t="s">
        <v>1997</v>
      </c>
      <c r="B5" s="57"/>
      <c r="C5" s="57"/>
      <c r="D5" s="53" t="s">
        <v>1998</v>
      </c>
      <c r="E5" s="53" t="s">
        <v>89</v>
      </c>
      <c r="F5" s="54" t="n">
        <v>195.71</v>
      </c>
      <c r="G5" s="55"/>
      <c r="H5" s="56" t="str">
        <f aca="false">IF(ISBLANK(G5),"",IF(ISNUMBER(F5),ROUND(F5*G5,2),"Укажите цену"))</f>
        <v/>
      </c>
      <c r="I5" s="57" t="n">
        <v>48</v>
      </c>
      <c r="J5" s="57" t="n">
        <v>12.26</v>
      </c>
      <c r="K5" s="57" t="s">
        <v>1999</v>
      </c>
      <c r="L5" s="57" t="s">
        <v>91</v>
      </c>
      <c r="M5" s="57" t="s">
        <v>92</v>
      </c>
      <c r="N5" s="57" t="n">
        <v>234</v>
      </c>
      <c r="O5" s="57" t="s">
        <v>696</v>
      </c>
      <c r="P5" s="58" t="n">
        <v>0.095</v>
      </c>
      <c r="Q5" s="68" t="s">
        <v>2000</v>
      </c>
      <c r="R5" s="60" t="s">
        <v>2001</v>
      </c>
      <c r="S5" s="73" t="s">
        <v>96</v>
      </c>
      <c r="T5" s="61"/>
      <c r="U5" s="105"/>
      <c r="V5" s="105"/>
      <c r="W5" s="105"/>
      <c r="X5" s="105"/>
      <c r="Y5" s="105"/>
      <c r="Z5" s="105"/>
    </row>
    <row r="6" s="42" customFormat="true" ht="60" hidden="false" customHeight="true" outlineLevel="2" collapsed="false">
      <c r="A6" s="63"/>
      <c r="B6" s="57"/>
      <c r="C6" s="57"/>
      <c r="D6" s="53" t="s">
        <v>2002</v>
      </c>
      <c r="E6" s="53" t="s">
        <v>103</v>
      </c>
      <c r="F6" s="54" t="n">
        <v>195.71</v>
      </c>
      <c r="G6" s="55"/>
      <c r="H6" s="56" t="str">
        <f aca="false">IF(ISBLANK(G6),"",IF(ISNUMBER(F6),ROUND(F6*G6,2),"Укажите цену"))</f>
        <v/>
      </c>
      <c r="I6" s="57"/>
      <c r="J6" s="57"/>
      <c r="K6" s="57"/>
      <c r="L6" s="57"/>
      <c r="M6" s="57"/>
      <c r="N6" s="57"/>
      <c r="O6" s="57"/>
      <c r="P6" s="57"/>
      <c r="Q6" s="68"/>
      <c r="R6" s="60"/>
      <c r="S6" s="73"/>
      <c r="T6" s="61"/>
      <c r="U6" s="105"/>
      <c r="V6" s="105"/>
      <c r="W6" s="105"/>
      <c r="X6" s="105"/>
      <c r="Y6" s="105"/>
      <c r="Z6" s="105"/>
    </row>
    <row r="7" s="34" customFormat="true" ht="115" hidden="false" customHeight="true" outlineLevel="2" collapsed="false">
      <c r="A7" s="51" t="s">
        <v>2003</v>
      </c>
      <c r="B7" s="57"/>
      <c r="C7" s="57"/>
      <c r="D7" s="53" t="s">
        <v>2004</v>
      </c>
      <c r="E7" s="53" t="s">
        <v>89</v>
      </c>
      <c r="F7" s="54" t="n">
        <v>252.8</v>
      </c>
      <c r="G7" s="55"/>
      <c r="H7" s="56" t="str">
        <f aca="false">IF(ISBLANK(G7),"",IF(ISNUMBER(F7),ROUND(F7*G7,2),"Укажите цену"))</f>
        <v/>
      </c>
      <c r="I7" s="57" t="n">
        <v>50</v>
      </c>
      <c r="J7" s="57" t="n">
        <v>11.75</v>
      </c>
      <c r="K7" s="57" t="s">
        <v>1999</v>
      </c>
      <c r="L7" s="57" t="n">
        <v>52</v>
      </c>
      <c r="M7" s="57" t="s">
        <v>284</v>
      </c>
      <c r="N7" s="57" t="n">
        <v>208</v>
      </c>
      <c r="O7" s="57" t="s">
        <v>696</v>
      </c>
      <c r="P7" s="58" t="n">
        <v>0.095</v>
      </c>
      <c r="Q7" s="68" t="s">
        <v>2005</v>
      </c>
      <c r="R7" s="60" t="s">
        <v>2006</v>
      </c>
      <c r="S7" s="72" t="s">
        <v>2007</v>
      </c>
      <c r="T7" s="61"/>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c r="BG7" s="106"/>
      <c r="BH7" s="106"/>
      <c r="BI7" s="106"/>
      <c r="BJ7" s="106"/>
      <c r="BK7" s="106"/>
      <c r="BL7" s="106"/>
      <c r="BM7" s="106"/>
      <c r="BN7" s="106"/>
      <c r="BO7" s="106"/>
      <c r="BP7" s="106"/>
      <c r="BQ7" s="106"/>
      <c r="BR7" s="106"/>
      <c r="BS7" s="106"/>
      <c r="BT7" s="106"/>
      <c r="BU7" s="106"/>
      <c r="BV7" s="106"/>
      <c r="BW7" s="106"/>
      <c r="BX7" s="106"/>
      <c r="BY7" s="106"/>
      <c r="BZ7" s="106"/>
      <c r="CA7" s="106"/>
      <c r="CB7" s="106"/>
      <c r="CC7" s="106"/>
      <c r="CD7" s="106"/>
      <c r="CE7" s="106"/>
      <c r="CF7" s="106"/>
      <c r="CG7" s="106"/>
      <c r="CH7" s="106"/>
      <c r="CI7" s="106"/>
      <c r="CJ7" s="106"/>
      <c r="CK7" s="106"/>
      <c r="CL7" s="106"/>
      <c r="CM7" s="106"/>
      <c r="CN7" s="106"/>
      <c r="CO7" s="106"/>
      <c r="CP7" s="106"/>
      <c r="CQ7" s="106"/>
      <c r="CR7" s="106"/>
      <c r="CS7" s="106"/>
      <c r="CT7" s="106"/>
      <c r="CU7" s="106"/>
      <c r="CV7" s="106"/>
      <c r="CW7" s="106"/>
      <c r="CX7" s="106"/>
      <c r="CY7" s="106"/>
      <c r="CZ7" s="106"/>
      <c r="DA7" s="106"/>
      <c r="DB7" s="106"/>
      <c r="DC7" s="106"/>
      <c r="DD7" s="106"/>
      <c r="DE7" s="106"/>
      <c r="DF7" s="106"/>
      <c r="DG7" s="106"/>
      <c r="DH7" s="106"/>
      <c r="DI7" s="106"/>
      <c r="DJ7" s="106"/>
      <c r="DK7" s="106"/>
      <c r="DL7" s="106"/>
      <c r="DM7" s="106"/>
      <c r="DN7" s="106"/>
      <c r="DO7" s="106"/>
      <c r="DP7" s="106"/>
      <c r="DQ7" s="106"/>
      <c r="DR7" s="106"/>
      <c r="DS7" s="106"/>
      <c r="DT7" s="106"/>
      <c r="DU7" s="106"/>
      <c r="DV7" s="106"/>
      <c r="DW7" s="106"/>
      <c r="DX7" s="106"/>
      <c r="DY7" s="106"/>
      <c r="DZ7" s="106"/>
      <c r="EA7" s="106"/>
      <c r="EB7" s="106"/>
      <c r="EC7" s="106"/>
      <c r="ED7" s="106"/>
      <c r="EE7" s="106"/>
      <c r="EF7" s="106"/>
      <c r="EG7" s="106"/>
      <c r="EH7" s="106"/>
      <c r="EI7" s="106"/>
      <c r="EJ7" s="106"/>
      <c r="EK7" s="106"/>
      <c r="EL7" s="106"/>
      <c r="EM7" s="106"/>
      <c r="EN7" s="106"/>
      <c r="EO7" s="106"/>
      <c r="EP7" s="106"/>
      <c r="EQ7" s="106"/>
      <c r="ER7" s="106"/>
      <c r="ES7" s="106"/>
      <c r="ET7" s="106"/>
      <c r="EU7" s="106"/>
      <c r="EV7" s="106"/>
      <c r="EW7" s="106"/>
      <c r="EX7" s="106"/>
      <c r="EY7" s="106"/>
      <c r="EZ7" s="106"/>
      <c r="FA7" s="106"/>
      <c r="FB7" s="106"/>
      <c r="FC7" s="106"/>
      <c r="FD7" s="106"/>
      <c r="FE7" s="106"/>
      <c r="FF7" s="106"/>
      <c r="FG7" s="106"/>
      <c r="FH7" s="106"/>
      <c r="FI7" s="106"/>
      <c r="FJ7" s="106"/>
      <c r="FK7" s="106"/>
      <c r="FL7" s="106"/>
      <c r="FM7" s="106"/>
      <c r="FN7" s="106"/>
      <c r="FO7" s="106"/>
      <c r="FP7" s="106"/>
      <c r="FQ7" s="106"/>
      <c r="FR7" s="106"/>
      <c r="FS7" s="106"/>
      <c r="FT7" s="106"/>
      <c r="FU7" s="106"/>
      <c r="FV7" s="106"/>
      <c r="FW7" s="106"/>
      <c r="FX7" s="106"/>
      <c r="FY7" s="106"/>
      <c r="FZ7" s="106"/>
      <c r="GA7" s="106"/>
      <c r="GB7" s="106"/>
      <c r="GC7" s="106"/>
      <c r="GD7" s="106"/>
      <c r="GE7" s="106"/>
      <c r="GF7" s="106"/>
      <c r="GG7" s="106"/>
      <c r="GH7" s="106"/>
      <c r="GI7" s="106"/>
      <c r="GJ7" s="106"/>
      <c r="GK7" s="106"/>
      <c r="GL7" s="106"/>
      <c r="GM7" s="106"/>
      <c r="GN7" s="106"/>
      <c r="GO7" s="106"/>
      <c r="GP7" s="106"/>
      <c r="GQ7" s="106"/>
      <c r="GR7" s="106"/>
      <c r="GS7" s="106"/>
      <c r="GT7" s="106"/>
      <c r="GU7" s="106"/>
      <c r="GV7" s="106"/>
      <c r="GW7" s="106"/>
      <c r="GX7" s="106"/>
      <c r="GY7" s="106"/>
      <c r="GZ7" s="106"/>
      <c r="HA7" s="106"/>
      <c r="HB7" s="106"/>
      <c r="HC7" s="106"/>
      <c r="HD7" s="106"/>
      <c r="HE7" s="106"/>
      <c r="HF7" s="106"/>
      <c r="HG7" s="106"/>
      <c r="HH7" s="106"/>
      <c r="HI7" s="106"/>
      <c r="HJ7" s="106"/>
      <c r="HK7" s="106"/>
      <c r="HL7" s="106"/>
      <c r="HM7" s="106"/>
      <c r="HN7" s="106"/>
      <c r="HO7" s="106"/>
      <c r="HP7" s="106"/>
      <c r="HQ7" s="106"/>
      <c r="HR7" s="106"/>
      <c r="HS7" s="106"/>
      <c r="HT7" s="106"/>
      <c r="HU7" s="106"/>
      <c r="HV7" s="106"/>
      <c r="HW7" s="106"/>
      <c r="HX7" s="106"/>
      <c r="HY7" s="106"/>
    </row>
    <row r="8" s="34" customFormat="true" ht="115" hidden="false" customHeight="true" outlineLevel="2" collapsed="false">
      <c r="A8" s="51" t="s">
        <v>2008</v>
      </c>
      <c r="B8" s="57"/>
      <c r="C8" s="57"/>
      <c r="D8" s="53" t="s">
        <v>2009</v>
      </c>
      <c r="E8" s="53" t="s">
        <v>89</v>
      </c>
      <c r="F8" s="54" t="n">
        <v>260.95</v>
      </c>
      <c r="G8" s="55"/>
      <c r="H8" s="56" t="str">
        <f aca="false">IF(ISBLANK(G8),"",IF(ISNUMBER(F8),ROUND(F8*G8,2),"Укажите цену"))</f>
        <v/>
      </c>
      <c r="I8" s="57" t="n">
        <v>50</v>
      </c>
      <c r="J8" s="57" t="n">
        <v>11.42</v>
      </c>
      <c r="K8" s="57" t="s">
        <v>2010</v>
      </c>
      <c r="L8" s="57" t="n">
        <v>50</v>
      </c>
      <c r="M8" s="57" t="s">
        <v>284</v>
      </c>
      <c r="N8" s="57" t="n">
        <v>200</v>
      </c>
      <c r="O8" s="57" t="s">
        <v>285</v>
      </c>
      <c r="P8" s="58" t="n">
        <v>0.095</v>
      </c>
      <c r="Q8" s="68" t="s">
        <v>2011</v>
      </c>
      <c r="R8" s="60" t="s">
        <v>2012</v>
      </c>
      <c r="S8" s="73" t="s">
        <v>96</v>
      </c>
      <c r="T8" s="61"/>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7"/>
      <c r="BD8" s="107"/>
      <c r="BE8" s="107"/>
      <c r="BF8" s="107"/>
      <c r="BG8" s="107"/>
      <c r="BH8" s="107"/>
      <c r="BI8" s="107"/>
      <c r="BJ8" s="107"/>
      <c r="BK8" s="107"/>
      <c r="BL8" s="107"/>
      <c r="BM8" s="107"/>
      <c r="BN8" s="107"/>
      <c r="BO8" s="107"/>
      <c r="BP8" s="107"/>
      <c r="BQ8" s="107"/>
      <c r="BR8" s="107"/>
      <c r="BS8" s="107"/>
      <c r="BT8" s="107"/>
      <c r="BU8" s="107"/>
      <c r="BV8" s="107"/>
      <c r="BW8" s="107"/>
      <c r="BX8" s="107"/>
      <c r="BY8" s="107"/>
      <c r="BZ8" s="107"/>
      <c r="CA8" s="107"/>
      <c r="CB8" s="107"/>
      <c r="CC8" s="107"/>
      <c r="CD8" s="107"/>
      <c r="CE8" s="107"/>
      <c r="CF8" s="107"/>
      <c r="CG8" s="107"/>
      <c r="CH8" s="107"/>
      <c r="CI8" s="107"/>
      <c r="CJ8" s="107"/>
      <c r="CK8" s="107"/>
      <c r="CL8" s="107"/>
      <c r="CM8" s="107"/>
      <c r="CN8" s="107"/>
      <c r="CO8" s="107"/>
      <c r="CP8" s="107"/>
      <c r="CQ8" s="107"/>
      <c r="CR8" s="107"/>
      <c r="CS8" s="107"/>
      <c r="CT8" s="107"/>
      <c r="CU8" s="107"/>
      <c r="CV8" s="107"/>
      <c r="CW8" s="107"/>
      <c r="CX8" s="107"/>
      <c r="CY8" s="107"/>
      <c r="CZ8" s="107"/>
      <c r="DA8" s="107"/>
      <c r="DB8" s="107"/>
      <c r="DC8" s="107"/>
      <c r="DD8" s="107"/>
      <c r="DE8" s="107"/>
      <c r="DF8" s="107"/>
      <c r="DG8" s="107"/>
      <c r="DH8" s="107"/>
      <c r="DI8" s="107"/>
      <c r="DJ8" s="107"/>
      <c r="DK8" s="107"/>
      <c r="DL8" s="107"/>
      <c r="DM8" s="107"/>
      <c r="DN8" s="107"/>
      <c r="DO8" s="107"/>
      <c r="DP8" s="107"/>
      <c r="DQ8" s="107"/>
      <c r="DR8" s="107"/>
      <c r="DS8" s="107"/>
      <c r="DT8" s="107"/>
      <c r="DU8" s="107"/>
      <c r="DV8" s="107"/>
      <c r="DW8" s="107"/>
      <c r="DX8" s="107"/>
      <c r="DY8" s="107"/>
      <c r="DZ8" s="107"/>
      <c r="EA8" s="107"/>
      <c r="EB8" s="107"/>
      <c r="EC8" s="107"/>
      <c r="ED8" s="107"/>
      <c r="EE8" s="107"/>
      <c r="EF8" s="107"/>
      <c r="EG8" s="107"/>
      <c r="EH8" s="107"/>
      <c r="EI8" s="107"/>
      <c r="EJ8" s="107"/>
      <c r="EK8" s="107"/>
      <c r="EL8" s="107"/>
      <c r="EM8" s="107"/>
      <c r="EN8" s="107"/>
      <c r="EO8" s="107"/>
      <c r="EP8" s="107"/>
      <c r="EQ8" s="107"/>
      <c r="ER8" s="107"/>
      <c r="ES8" s="107"/>
      <c r="ET8" s="107"/>
      <c r="EU8" s="107"/>
      <c r="EV8" s="107"/>
      <c r="EW8" s="107"/>
      <c r="EX8" s="107"/>
      <c r="EY8" s="107"/>
      <c r="EZ8" s="107"/>
      <c r="FA8" s="107"/>
      <c r="FB8" s="107"/>
      <c r="FC8" s="107"/>
      <c r="FD8" s="107"/>
      <c r="FE8" s="107"/>
      <c r="FF8" s="107"/>
      <c r="FG8" s="107"/>
      <c r="FH8" s="107"/>
      <c r="FI8" s="107"/>
      <c r="FJ8" s="107"/>
      <c r="FK8" s="107"/>
      <c r="FL8" s="107"/>
      <c r="FM8" s="107"/>
      <c r="FN8" s="107"/>
      <c r="FO8" s="107"/>
      <c r="FP8" s="107"/>
      <c r="FQ8" s="107"/>
      <c r="FR8" s="107"/>
      <c r="FS8" s="107"/>
      <c r="FT8" s="107"/>
      <c r="FU8" s="107"/>
      <c r="FV8" s="107"/>
      <c r="FW8" s="107"/>
      <c r="FX8" s="107"/>
      <c r="FY8" s="107"/>
      <c r="FZ8" s="107"/>
      <c r="GA8" s="107"/>
      <c r="GB8" s="107"/>
      <c r="GC8" s="107"/>
      <c r="GD8" s="107"/>
      <c r="GE8" s="107"/>
      <c r="GF8" s="107"/>
      <c r="GG8" s="107"/>
      <c r="GH8" s="107"/>
      <c r="GI8" s="107"/>
      <c r="GJ8" s="107"/>
      <c r="GK8" s="107"/>
      <c r="GL8" s="107"/>
      <c r="GM8" s="107"/>
      <c r="GN8" s="107"/>
      <c r="GO8" s="107"/>
      <c r="GP8" s="107"/>
      <c r="GQ8" s="107"/>
      <c r="GR8" s="107"/>
      <c r="GS8" s="107"/>
      <c r="GT8" s="107"/>
      <c r="GU8" s="107"/>
      <c r="GV8" s="107"/>
      <c r="GW8" s="107"/>
      <c r="GX8" s="107"/>
      <c r="GY8" s="107"/>
      <c r="GZ8" s="107"/>
      <c r="HA8" s="107"/>
      <c r="HB8" s="107"/>
      <c r="HC8" s="107"/>
      <c r="HD8" s="107"/>
      <c r="HE8" s="107"/>
      <c r="HF8" s="107"/>
      <c r="HG8" s="107"/>
      <c r="HH8" s="107"/>
      <c r="HI8" s="107"/>
      <c r="HJ8" s="107"/>
      <c r="HK8" s="107"/>
      <c r="HL8" s="107"/>
      <c r="HM8" s="107"/>
      <c r="HN8" s="107"/>
      <c r="HO8" s="107"/>
      <c r="HP8" s="107"/>
      <c r="HQ8" s="107"/>
      <c r="HR8" s="107"/>
      <c r="HS8" s="107"/>
      <c r="HT8" s="107"/>
      <c r="HU8" s="107"/>
      <c r="HV8" s="107"/>
      <c r="HW8" s="107"/>
      <c r="HX8" s="107"/>
      <c r="HY8" s="106"/>
      <c r="HZ8" s="39"/>
      <c r="IA8" s="39"/>
      <c r="IB8" s="39"/>
      <c r="IC8" s="39"/>
      <c r="ID8" s="39"/>
      <c r="IE8" s="39"/>
      <c r="IF8" s="39"/>
      <c r="IG8" s="39"/>
      <c r="IH8" s="39"/>
      <c r="II8" s="39"/>
      <c r="IJ8" s="39"/>
      <c r="IK8" s="39"/>
      <c r="IL8" s="39"/>
      <c r="IM8" s="39"/>
      <c r="IN8" s="39"/>
      <c r="IO8" s="39"/>
      <c r="IP8" s="39"/>
      <c r="IQ8" s="39"/>
      <c r="IR8" s="39"/>
      <c r="IS8" s="39"/>
      <c r="IT8" s="39"/>
      <c r="IU8" s="39"/>
      <c r="IV8" s="39"/>
      <c r="IW8" s="39"/>
    </row>
    <row r="9" s="4" customFormat="true" ht="5.25" hidden="false" customHeight="true" outlineLevel="2" collapsed="false">
      <c r="A9" s="135"/>
      <c r="B9" s="135"/>
      <c r="C9" s="135"/>
      <c r="D9" s="135"/>
      <c r="E9" s="135"/>
      <c r="F9" s="135"/>
      <c r="G9" s="135"/>
      <c r="H9" s="135"/>
      <c r="I9" s="135"/>
      <c r="J9" s="135"/>
      <c r="K9" s="135"/>
      <c r="L9" s="135"/>
      <c r="M9" s="135"/>
      <c r="N9" s="135"/>
      <c r="O9" s="135"/>
      <c r="P9" s="135"/>
      <c r="Q9" s="135"/>
      <c r="R9" s="135"/>
      <c r="S9" s="136"/>
      <c r="T9" s="61"/>
    </row>
    <row r="10" s="50" customFormat="true" ht="27" hidden="false" customHeight="true" outlineLevel="1" collapsed="false">
      <c r="A10" s="49" t="s">
        <v>2013</v>
      </c>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c r="IW10" s="49"/>
    </row>
    <row r="11" s="62" customFormat="true" ht="115" hidden="false" customHeight="true" outlineLevel="2" collapsed="false">
      <c r="A11" s="51" t="s">
        <v>2014</v>
      </c>
      <c r="B11" s="52"/>
      <c r="C11" s="57"/>
      <c r="D11" s="53" t="s">
        <v>2015</v>
      </c>
      <c r="E11" s="53" t="s">
        <v>89</v>
      </c>
      <c r="F11" s="54" t="n">
        <v>627.91</v>
      </c>
      <c r="G11" s="55"/>
      <c r="H11" s="56" t="str">
        <f aca="false">IF(ISBLANK(G11),"",IF(ISNUMBER(F11),ROUND(F11*G11,2),"Укажите цену"))</f>
        <v/>
      </c>
      <c r="I11" s="57" t="n">
        <v>163</v>
      </c>
      <c r="J11" s="26" t="n">
        <v>14.65</v>
      </c>
      <c r="K11" s="57" t="s">
        <v>2016</v>
      </c>
      <c r="L11" s="57" t="s">
        <v>91</v>
      </c>
      <c r="M11" s="57" t="s">
        <v>92</v>
      </c>
      <c r="N11" s="57" t="n">
        <v>84</v>
      </c>
      <c r="O11" s="57" t="s">
        <v>696</v>
      </c>
      <c r="P11" s="58" t="n">
        <v>0.095</v>
      </c>
      <c r="Q11" s="124" t="s">
        <v>2017</v>
      </c>
      <c r="R11" s="125" t="s">
        <v>2018</v>
      </c>
      <c r="S11" s="60" t="s">
        <v>96</v>
      </c>
      <c r="T11" s="87"/>
      <c r="U11" s="61"/>
      <c r="V11" s="61"/>
      <c r="W11" s="61"/>
      <c r="X11" s="61"/>
      <c r="Y11" s="61"/>
      <c r="Z11" s="61"/>
    </row>
    <row r="12" s="34" customFormat="true" ht="115" hidden="false" customHeight="true" outlineLevel="2" collapsed="false">
      <c r="A12" s="51" t="s">
        <v>2019</v>
      </c>
      <c r="B12" s="57"/>
      <c r="C12" s="57"/>
      <c r="D12" s="53" t="s">
        <v>2020</v>
      </c>
      <c r="E12" s="53" t="s">
        <v>89</v>
      </c>
      <c r="F12" s="54" t="n">
        <v>293.57</v>
      </c>
      <c r="G12" s="55"/>
      <c r="H12" s="56" t="str">
        <f aca="false">IF(ISBLANK(G12),"",IF(ISNUMBER(F12),ROUND(F12*G12,2),"Укажите цену"))</f>
        <v/>
      </c>
      <c r="I12" s="57" t="n">
        <v>106</v>
      </c>
      <c r="J12" s="57" t="n">
        <v>9.88</v>
      </c>
      <c r="K12" s="57" t="s">
        <v>2021</v>
      </c>
      <c r="L12" s="57" t="s">
        <v>91</v>
      </c>
      <c r="M12" s="57" t="s">
        <v>92</v>
      </c>
      <c r="N12" s="57" t="n">
        <v>84</v>
      </c>
      <c r="O12" s="57" t="s">
        <v>696</v>
      </c>
      <c r="P12" s="58" t="n">
        <v>0.095</v>
      </c>
      <c r="Q12" s="119" t="s">
        <v>2022</v>
      </c>
      <c r="R12" s="69" t="s">
        <v>2023</v>
      </c>
      <c r="S12" s="60" t="s">
        <v>96</v>
      </c>
      <c r="T12" s="61"/>
    </row>
    <row r="13" s="70" customFormat="true" ht="115" hidden="false" customHeight="true" outlineLevel="2" collapsed="false">
      <c r="A13" s="51" t="s">
        <v>2024</v>
      </c>
      <c r="B13" s="57"/>
      <c r="C13" s="57"/>
      <c r="D13" s="53" t="s">
        <v>2025</v>
      </c>
      <c r="E13" s="53" t="s">
        <v>2026</v>
      </c>
      <c r="F13" s="54" t="n">
        <v>326.19</v>
      </c>
      <c r="G13" s="55"/>
      <c r="H13" s="56" t="str">
        <f aca="false">IF(ISBLANK(G13),"",IF(ISNUMBER(F13),ROUND(F13*G13,2),"Укажите цену"))</f>
        <v/>
      </c>
      <c r="I13" s="57" t="n">
        <v>103</v>
      </c>
      <c r="J13" s="57" t="n">
        <v>9.7</v>
      </c>
      <c r="K13" s="57" t="s">
        <v>2027</v>
      </c>
      <c r="L13" s="57" t="s">
        <v>91</v>
      </c>
      <c r="M13" s="57" t="s">
        <v>92</v>
      </c>
      <c r="N13" s="57" t="n">
        <v>84</v>
      </c>
      <c r="O13" s="57" t="s">
        <v>2028</v>
      </c>
      <c r="P13" s="58" t="n">
        <v>0.074</v>
      </c>
      <c r="Q13" s="68" t="s">
        <v>2029</v>
      </c>
      <c r="R13" s="69" t="s">
        <v>2030</v>
      </c>
      <c r="S13" s="60" t="s">
        <v>96</v>
      </c>
      <c r="T13" s="61"/>
    </row>
    <row r="14" s="70" customFormat="true" ht="115" hidden="false" customHeight="true" outlineLevel="2" collapsed="false">
      <c r="A14" s="51" t="s">
        <v>2031</v>
      </c>
      <c r="B14" s="57"/>
      <c r="C14" s="57"/>
      <c r="D14" s="53" t="s">
        <v>2032</v>
      </c>
      <c r="E14" s="53" t="s">
        <v>89</v>
      </c>
      <c r="F14" s="54" t="n">
        <v>538.21</v>
      </c>
      <c r="G14" s="55"/>
      <c r="H14" s="56" t="str">
        <f aca="false">IF(ISBLANK(G14),"",IF(ISNUMBER(F14),ROUND(F14*G14,2),"Укажите цену"))</f>
        <v/>
      </c>
      <c r="I14" s="57" t="n">
        <v>132</v>
      </c>
      <c r="J14" s="57" t="n">
        <v>12.2</v>
      </c>
      <c r="K14" s="57" t="s">
        <v>2033</v>
      </c>
      <c r="L14" s="57" t="s">
        <v>91</v>
      </c>
      <c r="M14" s="57" t="s">
        <v>92</v>
      </c>
      <c r="N14" s="57" t="n">
        <v>86</v>
      </c>
      <c r="O14" s="57" t="s">
        <v>2028</v>
      </c>
      <c r="P14" s="58" t="n">
        <v>0.074</v>
      </c>
      <c r="Q14" s="68" t="s">
        <v>2034</v>
      </c>
      <c r="R14" s="69" t="s">
        <v>2035</v>
      </c>
      <c r="S14" s="71" t="s">
        <v>96</v>
      </c>
      <c r="T14" s="61"/>
    </row>
    <row r="15" s="62" customFormat="true" ht="115" hidden="false" customHeight="true" outlineLevel="2" collapsed="false">
      <c r="A15" s="51" t="s">
        <v>2036</v>
      </c>
      <c r="B15" s="57"/>
      <c r="C15" s="57"/>
      <c r="D15" s="53" t="s">
        <v>2037</v>
      </c>
      <c r="E15" s="53" t="s">
        <v>89</v>
      </c>
      <c r="F15" s="54" t="n">
        <v>587.14</v>
      </c>
      <c r="G15" s="55"/>
      <c r="H15" s="56" t="str">
        <f aca="false">IF(ISBLANK(G15),"",IF(ISNUMBER(F15),ROUND(F15*G15,2),"Укажите цену"))</f>
        <v/>
      </c>
      <c r="I15" s="57" t="n">
        <v>125</v>
      </c>
      <c r="J15" s="26" t="n">
        <v>11.35</v>
      </c>
      <c r="K15" s="57" t="s">
        <v>2027</v>
      </c>
      <c r="L15" s="57" t="s">
        <v>91</v>
      </c>
      <c r="M15" s="57" t="s">
        <v>92</v>
      </c>
      <c r="N15" s="57" t="n">
        <v>84</v>
      </c>
      <c r="O15" s="57" t="s">
        <v>696</v>
      </c>
      <c r="P15" s="57" t="n">
        <v>0.095</v>
      </c>
      <c r="Q15" s="59" t="s">
        <v>2038</v>
      </c>
      <c r="R15" s="72" t="s">
        <v>2039</v>
      </c>
      <c r="S15" s="72" t="s">
        <v>2040</v>
      </c>
      <c r="T15" s="61"/>
      <c r="U15" s="87"/>
      <c r="V15" s="61"/>
      <c r="W15" s="61"/>
      <c r="X15" s="61"/>
      <c r="Y15" s="61"/>
      <c r="Z15" s="61"/>
    </row>
    <row r="16" s="4" customFormat="true" ht="5.25" hidden="false" customHeight="true" outlineLevel="2" collapsed="false">
      <c r="A16" s="135"/>
      <c r="B16" s="135"/>
      <c r="C16" s="135"/>
      <c r="D16" s="135"/>
      <c r="E16" s="135"/>
      <c r="F16" s="135"/>
      <c r="G16" s="135"/>
      <c r="H16" s="135"/>
      <c r="I16" s="135"/>
      <c r="J16" s="135"/>
      <c r="K16" s="135"/>
      <c r="L16" s="135"/>
      <c r="M16" s="135"/>
      <c r="N16" s="135"/>
      <c r="O16" s="135"/>
      <c r="P16" s="135"/>
      <c r="Q16" s="135"/>
      <c r="R16" s="135"/>
      <c r="S16" s="136"/>
      <c r="T16" s="61"/>
    </row>
    <row r="17" s="50" customFormat="true" ht="27" hidden="false" customHeight="true" outlineLevel="1" collapsed="false">
      <c r="A17" s="49" t="s">
        <v>2041</v>
      </c>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c r="IQ17" s="49"/>
      <c r="IR17" s="49"/>
      <c r="IS17" s="49"/>
      <c r="IT17" s="49"/>
      <c r="IU17" s="49"/>
      <c r="IV17" s="49"/>
      <c r="IW17" s="49"/>
    </row>
    <row r="18" s="34" customFormat="true" ht="115" hidden="false" customHeight="true" outlineLevel="2" collapsed="false">
      <c r="A18" s="51" t="s">
        <v>2042</v>
      </c>
      <c r="B18" s="57"/>
      <c r="C18" s="57"/>
      <c r="D18" s="53" t="s">
        <v>2043</v>
      </c>
      <c r="E18" s="53" t="s">
        <v>89</v>
      </c>
      <c r="F18" s="54" t="n">
        <v>481.13</v>
      </c>
      <c r="G18" s="55"/>
      <c r="H18" s="56" t="str">
        <f aca="false">IF(ISBLANK(G18),"",IF(ISNUMBER(F18),ROUND(F18*G18,2),"Укажите цену"))</f>
        <v/>
      </c>
      <c r="I18" s="57" t="n">
        <v>419</v>
      </c>
      <c r="J18" s="57" t="n">
        <v>9.5</v>
      </c>
      <c r="K18" s="57" t="s">
        <v>2044</v>
      </c>
      <c r="L18" s="57" t="s">
        <v>91</v>
      </c>
      <c r="M18" s="57" t="s">
        <v>92</v>
      </c>
      <c r="N18" s="57" t="n">
        <v>20</v>
      </c>
      <c r="O18" s="57" t="s">
        <v>2045</v>
      </c>
      <c r="P18" s="58" t="n">
        <v>0.104</v>
      </c>
      <c r="Q18" s="92" t="s">
        <v>2046</v>
      </c>
      <c r="R18" s="69" t="s">
        <v>2047</v>
      </c>
      <c r="S18" s="60" t="s">
        <v>96</v>
      </c>
      <c r="T18" s="61"/>
    </row>
    <row r="19" s="62" customFormat="true" ht="115" hidden="false" customHeight="true" outlineLevel="2" collapsed="false">
      <c r="A19" s="51" t="s">
        <v>2048</v>
      </c>
      <c r="B19" s="57"/>
      <c r="C19" s="57"/>
      <c r="D19" s="53" t="s">
        <v>2049</v>
      </c>
      <c r="E19" s="53" t="s">
        <v>89</v>
      </c>
      <c r="F19" s="54" t="n">
        <v>619.76</v>
      </c>
      <c r="G19" s="55"/>
      <c r="H19" s="56" t="str">
        <f aca="false">IF(ISBLANK(G19),"",IF(ISNUMBER(F19),ROUND(F19*G19,2),"Укажите цену"))</f>
        <v/>
      </c>
      <c r="I19" s="57" t="n">
        <v>397</v>
      </c>
      <c r="J19" s="57" t="n">
        <v>13.44</v>
      </c>
      <c r="K19" s="57" t="s">
        <v>2050</v>
      </c>
      <c r="L19" s="57" t="s">
        <v>91</v>
      </c>
      <c r="M19" s="57" t="s">
        <v>92</v>
      </c>
      <c r="N19" s="57" t="n">
        <v>30</v>
      </c>
      <c r="O19" s="57" t="s">
        <v>2051</v>
      </c>
      <c r="P19" s="58" t="n">
        <v>0.14</v>
      </c>
      <c r="Q19" s="59" t="s">
        <v>2052</v>
      </c>
      <c r="R19" s="77" t="s">
        <v>2053</v>
      </c>
      <c r="S19" s="73" t="s">
        <v>96</v>
      </c>
      <c r="T19" s="61"/>
      <c r="U19" s="61"/>
      <c r="V19" s="61"/>
      <c r="W19" s="61"/>
      <c r="X19" s="61"/>
      <c r="Y19" s="61"/>
      <c r="Z19" s="61"/>
    </row>
    <row r="20" s="4" customFormat="true" ht="5.25" hidden="false" customHeight="true" outlineLevel="2" collapsed="false">
      <c r="A20" s="135"/>
      <c r="B20" s="135"/>
      <c r="C20" s="135"/>
      <c r="D20" s="135"/>
      <c r="E20" s="135"/>
      <c r="F20" s="135"/>
      <c r="G20" s="135"/>
      <c r="H20" s="135"/>
      <c r="I20" s="135"/>
      <c r="J20" s="135"/>
      <c r="K20" s="135"/>
      <c r="L20" s="135"/>
      <c r="M20" s="135"/>
      <c r="N20" s="135"/>
      <c r="O20" s="135"/>
      <c r="P20" s="135"/>
      <c r="Q20" s="135"/>
      <c r="R20" s="135"/>
      <c r="S20" s="136"/>
      <c r="T20" s="61"/>
    </row>
    <row r="21" s="50" customFormat="true" ht="27" hidden="false" customHeight="true" outlineLevel="1" collapsed="false">
      <c r="A21" s="49" t="s">
        <v>2054</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49"/>
      <c r="DV21" s="49"/>
      <c r="DW21" s="49"/>
      <c r="DX21" s="49"/>
      <c r="DY21" s="49"/>
      <c r="DZ21" s="49"/>
      <c r="EA21" s="49"/>
      <c r="EB21" s="49"/>
      <c r="EC21" s="49"/>
      <c r="ED21" s="49"/>
      <c r="EE21" s="49"/>
      <c r="EF21" s="49"/>
      <c r="EG21" s="49"/>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c r="GQ21" s="49"/>
      <c r="GR21" s="49"/>
      <c r="GS21" s="49"/>
      <c r="GT21" s="49"/>
      <c r="GU21" s="49"/>
      <c r="GV21" s="49"/>
      <c r="GW21" s="49"/>
      <c r="GX21" s="49"/>
      <c r="GY21" s="49"/>
      <c r="GZ21" s="49"/>
      <c r="HA21" s="49"/>
      <c r="HB21" s="49"/>
      <c r="HC21" s="49"/>
      <c r="HD21" s="49"/>
      <c r="HE21" s="49"/>
      <c r="HF21" s="49"/>
      <c r="HG21" s="49"/>
      <c r="HH21" s="49"/>
      <c r="HI21" s="49"/>
      <c r="HJ21" s="49"/>
      <c r="HK21" s="49"/>
      <c r="HL21" s="49"/>
      <c r="HM21" s="49"/>
      <c r="HN21" s="49"/>
      <c r="HO21" s="49"/>
      <c r="HP21" s="49"/>
      <c r="HQ21" s="49"/>
      <c r="HR21" s="49"/>
      <c r="HS21" s="49"/>
      <c r="HT21" s="49"/>
      <c r="HU21" s="49"/>
      <c r="HV21" s="49"/>
      <c r="HW21" s="49"/>
      <c r="HX21" s="49"/>
      <c r="HY21" s="49"/>
      <c r="HZ21" s="49"/>
      <c r="IA21" s="49"/>
      <c r="IB21" s="49"/>
      <c r="IC21" s="49"/>
      <c r="ID21" s="49"/>
      <c r="IE21" s="49"/>
      <c r="IF21" s="49"/>
      <c r="IG21" s="49"/>
      <c r="IH21" s="49"/>
      <c r="II21" s="49"/>
      <c r="IJ21" s="49"/>
      <c r="IK21" s="49"/>
      <c r="IL21" s="49"/>
      <c r="IM21" s="49"/>
      <c r="IN21" s="49"/>
      <c r="IO21" s="49"/>
      <c r="IP21" s="49"/>
      <c r="IQ21" s="49"/>
      <c r="IR21" s="49"/>
      <c r="IS21" s="49"/>
      <c r="IT21" s="49"/>
      <c r="IU21" s="49"/>
      <c r="IV21" s="49"/>
      <c r="IW21" s="49"/>
    </row>
    <row r="22" s="34" customFormat="true" ht="60" hidden="false" customHeight="true" outlineLevel="2" collapsed="false">
      <c r="A22" s="63" t="s">
        <v>2055</v>
      </c>
      <c r="B22" s="57"/>
      <c r="C22" s="57"/>
      <c r="D22" s="53" t="s">
        <v>2056</v>
      </c>
      <c r="E22" s="53" t="s">
        <v>217</v>
      </c>
      <c r="F22" s="54" t="n">
        <v>481.13</v>
      </c>
      <c r="G22" s="55"/>
      <c r="H22" s="56" t="str">
        <f aca="false">IF(ISBLANK(G22),"",IF(ISNUMBER(F22),ROUND(F22*G22,2),"Укажите цену"))</f>
        <v/>
      </c>
      <c r="I22" s="57" t="n">
        <v>273</v>
      </c>
      <c r="J22" s="57" t="n">
        <v>11.81</v>
      </c>
      <c r="K22" s="57" t="s">
        <v>2057</v>
      </c>
      <c r="L22" s="57" t="s">
        <v>91</v>
      </c>
      <c r="M22" s="57" t="s">
        <v>92</v>
      </c>
      <c r="N22" s="57" t="n">
        <v>40</v>
      </c>
      <c r="O22" s="57" t="s">
        <v>2058</v>
      </c>
      <c r="P22" s="58" t="n">
        <v>0.0881562</v>
      </c>
      <c r="Q22" s="68" t="s">
        <v>2059</v>
      </c>
      <c r="R22" s="91" t="s">
        <v>2060</v>
      </c>
      <c r="S22" s="60" t="s">
        <v>96</v>
      </c>
      <c r="T22" s="61"/>
    </row>
    <row r="23" s="34" customFormat="true" ht="60" hidden="false" customHeight="true" outlineLevel="2" collapsed="false">
      <c r="A23" s="63"/>
      <c r="B23" s="57"/>
      <c r="C23" s="57"/>
      <c r="D23" s="53" t="s">
        <v>2061</v>
      </c>
      <c r="E23" s="53" t="s">
        <v>103</v>
      </c>
      <c r="F23" s="54" t="n">
        <v>481.13</v>
      </c>
      <c r="G23" s="55"/>
      <c r="H23" s="56" t="str">
        <f aca="false">IF(ISBLANK(G23),"",IF(ISNUMBER(F23),ROUND(F23*G23,2),"Укажите цену"))</f>
        <v/>
      </c>
      <c r="I23" s="57"/>
      <c r="J23" s="57"/>
      <c r="K23" s="57"/>
      <c r="L23" s="57"/>
      <c r="M23" s="57"/>
      <c r="N23" s="57"/>
      <c r="O23" s="57"/>
      <c r="P23" s="58"/>
      <c r="Q23" s="68"/>
      <c r="R23" s="91"/>
      <c r="S23" s="60"/>
      <c r="T23" s="61"/>
    </row>
    <row r="24" s="34" customFormat="true" ht="60" hidden="false" customHeight="true" outlineLevel="2" collapsed="false">
      <c r="A24" s="63" t="s">
        <v>2062</v>
      </c>
      <c r="B24" s="57"/>
      <c r="C24" s="57"/>
      <c r="D24" s="53" t="s">
        <v>2063</v>
      </c>
      <c r="E24" s="53" t="s">
        <v>217</v>
      </c>
      <c r="F24" s="54" t="n">
        <v>693.15</v>
      </c>
      <c r="G24" s="55"/>
      <c r="H24" s="56" t="str">
        <f aca="false">IF(ISBLANK(G24),"",IF(ISNUMBER(F24),ROUND(F24*G24,2),"Укажите цену"))</f>
        <v/>
      </c>
      <c r="I24" s="57" t="n">
        <v>321</v>
      </c>
      <c r="J24" s="57" t="n">
        <v>14.3</v>
      </c>
      <c r="K24" s="57" t="s">
        <v>2064</v>
      </c>
      <c r="L24" s="57" t="s">
        <v>91</v>
      </c>
      <c r="M24" s="57" t="s">
        <v>92</v>
      </c>
      <c r="N24" s="57" t="n">
        <v>40</v>
      </c>
      <c r="O24" s="57" t="s">
        <v>2065</v>
      </c>
      <c r="P24" s="58" t="n">
        <v>0.125</v>
      </c>
      <c r="Q24" s="92" t="s">
        <v>2066</v>
      </c>
      <c r="R24" s="69" t="s">
        <v>2067</v>
      </c>
      <c r="S24" s="60" t="s">
        <v>96</v>
      </c>
      <c r="T24" s="61"/>
    </row>
    <row r="25" s="34" customFormat="true" ht="60" hidden="false" customHeight="true" outlineLevel="2" collapsed="false">
      <c r="A25" s="63"/>
      <c r="B25" s="57"/>
      <c r="C25" s="57"/>
      <c r="D25" s="53" t="s">
        <v>2068</v>
      </c>
      <c r="E25" s="53" t="s">
        <v>689</v>
      </c>
      <c r="F25" s="54" t="n">
        <v>693.15</v>
      </c>
      <c r="G25" s="55"/>
      <c r="H25" s="56" t="str">
        <f aca="false">IF(ISBLANK(G25),"",IF(ISNUMBER(F25),ROUND(F25*G25,2),"Укажите цену"))</f>
        <v/>
      </c>
      <c r="I25" s="57"/>
      <c r="J25" s="57"/>
      <c r="K25" s="57"/>
      <c r="L25" s="57"/>
      <c r="M25" s="57"/>
      <c r="N25" s="57"/>
      <c r="O25" s="57"/>
      <c r="P25" s="58"/>
      <c r="Q25" s="92"/>
      <c r="R25" s="69"/>
      <c r="S25" s="60"/>
      <c r="T25" s="61"/>
    </row>
    <row r="26" s="70" customFormat="true" ht="115" hidden="false" customHeight="true" outlineLevel="2" collapsed="false">
      <c r="A26" s="51" t="s">
        <v>2069</v>
      </c>
      <c r="B26" s="57"/>
      <c r="C26" s="57"/>
      <c r="D26" s="53" t="s">
        <v>2070</v>
      </c>
      <c r="E26" s="53" t="s">
        <v>217</v>
      </c>
      <c r="F26" s="54" t="n">
        <v>481.13</v>
      </c>
      <c r="G26" s="55"/>
      <c r="H26" s="56" t="str">
        <f aca="false">IF(ISBLANK(G26),"",IF(ISNUMBER(F26),ROUND(F26*G26,2),"Укажите цену"))</f>
        <v/>
      </c>
      <c r="I26" s="57" t="n">
        <v>245</v>
      </c>
      <c r="J26" s="57" t="n">
        <v>16</v>
      </c>
      <c r="K26" s="57" t="s">
        <v>2071</v>
      </c>
      <c r="L26" s="57" t="s">
        <v>91</v>
      </c>
      <c r="M26" s="57" t="s">
        <v>92</v>
      </c>
      <c r="N26" s="57" t="n">
        <v>60</v>
      </c>
      <c r="O26" s="57" t="s">
        <v>2072</v>
      </c>
      <c r="P26" s="58" t="n">
        <v>0.116</v>
      </c>
      <c r="Q26" s="68" t="s">
        <v>2073</v>
      </c>
      <c r="R26" s="93" t="s">
        <v>2074</v>
      </c>
      <c r="S26" s="60" t="s">
        <v>96</v>
      </c>
      <c r="T26" s="61"/>
    </row>
    <row r="27" s="39" customFormat="true" ht="115" hidden="false" customHeight="true" outlineLevel="2" collapsed="false">
      <c r="A27" s="51" t="s">
        <v>2075</v>
      </c>
      <c r="B27" s="57"/>
      <c r="C27" s="57"/>
      <c r="D27" s="53" t="s">
        <v>2076</v>
      </c>
      <c r="E27" s="53" t="s">
        <v>89</v>
      </c>
      <c r="F27" s="54" t="n">
        <v>285.41</v>
      </c>
      <c r="G27" s="55"/>
      <c r="H27" s="56" t="str">
        <f aca="false">IF(ISBLANK(G27),"",IF(ISNUMBER(F27),ROUND(F27*G27,2),"Укажите цену"))</f>
        <v/>
      </c>
      <c r="I27" s="57" t="n">
        <v>261</v>
      </c>
      <c r="J27" s="57" t="n">
        <v>11.68</v>
      </c>
      <c r="K27" s="57" t="s">
        <v>2077</v>
      </c>
      <c r="L27" s="57" t="n">
        <v>12</v>
      </c>
      <c r="M27" s="57" t="s">
        <v>2078</v>
      </c>
      <c r="N27" s="57" t="n">
        <v>36</v>
      </c>
      <c r="O27" s="57" t="s">
        <v>2079</v>
      </c>
      <c r="P27" s="58" t="n">
        <v>0.118</v>
      </c>
      <c r="Q27" s="68" t="s">
        <v>2080</v>
      </c>
      <c r="R27" s="60" t="s">
        <v>2081</v>
      </c>
      <c r="S27" s="73" t="s">
        <v>96</v>
      </c>
      <c r="T27" s="61"/>
      <c r="U27" s="34"/>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c r="CG27" s="107"/>
      <c r="CH27" s="107"/>
      <c r="CI27" s="107"/>
      <c r="CJ27" s="107"/>
      <c r="CK27" s="107"/>
      <c r="CL27" s="107"/>
      <c r="CM27" s="107"/>
      <c r="CN27" s="107"/>
      <c r="CO27" s="107"/>
      <c r="CP27" s="107"/>
      <c r="CQ27" s="107"/>
      <c r="CR27" s="107"/>
      <c r="CS27" s="107"/>
      <c r="CT27" s="107"/>
      <c r="CU27" s="107"/>
      <c r="CV27" s="107"/>
      <c r="CW27" s="107"/>
      <c r="CX27" s="107"/>
      <c r="CY27" s="107"/>
      <c r="CZ27" s="107"/>
      <c r="DA27" s="107"/>
      <c r="DB27" s="107"/>
      <c r="DC27" s="107"/>
      <c r="DD27" s="107"/>
      <c r="DE27" s="107"/>
      <c r="DF27" s="107"/>
      <c r="DG27" s="107"/>
      <c r="DH27" s="107"/>
      <c r="DI27" s="107"/>
      <c r="DJ27" s="107"/>
      <c r="DK27" s="107"/>
      <c r="DL27" s="107"/>
      <c r="DM27" s="107"/>
      <c r="DN27" s="107"/>
      <c r="DO27" s="107"/>
      <c r="DP27" s="107"/>
      <c r="DQ27" s="107"/>
      <c r="DR27" s="107"/>
      <c r="DS27" s="107"/>
      <c r="DT27" s="107"/>
      <c r="DU27" s="107"/>
      <c r="DV27" s="107"/>
      <c r="DW27" s="107"/>
      <c r="DX27" s="107"/>
      <c r="DY27" s="107"/>
      <c r="DZ27" s="107"/>
      <c r="EA27" s="107"/>
      <c r="EB27" s="107"/>
      <c r="EC27" s="107"/>
      <c r="ED27" s="107"/>
      <c r="EE27" s="107"/>
      <c r="EF27" s="107"/>
      <c r="EG27" s="107"/>
      <c r="EH27" s="107"/>
      <c r="EI27" s="107"/>
      <c r="EJ27" s="107"/>
      <c r="EK27" s="107"/>
      <c r="EL27" s="107"/>
      <c r="EM27" s="107"/>
      <c r="EN27" s="107"/>
      <c r="EO27" s="107"/>
      <c r="EP27" s="107"/>
      <c r="EQ27" s="107"/>
      <c r="ER27" s="107"/>
      <c r="ES27" s="107"/>
      <c r="ET27" s="107"/>
      <c r="EU27" s="107"/>
      <c r="EV27" s="107"/>
      <c r="EW27" s="107"/>
      <c r="EX27" s="107"/>
      <c r="EY27" s="107"/>
      <c r="EZ27" s="107"/>
      <c r="FA27" s="107"/>
      <c r="FB27" s="107"/>
      <c r="FC27" s="107"/>
      <c r="FD27" s="107"/>
      <c r="FE27" s="107"/>
      <c r="FF27" s="107"/>
      <c r="FG27" s="107"/>
      <c r="FH27" s="107"/>
      <c r="FI27" s="107"/>
      <c r="FJ27" s="107"/>
      <c r="FK27" s="107"/>
      <c r="FL27" s="107"/>
      <c r="FM27" s="107"/>
      <c r="FN27" s="107"/>
      <c r="FO27" s="107"/>
      <c r="FP27" s="107"/>
      <c r="FQ27" s="107"/>
      <c r="FR27" s="107"/>
      <c r="FS27" s="107"/>
      <c r="FT27" s="107"/>
      <c r="FU27" s="107"/>
      <c r="FV27" s="107"/>
      <c r="FW27" s="107"/>
      <c r="FX27" s="107"/>
      <c r="FY27" s="107"/>
      <c r="FZ27" s="107"/>
      <c r="GA27" s="107"/>
      <c r="GB27" s="107"/>
      <c r="GC27" s="107"/>
      <c r="GD27" s="107"/>
      <c r="GE27" s="107"/>
      <c r="GF27" s="107"/>
      <c r="GG27" s="107"/>
      <c r="GH27" s="107"/>
      <c r="GI27" s="107"/>
      <c r="GJ27" s="107"/>
      <c r="GK27" s="107"/>
      <c r="GL27" s="107"/>
      <c r="GM27" s="107"/>
      <c r="GN27" s="107"/>
      <c r="GO27" s="107"/>
      <c r="GP27" s="107"/>
      <c r="GQ27" s="107"/>
      <c r="GR27" s="107"/>
      <c r="GS27" s="107"/>
      <c r="GT27" s="107"/>
      <c r="GU27" s="107"/>
      <c r="GV27" s="107"/>
      <c r="GW27" s="107"/>
      <c r="GX27" s="107"/>
      <c r="GY27" s="107"/>
      <c r="GZ27" s="107"/>
      <c r="HA27" s="107"/>
      <c r="HB27" s="107"/>
      <c r="HC27" s="107"/>
      <c r="HD27" s="107"/>
      <c r="HE27" s="107"/>
      <c r="HF27" s="107"/>
      <c r="HG27" s="107"/>
      <c r="HH27" s="107"/>
      <c r="HI27" s="107"/>
      <c r="HJ27" s="107"/>
      <c r="HK27" s="107"/>
      <c r="HL27" s="107"/>
      <c r="HM27" s="107"/>
      <c r="HN27" s="107"/>
      <c r="HO27" s="107"/>
      <c r="HP27" s="107"/>
      <c r="HQ27" s="107"/>
      <c r="HR27" s="107"/>
      <c r="HS27" s="107"/>
      <c r="HT27" s="107"/>
      <c r="HU27" s="107"/>
      <c r="HV27" s="107"/>
      <c r="HW27" s="107"/>
      <c r="HX27" s="107"/>
      <c r="HY27" s="106"/>
    </row>
    <row r="28" s="4" customFormat="true" ht="5.25" hidden="false" customHeight="true" outlineLevel="2" collapsed="false">
      <c r="A28" s="135"/>
      <c r="B28" s="135"/>
      <c r="C28" s="135"/>
      <c r="D28" s="135"/>
      <c r="E28" s="135"/>
      <c r="F28" s="135"/>
      <c r="G28" s="135"/>
      <c r="H28" s="135"/>
      <c r="I28" s="135"/>
      <c r="J28" s="135"/>
      <c r="K28" s="135"/>
      <c r="L28" s="135"/>
      <c r="M28" s="135"/>
      <c r="N28" s="135"/>
      <c r="O28" s="135"/>
      <c r="P28" s="135"/>
      <c r="Q28" s="135"/>
      <c r="R28" s="135"/>
      <c r="S28" s="136"/>
      <c r="T28" s="61"/>
    </row>
    <row r="29" s="50" customFormat="true" ht="27" hidden="false" customHeight="true" outlineLevel="1" collapsed="false">
      <c r="A29" s="49" t="s">
        <v>2082</v>
      </c>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49"/>
      <c r="IQ29" s="49"/>
      <c r="IR29" s="49"/>
      <c r="IS29" s="49"/>
      <c r="IT29" s="49"/>
      <c r="IU29" s="49"/>
      <c r="IV29" s="49"/>
      <c r="IW29" s="49"/>
    </row>
    <row r="30" s="70" customFormat="true" ht="115" hidden="false" customHeight="true" outlineLevel="2" collapsed="false">
      <c r="A30" s="51" t="s">
        <v>2083</v>
      </c>
      <c r="B30" s="57"/>
      <c r="C30" s="57"/>
      <c r="D30" s="53" t="s">
        <v>2084</v>
      </c>
      <c r="E30" s="53" t="s">
        <v>103</v>
      </c>
      <c r="F30" s="54" t="n">
        <v>309.88</v>
      </c>
      <c r="G30" s="55"/>
      <c r="H30" s="56" t="str">
        <f aca="false">IF(ISBLANK(G30),"",IF(ISNUMBER(F30),ROUND(F30*G30,2),"Укажите цену"))</f>
        <v/>
      </c>
      <c r="I30" s="57" t="n">
        <v>15</v>
      </c>
      <c r="J30" s="57" t="n">
        <v>16.2</v>
      </c>
      <c r="K30" s="57" t="s">
        <v>2085</v>
      </c>
      <c r="L30" s="57" t="s">
        <v>91</v>
      </c>
      <c r="M30" s="57" t="s">
        <v>92</v>
      </c>
      <c r="N30" s="57" t="n">
        <v>1000</v>
      </c>
      <c r="O30" s="57" t="s">
        <v>696</v>
      </c>
      <c r="P30" s="58" t="n">
        <v>0.095</v>
      </c>
      <c r="Q30" s="139" t="s">
        <v>2086</v>
      </c>
      <c r="R30" s="69" t="s">
        <v>2087</v>
      </c>
      <c r="S30" s="60" t="s">
        <v>96</v>
      </c>
      <c r="T30" s="61"/>
    </row>
    <row r="31" s="4" customFormat="true" ht="5.25" hidden="false" customHeight="true" outlineLevel="2" collapsed="false">
      <c r="A31" s="135"/>
      <c r="B31" s="135"/>
      <c r="C31" s="135"/>
      <c r="D31" s="135"/>
      <c r="E31" s="135"/>
      <c r="F31" s="135"/>
      <c r="G31" s="135"/>
      <c r="H31" s="135"/>
      <c r="I31" s="135"/>
      <c r="J31" s="135"/>
      <c r="K31" s="135"/>
      <c r="L31" s="135"/>
      <c r="M31" s="135"/>
      <c r="N31" s="135"/>
      <c r="O31" s="135"/>
      <c r="P31" s="135"/>
      <c r="Q31" s="135"/>
      <c r="R31" s="135"/>
      <c r="S31" s="136"/>
      <c r="T31" s="61"/>
    </row>
    <row r="32" s="50" customFormat="true" ht="27" hidden="false" customHeight="true" outlineLevel="1" collapsed="false">
      <c r="A32" s="49" t="s">
        <v>2088</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c r="DA32" s="49"/>
      <c r="DB32" s="49"/>
      <c r="DC32" s="49"/>
      <c r="DD32" s="49"/>
      <c r="DE32" s="49"/>
      <c r="DF32" s="49"/>
      <c r="DG32" s="49"/>
      <c r="DH32" s="49"/>
      <c r="DI32" s="49"/>
      <c r="DJ32" s="49"/>
      <c r="DK32" s="49"/>
      <c r="DL32" s="49"/>
      <c r="DM32" s="49"/>
      <c r="DN32" s="49"/>
      <c r="DO32" s="49"/>
      <c r="DP32" s="49"/>
      <c r="DQ32" s="49"/>
      <c r="DR32" s="49"/>
      <c r="DS32" s="49"/>
      <c r="DT32" s="49"/>
      <c r="DU32" s="49"/>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49"/>
      <c r="HW32" s="49"/>
      <c r="HX32" s="49"/>
      <c r="HY32" s="49"/>
      <c r="HZ32" s="49"/>
      <c r="IA32" s="49"/>
      <c r="IB32" s="49"/>
      <c r="IC32" s="49"/>
      <c r="ID32" s="49"/>
      <c r="IE32" s="49"/>
      <c r="IF32" s="49"/>
      <c r="IG32" s="49"/>
      <c r="IH32" s="49"/>
      <c r="II32" s="49"/>
      <c r="IJ32" s="49"/>
      <c r="IK32" s="49"/>
      <c r="IL32" s="49"/>
      <c r="IM32" s="49"/>
      <c r="IN32" s="49"/>
      <c r="IO32" s="49"/>
      <c r="IP32" s="49"/>
      <c r="IQ32" s="49"/>
      <c r="IR32" s="49"/>
      <c r="IS32" s="49"/>
      <c r="IT32" s="49"/>
      <c r="IU32" s="49"/>
      <c r="IV32" s="49"/>
      <c r="IW32" s="49"/>
    </row>
    <row r="33" s="70" customFormat="true" ht="60" hidden="false" customHeight="true" outlineLevel="2" collapsed="false">
      <c r="A33" s="63" t="s">
        <v>2089</v>
      </c>
      <c r="B33" s="57"/>
      <c r="C33" s="57"/>
      <c r="D33" s="53" t="s">
        <v>2090</v>
      </c>
      <c r="E33" s="53" t="s">
        <v>89</v>
      </c>
      <c r="F33" s="54" t="n">
        <v>96.23</v>
      </c>
      <c r="G33" s="55"/>
      <c r="H33" s="56" t="str">
        <f aca="false">IF(ISBLANK(G33),"",IF(ISNUMBER(F33),ROUND(F33*G33,2),"Укажите цену"))</f>
        <v/>
      </c>
      <c r="I33" s="57" t="n">
        <v>29</v>
      </c>
      <c r="J33" s="57" t="n">
        <v>7.95</v>
      </c>
      <c r="K33" s="57" t="s">
        <v>2091</v>
      </c>
      <c r="L33" s="57" t="s">
        <v>91</v>
      </c>
      <c r="M33" s="57" t="s">
        <v>92</v>
      </c>
      <c r="N33" s="57" t="n">
        <v>244</v>
      </c>
      <c r="O33" s="57" t="s">
        <v>641</v>
      </c>
      <c r="P33" s="58" t="n">
        <v>0.074</v>
      </c>
      <c r="Q33" s="68" t="s">
        <v>2092</v>
      </c>
      <c r="R33" s="69" t="s">
        <v>2093</v>
      </c>
      <c r="S33" s="60" t="s">
        <v>96</v>
      </c>
      <c r="T33" s="61"/>
    </row>
    <row r="34" s="70" customFormat="true" ht="60" hidden="false" customHeight="true" outlineLevel="2" collapsed="false">
      <c r="A34" s="63"/>
      <c r="B34" s="57"/>
      <c r="C34" s="57"/>
      <c r="D34" s="53" t="s">
        <v>2094</v>
      </c>
      <c r="E34" s="53" t="s">
        <v>103</v>
      </c>
      <c r="F34" s="54" t="n">
        <v>96.23</v>
      </c>
      <c r="G34" s="55"/>
      <c r="H34" s="56" t="str">
        <f aca="false">IF(ISBLANK(G34),"",IF(ISNUMBER(F34),ROUND(F34*G34,2),"Укажите цену"))</f>
        <v/>
      </c>
      <c r="I34" s="57"/>
      <c r="J34" s="57"/>
      <c r="K34" s="57"/>
      <c r="L34" s="57"/>
      <c r="M34" s="57"/>
      <c r="N34" s="57"/>
      <c r="O34" s="57"/>
      <c r="P34" s="58"/>
      <c r="Q34" s="68"/>
      <c r="R34" s="69"/>
      <c r="S34" s="60"/>
      <c r="T34" s="61"/>
    </row>
    <row r="35" s="70" customFormat="true" ht="60" hidden="false" customHeight="true" outlineLevel="2" collapsed="false">
      <c r="A35" s="63" t="s">
        <v>2095</v>
      </c>
      <c r="B35" s="57"/>
      <c r="C35" s="57"/>
      <c r="D35" s="53" t="s">
        <v>2096</v>
      </c>
      <c r="E35" s="53" t="s">
        <v>89</v>
      </c>
      <c r="F35" s="54" t="n">
        <v>99.49</v>
      </c>
      <c r="G35" s="55"/>
      <c r="H35" s="56" t="str">
        <f aca="false">IF(ISBLANK(G35),"",IF(ISNUMBER(F35),ROUND(F35*G35,2),"Укажите цену"))</f>
        <v/>
      </c>
      <c r="I35" s="57" t="n">
        <v>30</v>
      </c>
      <c r="J35" s="57" t="n">
        <v>8.14</v>
      </c>
      <c r="K35" s="57" t="s">
        <v>2091</v>
      </c>
      <c r="L35" s="57" t="s">
        <v>91</v>
      </c>
      <c r="M35" s="57" t="s">
        <v>92</v>
      </c>
      <c r="N35" s="57" t="n">
        <v>244</v>
      </c>
      <c r="O35" s="57" t="s">
        <v>641</v>
      </c>
      <c r="P35" s="58" t="n">
        <v>0.074</v>
      </c>
      <c r="Q35" s="68" t="s">
        <v>2097</v>
      </c>
      <c r="R35" s="69" t="s">
        <v>2098</v>
      </c>
      <c r="S35" s="60" t="s">
        <v>96</v>
      </c>
      <c r="T35" s="61"/>
    </row>
    <row r="36" s="70" customFormat="true" ht="60" hidden="false" customHeight="true" outlineLevel="2" collapsed="false">
      <c r="A36" s="63"/>
      <c r="B36" s="57"/>
      <c r="C36" s="57"/>
      <c r="D36" s="53" t="s">
        <v>2099</v>
      </c>
      <c r="E36" s="53" t="s">
        <v>103</v>
      </c>
      <c r="F36" s="54" t="n">
        <v>99.49</v>
      </c>
      <c r="G36" s="55"/>
      <c r="H36" s="56" t="str">
        <f aca="false">IF(ISBLANK(G36),"",IF(ISNUMBER(F36),ROUND(F36*G36,2),"Укажите цену"))</f>
        <v/>
      </c>
      <c r="I36" s="57"/>
      <c r="J36" s="57"/>
      <c r="K36" s="57"/>
      <c r="L36" s="57"/>
      <c r="M36" s="57"/>
      <c r="N36" s="57"/>
      <c r="O36" s="57"/>
      <c r="P36" s="58"/>
      <c r="Q36" s="68"/>
      <c r="R36" s="69"/>
      <c r="S36" s="60"/>
      <c r="T36" s="61"/>
    </row>
    <row r="37" s="70" customFormat="true" ht="60" hidden="false" customHeight="true" outlineLevel="2" collapsed="false">
      <c r="A37" s="63" t="s">
        <v>2100</v>
      </c>
      <c r="B37" s="57"/>
      <c r="C37" s="57"/>
      <c r="D37" s="53" t="s">
        <v>2101</v>
      </c>
      <c r="E37" s="53" t="s">
        <v>89</v>
      </c>
      <c r="F37" s="54" t="n">
        <v>96.23</v>
      </c>
      <c r="G37" s="55"/>
      <c r="H37" s="56" t="str">
        <f aca="false">IF(ISBLANK(G37),"",IF(ISNUMBER(F37),ROUND(F37*G37,2),"Укажите цену"))</f>
        <v/>
      </c>
      <c r="I37" s="57" t="n">
        <v>29</v>
      </c>
      <c r="J37" s="57" t="n">
        <v>8.1</v>
      </c>
      <c r="K37" s="57" t="s">
        <v>2091</v>
      </c>
      <c r="L37" s="57" t="s">
        <v>91</v>
      </c>
      <c r="M37" s="57" t="s">
        <v>92</v>
      </c>
      <c r="N37" s="57" t="n">
        <v>244</v>
      </c>
      <c r="O37" s="57" t="s">
        <v>641</v>
      </c>
      <c r="P37" s="58" t="n">
        <v>0.074</v>
      </c>
      <c r="Q37" s="68" t="s">
        <v>2092</v>
      </c>
      <c r="R37" s="69" t="s">
        <v>2102</v>
      </c>
      <c r="S37" s="60" t="s">
        <v>96</v>
      </c>
      <c r="T37" s="61"/>
    </row>
    <row r="38" s="70" customFormat="true" ht="60" hidden="false" customHeight="true" outlineLevel="2" collapsed="false">
      <c r="A38" s="63"/>
      <c r="B38" s="57"/>
      <c r="C38" s="57"/>
      <c r="D38" s="53" t="s">
        <v>2103</v>
      </c>
      <c r="E38" s="53" t="s">
        <v>103</v>
      </c>
      <c r="F38" s="54" t="n">
        <v>96.23</v>
      </c>
      <c r="G38" s="55"/>
      <c r="H38" s="56" t="str">
        <f aca="false">IF(ISBLANK(G38),"",IF(ISNUMBER(F38),ROUND(F38*G38,2),"Укажите цену"))</f>
        <v/>
      </c>
      <c r="I38" s="57"/>
      <c r="J38" s="57"/>
      <c r="K38" s="57"/>
      <c r="L38" s="57"/>
      <c r="M38" s="57"/>
      <c r="N38" s="57"/>
      <c r="O38" s="57"/>
      <c r="P38" s="58"/>
      <c r="Q38" s="68"/>
      <c r="R38" s="69"/>
      <c r="S38" s="60"/>
      <c r="T38" s="61"/>
    </row>
    <row r="39" s="34" customFormat="true" ht="115" hidden="false" customHeight="true" outlineLevel="2" collapsed="false">
      <c r="A39" s="51" t="s">
        <v>2104</v>
      </c>
      <c r="B39" s="57"/>
      <c r="C39" s="57"/>
      <c r="D39" s="53" t="s">
        <v>2105</v>
      </c>
      <c r="E39" s="53" t="s">
        <v>89</v>
      </c>
      <c r="F39" s="54" t="n">
        <v>187.56</v>
      </c>
      <c r="G39" s="55"/>
      <c r="H39" s="56" t="str">
        <f aca="false">IF(ISBLANK(G39),"",IF(ISNUMBER(F39),ROUND(F39*G39,2),"Укажите цену"))</f>
        <v/>
      </c>
      <c r="I39" s="57" t="n">
        <v>32</v>
      </c>
      <c r="J39" s="57" t="n">
        <v>11.7</v>
      </c>
      <c r="K39" s="57" t="s">
        <v>2106</v>
      </c>
      <c r="L39" s="57" t="n">
        <v>76</v>
      </c>
      <c r="M39" s="57" t="s">
        <v>284</v>
      </c>
      <c r="N39" s="57" t="n">
        <v>304</v>
      </c>
      <c r="O39" s="57" t="s">
        <v>696</v>
      </c>
      <c r="P39" s="58" t="n">
        <v>0.095</v>
      </c>
      <c r="Q39" s="68" t="s">
        <v>2107</v>
      </c>
      <c r="R39" s="91" t="s">
        <v>2108</v>
      </c>
      <c r="S39" s="60" t="s">
        <v>96</v>
      </c>
      <c r="T39" s="61"/>
    </row>
    <row r="40" s="70" customFormat="true" ht="115" hidden="false" customHeight="true" outlineLevel="2" collapsed="false">
      <c r="A40" s="51" t="s">
        <v>2109</v>
      </c>
      <c r="B40" s="57"/>
      <c r="C40" s="57"/>
      <c r="D40" s="53" t="s">
        <v>2110</v>
      </c>
      <c r="E40" s="53" t="s">
        <v>103</v>
      </c>
      <c r="F40" s="54" t="n">
        <v>106.01</v>
      </c>
      <c r="G40" s="55"/>
      <c r="H40" s="56" t="str">
        <f aca="false">IF(ISBLANK(G40),"",IF(ISNUMBER(F40),ROUND(F40*G40,2),"Укажите цену"))</f>
        <v/>
      </c>
      <c r="I40" s="57" t="n">
        <v>15</v>
      </c>
      <c r="J40" s="57" t="n">
        <v>16.2</v>
      </c>
      <c r="K40" s="57" t="s">
        <v>2085</v>
      </c>
      <c r="L40" s="57" t="s">
        <v>91</v>
      </c>
      <c r="M40" s="57" t="s">
        <v>92</v>
      </c>
      <c r="N40" s="57" t="n">
        <v>1000</v>
      </c>
      <c r="O40" s="57" t="s">
        <v>696</v>
      </c>
      <c r="P40" s="58" t="n">
        <v>0.095</v>
      </c>
      <c r="Q40" s="139" t="s">
        <v>2111</v>
      </c>
      <c r="R40" s="69" t="s">
        <v>2112</v>
      </c>
      <c r="S40" s="60" t="s">
        <v>96</v>
      </c>
      <c r="T40" s="61"/>
    </row>
    <row r="41" s="70" customFormat="true" ht="115" hidden="false" customHeight="true" outlineLevel="2" collapsed="false">
      <c r="A41" s="51" t="s">
        <v>2113</v>
      </c>
      <c r="B41" s="57"/>
      <c r="C41" s="57"/>
      <c r="D41" s="53" t="s">
        <v>2114</v>
      </c>
      <c r="E41" s="53" t="s">
        <v>638</v>
      </c>
      <c r="F41" s="54" t="n">
        <v>122.32</v>
      </c>
      <c r="G41" s="55"/>
      <c r="H41" s="56" t="str">
        <f aca="false">IF(ISBLANK(G41),"",IF(ISNUMBER(F41),ROUND(F41*G41,2),"Укажите цену"))</f>
        <v/>
      </c>
      <c r="I41" s="57" t="n">
        <v>29</v>
      </c>
      <c r="J41" s="57" t="n">
        <v>13.5</v>
      </c>
      <c r="K41" s="57" t="s">
        <v>2115</v>
      </c>
      <c r="L41" s="57" t="s">
        <v>91</v>
      </c>
      <c r="M41" s="57" t="s">
        <v>92</v>
      </c>
      <c r="N41" s="57" t="n">
        <v>420</v>
      </c>
      <c r="O41" s="57" t="s">
        <v>2116</v>
      </c>
      <c r="P41" s="58" t="n">
        <v>0.112</v>
      </c>
      <c r="Q41" s="68" t="s">
        <v>2117</v>
      </c>
      <c r="R41" s="69" t="s">
        <v>2118</v>
      </c>
      <c r="S41" s="60" t="s">
        <v>96</v>
      </c>
      <c r="T41" s="61"/>
    </row>
    <row r="42" s="70" customFormat="true" ht="60" hidden="false" customHeight="true" outlineLevel="2" collapsed="false">
      <c r="A42" s="63" t="s">
        <v>2119</v>
      </c>
      <c r="B42" s="57"/>
      <c r="C42" s="57"/>
      <c r="D42" s="53" t="s">
        <v>2120</v>
      </c>
      <c r="E42" s="53" t="s">
        <v>89</v>
      </c>
      <c r="F42" s="54" t="n">
        <v>97.86</v>
      </c>
      <c r="G42" s="55"/>
      <c r="H42" s="56" t="str">
        <f aca="false">IF(ISBLANK(G42),"",IF(ISNUMBER(F42),ROUND(F42*G42,2),"Укажите цену"))</f>
        <v/>
      </c>
      <c r="I42" s="57" t="n">
        <v>28</v>
      </c>
      <c r="J42" s="57" t="n">
        <v>13.1</v>
      </c>
      <c r="K42" s="57" t="s">
        <v>2121</v>
      </c>
      <c r="L42" s="57" t="s">
        <v>91</v>
      </c>
      <c r="M42" s="57" t="s">
        <v>92</v>
      </c>
      <c r="N42" s="57" t="n">
        <v>420</v>
      </c>
      <c r="O42" s="57" t="s">
        <v>2116</v>
      </c>
      <c r="P42" s="58" t="n">
        <v>0.112</v>
      </c>
      <c r="Q42" s="68" t="s">
        <v>2122</v>
      </c>
      <c r="R42" s="172" t="s">
        <v>2123</v>
      </c>
      <c r="S42" s="60" t="s">
        <v>96</v>
      </c>
      <c r="T42" s="61"/>
    </row>
    <row r="43" s="70" customFormat="true" ht="60" hidden="false" customHeight="true" outlineLevel="2" collapsed="false">
      <c r="A43" s="63"/>
      <c r="B43" s="57"/>
      <c r="C43" s="57"/>
      <c r="D43" s="53" t="s">
        <v>2124</v>
      </c>
      <c r="E43" s="53" t="s">
        <v>103</v>
      </c>
      <c r="F43" s="54" t="n">
        <v>97.86</v>
      </c>
      <c r="G43" s="55"/>
      <c r="H43" s="56" t="str">
        <f aca="false">IF(ISBLANK(G43),"",IF(ISNUMBER(F43),ROUND(F43*G43,2),"Укажите цену"))</f>
        <v/>
      </c>
      <c r="I43" s="57"/>
      <c r="J43" s="57"/>
      <c r="K43" s="57"/>
      <c r="L43" s="57"/>
      <c r="M43" s="57"/>
      <c r="N43" s="57"/>
      <c r="O43" s="57"/>
      <c r="P43" s="58"/>
      <c r="Q43" s="68"/>
      <c r="R43" s="172"/>
      <c r="S43" s="60"/>
      <c r="T43" s="61"/>
    </row>
    <row r="44" s="70" customFormat="true" ht="60" hidden="false" customHeight="true" outlineLevel="2" collapsed="false">
      <c r="A44" s="63" t="s">
        <v>2125</v>
      </c>
      <c r="B44" s="57"/>
      <c r="C44" s="57"/>
      <c r="D44" s="53" t="s">
        <v>2126</v>
      </c>
      <c r="E44" s="53" t="s">
        <v>638</v>
      </c>
      <c r="F44" s="54" t="n">
        <v>138.63</v>
      </c>
      <c r="G44" s="55"/>
      <c r="H44" s="56" t="str">
        <f aca="false">IF(ISBLANK(G44),"",IF(ISNUMBER(F44),ROUND(F44*G44,2),"Укажите цену"))</f>
        <v/>
      </c>
      <c r="I44" s="57" t="n">
        <v>30</v>
      </c>
      <c r="J44" s="57" t="n">
        <v>11.4</v>
      </c>
      <c r="K44" s="57" t="s">
        <v>2127</v>
      </c>
      <c r="L44" s="57" t="n">
        <v>76</v>
      </c>
      <c r="M44" s="57" t="s">
        <v>284</v>
      </c>
      <c r="N44" s="57" t="n">
        <v>304</v>
      </c>
      <c r="O44" s="57" t="s">
        <v>696</v>
      </c>
      <c r="P44" s="58" t="n">
        <v>0.107</v>
      </c>
      <c r="Q44" s="68" t="s">
        <v>2128</v>
      </c>
      <c r="R44" s="69" t="s">
        <v>2129</v>
      </c>
      <c r="S44" s="60" t="s">
        <v>96</v>
      </c>
      <c r="T44" s="61"/>
    </row>
    <row r="45" s="70" customFormat="true" ht="60" hidden="false" customHeight="true" outlineLevel="2" collapsed="false">
      <c r="A45" s="63"/>
      <c r="B45" s="57"/>
      <c r="C45" s="57"/>
      <c r="D45" s="53" t="s">
        <v>2130</v>
      </c>
      <c r="E45" s="53" t="s">
        <v>689</v>
      </c>
      <c r="F45" s="54" t="n">
        <v>138.63</v>
      </c>
      <c r="G45" s="55"/>
      <c r="H45" s="56" t="str">
        <f aca="false">IF(ISBLANK(G45),"",IF(ISNUMBER(F45),ROUND(F45*G45,2),"Укажите цену"))</f>
        <v/>
      </c>
      <c r="I45" s="57"/>
      <c r="J45" s="57"/>
      <c r="K45" s="57"/>
      <c r="L45" s="57"/>
      <c r="M45" s="57"/>
      <c r="N45" s="57"/>
      <c r="O45" s="57"/>
      <c r="P45" s="58"/>
      <c r="Q45" s="68"/>
      <c r="R45" s="69"/>
      <c r="S45" s="60"/>
      <c r="T45" s="61"/>
    </row>
    <row r="46" s="62" customFormat="true" ht="60" hidden="false" customHeight="true" outlineLevel="2" collapsed="false">
      <c r="A46" s="63" t="s">
        <v>2131</v>
      </c>
      <c r="B46" s="57"/>
      <c r="C46" s="57"/>
      <c r="D46" s="53" t="s">
        <v>2132</v>
      </c>
      <c r="E46" s="53" t="s">
        <v>89</v>
      </c>
      <c r="F46" s="54" t="n">
        <v>110.9</v>
      </c>
      <c r="G46" s="55"/>
      <c r="H46" s="56" t="str">
        <f aca="false">IF(ISBLANK(G46),"",IF(ISNUMBER(F46),ROUND(F46*G46,2),"Укажите цену"))</f>
        <v/>
      </c>
      <c r="I46" s="57" t="n">
        <v>14</v>
      </c>
      <c r="J46" s="26" t="n">
        <v>15.31</v>
      </c>
      <c r="K46" s="57" t="s">
        <v>2133</v>
      </c>
      <c r="L46" s="57" t="s">
        <v>91</v>
      </c>
      <c r="M46" s="57" t="s">
        <v>92</v>
      </c>
      <c r="N46" s="57" t="n">
        <v>1000</v>
      </c>
      <c r="O46" s="57" t="s">
        <v>696</v>
      </c>
      <c r="P46" s="58" t="n">
        <v>0.095</v>
      </c>
      <c r="Q46" s="100" t="s">
        <v>2134</v>
      </c>
      <c r="R46" s="72" t="s">
        <v>2135</v>
      </c>
      <c r="S46" s="73" t="s">
        <v>96</v>
      </c>
      <c r="T46" s="61"/>
      <c r="U46" s="87"/>
      <c r="V46" s="61"/>
      <c r="W46" s="61"/>
      <c r="X46" s="61"/>
      <c r="Y46" s="61"/>
      <c r="Z46" s="61"/>
    </row>
    <row r="47" s="62" customFormat="true" ht="60" hidden="false" customHeight="true" outlineLevel="2" collapsed="false">
      <c r="A47" s="63"/>
      <c r="B47" s="57"/>
      <c r="C47" s="57"/>
      <c r="D47" s="53" t="s">
        <v>2136</v>
      </c>
      <c r="E47" s="53" t="s">
        <v>103</v>
      </c>
      <c r="F47" s="54" t="n">
        <v>110.9</v>
      </c>
      <c r="G47" s="55"/>
      <c r="H47" s="56" t="str">
        <f aca="false">IF(ISBLANK(G47),"",IF(ISNUMBER(F47),ROUND(F47*G47,2),"Укажите цену"))</f>
        <v/>
      </c>
      <c r="I47" s="57"/>
      <c r="J47" s="26"/>
      <c r="K47" s="57"/>
      <c r="L47" s="57"/>
      <c r="M47" s="57"/>
      <c r="N47" s="57"/>
      <c r="O47" s="57"/>
      <c r="P47" s="57"/>
      <c r="Q47" s="100"/>
      <c r="R47" s="72"/>
      <c r="S47" s="73"/>
      <c r="T47" s="61"/>
      <c r="U47" s="87"/>
      <c r="V47" s="61"/>
      <c r="W47" s="61"/>
      <c r="X47" s="61"/>
      <c r="Y47" s="61"/>
      <c r="Z47" s="61"/>
    </row>
    <row r="48" s="34" customFormat="true" ht="60" hidden="false" customHeight="true" outlineLevel="2" collapsed="false">
      <c r="A48" s="63" t="s">
        <v>2137</v>
      </c>
      <c r="B48" s="57"/>
      <c r="C48" s="57"/>
      <c r="D48" s="53" t="s">
        <v>2138</v>
      </c>
      <c r="E48" s="53" t="s">
        <v>89</v>
      </c>
      <c r="F48" s="54" t="n">
        <v>94.59</v>
      </c>
      <c r="G48" s="55"/>
      <c r="H48" s="56" t="str">
        <f aca="false">IF(ISBLANK(G48),"",IF(ISNUMBER(F48),ROUND(F48*G48,2),"Укажите цену"))</f>
        <v/>
      </c>
      <c r="I48" s="57" t="n">
        <v>28</v>
      </c>
      <c r="J48" s="57" t="n">
        <v>13.4</v>
      </c>
      <c r="K48" s="57" t="s">
        <v>2139</v>
      </c>
      <c r="L48" s="57" t="s">
        <v>91</v>
      </c>
      <c r="M48" s="57" t="s">
        <v>92</v>
      </c>
      <c r="N48" s="57" t="n">
        <v>420</v>
      </c>
      <c r="O48" s="57" t="s">
        <v>2116</v>
      </c>
      <c r="P48" s="58" t="n">
        <v>0.112</v>
      </c>
      <c r="Q48" s="68" t="s">
        <v>2140</v>
      </c>
      <c r="R48" s="91" t="s">
        <v>2141</v>
      </c>
      <c r="S48" s="60" t="s">
        <v>96</v>
      </c>
      <c r="T48" s="173"/>
    </row>
    <row r="49" s="34" customFormat="true" ht="60" hidden="false" customHeight="true" outlineLevel="2" collapsed="false">
      <c r="A49" s="63"/>
      <c r="B49" s="57"/>
      <c r="C49" s="57"/>
      <c r="D49" s="53" t="s">
        <v>2142</v>
      </c>
      <c r="E49" s="53" t="s">
        <v>103</v>
      </c>
      <c r="F49" s="54" t="n">
        <v>94.59</v>
      </c>
      <c r="G49" s="55"/>
      <c r="H49" s="56" t="str">
        <f aca="false">IF(ISBLANK(G49),"",IF(ISNUMBER(F49),ROUND(F49*G49,2),"Укажите цену"))</f>
        <v/>
      </c>
      <c r="I49" s="57"/>
      <c r="J49" s="57"/>
      <c r="K49" s="57"/>
      <c r="L49" s="57"/>
      <c r="M49" s="57"/>
      <c r="N49" s="57"/>
      <c r="O49" s="57"/>
      <c r="P49" s="58"/>
      <c r="Q49" s="68"/>
      <c r="R49" s="91"/>
      <c r="S49" s="60"/>
      <c r="T49" s="173"/>
    </row>
    <row r="50" s="4" customFormat="true" ht="5.25" hidden="false" customHeight="true" outlineLevel="2" collapsed="false">
      <c r="A50" s="135"/>
      <c r="B50" s="135"/>
      <c r="C50" s="135"/>
      <c r="D50" s="135"/>
      <c r="E50" s="135"/>
      <c r="F50" s="135"/>
      <c r="G50" s="135"/>
      <c r="H50" s="135"/>
      <c r="I50" s="135"/>
      <c r="J50" s="135"/>
      <c r="K50" s="135"/>
      <c r="L50" s="135"/>
      <c r="M50" s="135"/>
      <c r="N50" s="135"/>
      <c r="O50" s="135"/>
      <c r="P50" s="135"/>
      <c r="Q50" s="135"/>
      <c r="R50" s="135"/>
      <c r="S50" s="136"/>
      <c r="T50" s="61"/>
    </row>
    <row r="51" s="50" customFormat="true" ht="27" hidden="false" customHeight="true" outlineLevel="1" collapsed="false">
      <c r="A51" s="49" t="s">
        <v>2143</v>
      </c>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c r="DA51" s="49"/>
      <c r="DB51" s="49"/>
      <c r="DC51" s="49"/>
      <c r="DD51" s="49"/>
      <c r="DE51" s="49"/>
      <c r="DF51" s="49"/>
      <c r="DG51" s="49"/>
      <c r="DH51" s="49"/>
      <c r="DI51" s="49"/>
      <c r="DJ51" s="49"/>
      <c r="DK51" s="49"/>
      <c r="DL51" s="49"/>
      <c r="DM51" s="49"/>
      <c r="DN51" s="49"/>
      <c r="DO51" s="49"/>
      <c r="DP51" s="49"/>
      <c r="DQ51" s="49"/>
      <c r="DR51" s="49"/>
      <c r="DS51" s="49"/>
      <c r="DT51" s="49"/>
      <c r="DU51" s="49"/>
      <c r="DV51" s="49"/>
      <c r="DW51" s="49"/>
      <c r="DX51" s="49"/>
      <c r="DY51" s="49"/>
      <c r="DZ51" s="49"/>
      <c r="EA51" s="49"/>
      <c r="EB51" s="49"/>
      <c r="EC51" s="49"/>
      <c r="ED51" s="49"/>
      <c r="EE51" s="49"/>
      <c r="EF51" s="49"/>
      <c r="EG51" s="49"/>
      <c r="EH51" s="49"/>
      <c r="EI51" s="49"/>
      <c r="EJ51" s="49"/>
      <c r="EK51" s="49"/>
      <c r="EL51" s="49"/>
      <c r="EM51" s="49"/>
      <c r="EN51" s="49"/>
      <c r="EO51" s="49"/>
      <c r="EP51" s="49"/>
      <c r="EQ51" s="49"/>
      <c r="ER51" s="49"/>
      <c r="ES51" s="49"/>
      <c r="ET51" s="49"/>
      <c r="EU51" s="49"/>
      <c r="EV51" s="49"/>
      <c r="EW51" s="49"/>
      <c r="EX51" s="49"/>
      <c r="EY51" s="49"/>
      <c r="EZ51" s="49"/>
      <c r="FA51" s="49"/>
      <c r="FB51" s="49"/>
      <c r="FC51" s="49"/>
      <c r="FD51" s="49"/>
      <c r="FE51" s="49"/>
      <c r="FF51" s="49"/>
      <c r="FG51" s="49"/>
      <c r="FH51" s="49"/>
      <c r="FI51" s="49"/>
      <c r="FJ51" s="49"/>
      <c r="FK51" s="49"/>
      <c r="FL51" s="49"/>
      <c r="FM51" s="49"/>
      <c r="FN51" s="49"/>
      <c r="FO51" s="49"/>
      <c r="FP51" s="49"/>
      <c r="FQ51" s="49"/>
      <c r="FR51" s="49"/>
      <c r="FS51" s="49"/>
      <c r="FT51" s="49"/>
      <c r="FU51" s="49"/>
      <c r="FV51" s="49"/>
      <c r="FW51" s="49"/>
      <c r="FX51" s="49"/>
      <c r="FY51" s="49"/>
      <c r="FZ51" s="49"/>
      <c r="GA51" s="49"/>
      <c r="GB51" s="49"/>
      <c r="GC51" s="49"/>
      <c r="GD51" s="49"/>
      <c r="GE51" s="49"/>
      <c r="GF51" s="49"/>
      <c r="GG51" s="49"/>
      <c r="GH51" s="49"/>
      <c r="GI51" s="49"/>
      <c r="GJ51" s="49"/>
      <c r="GK51" s="49"/>
      <c r="GL51" s="49"/>
      <c r="GM51" s="49"/>
      <c r="GN51" s="49"/>
      <c r="GO51" s="49"/>
      <c r="GP51" s="49"/>
      <c r="GQ51" s="49"/>
      <c r="GR51" s="49"/>
      <c r="GS51" s="49"/>
      <c r="GT51" s="49"/>
      <c r="GU51" s="49"/>
      <c r="GV51" s="49"/>
      <c r="GW51" s="49"/>
      <c r="GX51" s="49"/>
      <c r="GY51" s="49"/>
      <c r="GZ51" s="49"/>
      <c r="HA51" s="49"/>
      <c r="HB51" s="49"/>
      <c r="HC51" s="49"/>
      <c r="HD51" s="49"/>
      <c r="HE51" s="49"/>
      <c r="HF51" s="49"/>
      <c r="HG51" s="49"/>
      <c r="HH51" s="49"/>
      <c r="HI51" s="49"/>
      <c r="HJ51" s="49"/>
      <c r="HK51" s="49"/>
      <c r="HL51" s="49"/>
      <c r="HM51" s="49"/>
      <c r="HN51" s="49"/>
      <c r="HO51" s="49"/>
      <c r="HP51" s="49"/>
      <c r="HQ51" s="49"/>
      <c r="HR51" s="49"/>
      <c r="HS51" s="49"/>
      <c r="HT51" s="49"/>
      <c r="HU51" s="49"/>
      <c r="HV51" s="49"/>
      <c r="HW51" s="49"/>
      <c r="HX51" s="49"/>
      <c r="HY51" s="49"/>
      <c r="HZ51" s="49"/>
      <c r="IA51" s="49"/>
      <c r="IB51" s="49"/>
      <c r="IC51" s="49"/>
      <c r="ID51" s="49"/>
      <c r="IE51" s="49"/>
      <c r="IF51" s="49"/>
      <c r="IG51" s="49"/>
      <c r="IH51" s="49"/>
      <c r="II51" s="49"/>
      <c r="IJ51" s="49"/>
      <c r="IK51" s="49"/>
      <c r="IL51" s="49"/>
      <c r="IM51" s="49"/>
      <c r="IN51" s="49"/>
      <c r="IO51" s="49"/>
      <c r="IP51" s="49"/>
      <c r="IQ51" s="49"/>
      <c r="IR51" s="49"/>
      <c r="IS51" s="49"/>
      <c r="IT51" s="49"/>
      <c r="IU51" s="49"/>
      <c r="IV51" s="49"/>
      <c r="IW51" s="49"/>
    </row>
    <row r="52" s="70" customFormat="true" ht="60" hidden="false" customHeight="true" outlineLevel="2" collapsed="false">
      <c r="A52" s="63" t="s">
        <v>2144</v>
      </c>
      <c r="B52" s="57"/>
      <c r="C52" s="57"/>
      <c r="D52" s="53" t="s">
        <v>2145</v>
      </c>
      <c r="E52" s="53" t="s">
        <v>89</v>
      </c>
      <c r="F52" s="54" t="n">
        <v>63.61</v>
      </c>
      <c r="G52" s="55"/>
      <c r="H52" s="56" t="str">
        <f aca="false">IF(ISBLANK(G52),"",IF(ISNUMBER(F52),ROUND(F52*G52,2),"Укажите цену"))</f>
        <v/>
      </c>
      <c r="I52" s="57" t="n">
        <v>29</v>
      </c>
      <c r="J52" s="57" t="n">
        <v>7.86</v>
      </c>
      <c r="K52" s="57" t="s">
        <v>2091</v>
      </c>
      <c r="L52" s="57" t="s">
        <v>91</v>
      </c>
      <c r="M52" s="57" t="s">
        <v>92</v>
      </c>
      <c r="N52" s="57" t="n">
        <v>244</v>
      </c>
      <c r="O52" s="57" t="s">
        <v>641</v>
      </c>
      <c r="P52" s="58" t="n">
        <v>0.074</v>
      </c>
      <c r="Q52" s="68" t="s">
        <v>2146</v>
      </c>
      <c r="R52" s="69" t="s">
        <v>2147</v>
      </c>
      <c r="S52" s="60" t="s">
        <v>96</v>
      </c>
      <c r="T52" s="61"/>
    </row>
    <row r="53" s="70" customFormat="true" ht="60" hidden="false" customHeight="true" outlineLevel="2" collapsed="false">
      <c r="A53" s="63"/>
      <c r="B53" s="57"/>
      <c r="C53" s="57"/>
      <c r="D53" s="53" t="s">
        <v>2148</v>
      </c>
      <c r="E53" s="53" t="s">
        <v>103</v>
      </c>
      <c r="F53" s="54" t="n">
        <v>63.61</v>
      </c>
      <c r="G53" s="55"/>
      <c r="H53" s="56" t="str">
        <f aca="false">IF(ISBLANK(G53),"",IF(ISNUMBER(F53),ROUND(F53*G53,2),"Укажите цену"))</f>
        <v/>
      </c>
      <c r="I53" s="57"/>
      <c r="J53" s="57"/>
      <c r="K53" s="57"/>
      <c r="L53" s="57"/>
      <c r="M53" s="57"/>
      <c r="N53" s="57"/>
      <c r="O53" s="57"/>
      <c r="P53" s="58"/>
      <c r="Q53" s="68"/>
      <c r="R53" s="69"/>
      <c r="S53" s="60"/>
      <c r="T53" s="61"/>
    </row>
    <row r="54" s="70" customFormat="true" ht="60" hidden="false" customHeight="true" outlineLevel="2" collapsed="false">
      <c r="A54" s="63" t="s">
        <v>2149</v>
      </c>
      <c r="B54" s="57"/>
      <c r="C54" s="57"/>
      <c r="D54" s="53" t="s">
        <v>2150</v>
      </c>
      <c r="E54" s="53" t="s">
        <v>89</v>
      </c>
      <c r="F54" s="54" t="n">
        <v>65.24</v>
      </c>
      <c r="G54" s="55"/>
      <c r="H54" s="56" t="str">
        <f aca="false">IF(ISBLANK(G54),"",IF(ISNUMBER(F54),ROUND(F54*G54,2),"Укажите цену"))</f>
        <v/>
      </c>
      <c r="I54" s="57" t="n">
        <v>29</v>
      </c>
      <c r="J54" s="57" t="n">
        <v>8.06</v>
      </c>
      <c r="K54" s="57" t="s">
        <v>2091</v>
      </c>
      <c r="L54" s="57" t="s">
        <v>91</v>
      </c>
      <c r="M54" s="57" t="s">
        <v>92</v>
      </c>
      <c r="N54" s="57" t="n">
        <v>244</v>
      </c>
      <c r="O54" s="57" t="s">
        <v>641</v>
      </c>
      <c r="P54" s="58" t="n">
        <v>0.074</v>
      </c>
      <c r="Q54" s="68" t="s">
        <v>2151</v>
      </c>
      <c r="R54" s="69" t="s">
        <v>2152</v>
      </c>
      <c r="S54" s="60" t="s">
        <v>96</v>
      </c>
      <c r="T54" s="61"/>
    </row>
    <row r="55" s="70" customFormat="true" ht="60" hidden="false" customHeight="true" outlineLevel="2" collapsed="false">
      <c r="A55" s="63"/>
      <c r="B55" s="57"/>
      <c r="C55" s="57"/>
      <c r="D55" s="53" t="s">
        <v>2153</v>
      </c>
      <c r="E55" s="53" t="s">
        <v>103</v>
      </c>
      <c r="F55" s="54" t="n">
        <v>65.24</v>
      </c>
      <c r="G55" s="55"/>
      <c r="H55" s="56" t="str">
        <f aca="false">IF(ISBLANK(G55),"",IF(ISNUMBER(F55),ROUND(F55*G55,2),"Укажите цену"))</f>
        <v/>
      </c>
      <c r="I55" s="57"/>
      <c r="J55" s="57"/>
      <c r="K55" s="57"/>
      <c r="L55" s="57"/>
      <c r="M55" s="57"/>
      <c r="N55" s="57"/>
      <c r="O55" s="57"/>
      <c r="P55" s="58"/>
      <c r="Q55" s="68"/>
      <c r="R55" s="69"/>
      <c r="S55" s="60"/>
      <c r="T55" s="61"/>
    </row>
    <row r="56" s="70" customFormat="true" ht="60" hidden="false" customHeight="true" outlineLevel="2" collapsed="false">
      <c r="A56" s="63" t="s">
        <v>2154</v>
      </c>
      <c r="B56" s="57"/>
      <c r="C56" s="57"/>
      <c r="D56" s="53" t="s">
        <v>2155</v>
      </c>
      <c r="E56" s="53" t="s">
        <v>89</v>
      </c>
      <c r="F56" s="54" t="n">
        <v>63.61</v>
      </c>
      <c r="G56" s="55"/>
      <c r="H56" s="56" t="str">
        <f aca="false">IF(ISBLANK(G56),"",IF(ISNUMBER(F56),ROUND(F56*G56,2),"Укажите цену"))</f>
        <v/>
      </c>
      <c r="I56" s="57" t="n">
        <v>29</v>
      </c>
      <c r="J56" s="57" t="n">
        <v>8.02</v>
      </c>
      <c r="K56" s="57" t="s">
        <v>2091</v>
      </c>
      <c r="L56" s="57" t="s">
        <v>91</v>
      </c>
      <c r="M56" s="57" t="s">
        <v>92</v>
      </c>
      <c r="N56" s="57" t="n">
        <v>244</v>
      </c>
      <c r="O56" s="57" t="s">
        <v>641</v>
      </c>
      <c r="P56" s="58" t="n">
        <v>0.074</v>
      </c>
      <c r="Q56" s="68" t="s">
        <v>2146</v>
      </c>
      <c r="R56" s="69" t="s">
        <v>2156</v>
      </c>
      <c r="S56" s="60" t="s">
        <v>96</v>
      </c>
      <c r="T56" s="61"/>
    </row>
    <row r="57" s="70" customFormat="true" ht="60" hidden="false" customHeight="true" outlineLevel="2" collapsed="false">
      <c r="A57" s="63"/>
      <c r="B57" s="57"/>
      <c r="C57" s="57"/>
      <c r="D57" s="53" t="s">
        <v>2157</v>
      </c>
      <c r="E57" s="53" t="s">
        <v>103</v>
      </c>
      <c r="F57" s="54" t="n">
        <v>63.61</v>
      </c>
      <c r="G57" s="55"/>
      <c r="H57" s="56" t="str">
        <f aca="false">IF(ISBLANK(G57),"",IF(ISNUMBER(F57),ROUND(F57*G57,2),"Укажите цену"))</f>
        <v/>
      </c>
      <c r="I57" s="57"/>
      <c r="J57" s="57"/>
      <c r="K57" s="57"/>
      <c r="L57" s="57"/>
      <c r="M57" s="57"/>
      <c r="N57" s="57"/>
      <c r="O57" s="57"/>
      <c r="P57" s="58"/>
      <c r="Q57" s="68"/>
      <c r="R57" s="69"/>
      <c r="S57" s="60"/>
      <c r="T57" s="61"/>
    </row>
    <row r="58" s="70" customFormat="true" ht="115" hidden="false" customHeight="true" outlineLevel="2" collapsed="false">
      <c r="A58" s="51" t="s">
        <v>2158</v>
      </c>
      <c r="B58" s="57"/>
      <c r="C58" s="57"/>
      <c r="D58" s="53" t="s">
        <v>2159</v>
      </c>
      <c r="E58" s="53" t="s">
        <v>103</v>
      </c>
      <c r="F58" s="54" t="n">
        <v>70.13</v>
      </c>
      <c r="G58" s="55"/>
      <c r="H58" s="56" t="str">
        <f aca="false">IF(ISBLANK(G58),"",IF(ISNUMBER(F58),ROUND(F58*G58,2),"Укажите цену"))</f>
        <v/>
      </c>
      <c r="I58" s="57" t="n">
        <v>14</v>
      </c>
      <c r="J58" s="57" t="n">
        <v>15.74</v>
      </c>
      <c r="K58" s="57" t="s">
        <v>2085</v>
      </c>
      <c r="L58" s="57" t="s">
        <v>91</v>
      </c>
      <c r="M58" s="57" t="s">
        <v>92</v>
      </c>
      <c r="N58" s="57" t="n">
        <v>1000</v>
      </c>
      <c r="O58" s="57" t="s">
        <v>696</v>
      </c>
      <c r="P58" s="58" t="n">
        <v>0.095</v>
      </c>
      <c r="Q58" s="139" t="s">
        <v>2160</v>
      </c>
      <c r="R58" s="69" t="s">
        <v>2161</v>
      </c>
      <c r="S58" s="60" t="s">
        <v>96</v>
      </c>
      <c r="T58" s="61"/>
    </row>
    <row r="59" s="70" customFormat="true" ht="60" hidden="false" customHeight="true" outlineLevel="2" collapsed="false">
      <c r="A59" s="63" t="s">
        <v>2162</v>
      </c>
      <c r="B59" s="57"/>
      <c r="C59" s="57"/>
      <c r="D59" s="53" t="s">
        <v>2163</v>
      </c>
      <c r="E59" s="53" t="s">
        <v>638</v>
      </c>
      <c r="F59" s="54" t="n">
        <v>79.92</v>
      </c>
      <c r="G59" s="55"/>
      <c r="H59" s="56" t="str">
        <f aca="false">IF(ISBLANK(G59),"",IF(ISNUMBER(F59),ROUND(F59*G59,2),"Укажите цену"))</f>
        <v/>
      </c>
      <c r="I59" s="57" t="n">
        <v>31</v>
      </c>
      <c r="J59" s="57" t="n">
        <v>14.3</v>
      </c>
      <c r="K59" s="57" t="s">
        <v>2115</v>
      </c>
      <c r="L59" s="57" t="s">
        <v>91</v>
      </c>
      <c r="M59" s="57" t="s">
        <v>92</v>
      </c>
      <c r="N59" s="57" t="n">
        <v>420</v>
      </c>
      <c r="O59" s="57" t="s">
        <v>2116</v>
      </c>
      <c r="P59" s="58" t="n">
        <v>0.112</v>
      </c>
      <c r="Q59" s="68" t="s">
        <v>2164</v>
      </c>
      <c r="R59" s="69" t="s">
        <v>2165</v>
      </c>
      <c r="S59" s="60" t="s">
        <v>96</v>
      </c>
      <c r="T59" s="61"/>
    </row>
    <row r="60" s="70" customFormat="true" ht="60" hidden="false" customHeight="true" outlineLevel="2" collapsed="false">
      <c r="A60" s="63"/>
      <c r="B60" s="57"/>
      <c r="C60" s="57"/>
      <c r="D60" s="53" t="s">
        <v>2166</v>
      </c>
      <c r="E60" s="53" t="s">
        <v>689</v>
      </c>
      <c r="F60" s="54" t="n">
        <v>79.92</v>
      </c>
      <c r="G60" s="55"/>
      <c r="H60" s="56" t="str">
        <f aca="false">IF(ISBLANK(G60),"",IF(ISNUMBER(F60),ROUND(F60*G60,2),"Укажите цену"))</f>
        <v/>
      </c>
      <c r="I60" s="57"/>
      <c r="J60" s="57"/>
      <c r="K60" s="57"/>
      <c r="L60" s="57"/>
      <c r="M60" s="57"/>
      <c r="N60" s="57"/>
      <c r="O60" s="57"/>
      <c r="P60" s="58"/>
      <c r="Q60" s="68"/>
      <c r="R60" s="69"/>
      <c r="S60" s="60"/>
      <c r="T60" s="61"/>
    </row>
    <row r="61" s="70" customFormat="true" ht="60" hidden="false" customHeight="true" outlineLevel="2" collapsed="false">
      <c r="A61" s="63" t="s">
        <v>2167</v>
      </c>
      <c r="B61" s="57"/>
      <c r="C61" s="57"/>
      <c r="D61" s="53" t="s">
        <v>2168</v>
      </c>
      <c r="E61" s="53" t="s">
        <v>217</v>
      </c>
      <c r="F61" s="54" t="n">
        <v>58.71</v>
      </c>
      <c r="G61" s="55"/>
      <c r="H61" s="56" t="str">
        <f aca="false">IF(ISBLANK(G61),"",IF(ISNUMBER(F61),ROUND(F61*G61,2),"Укажите цену"))</f>
        <v/>
      </c>
      <c r="I61" s="57" t="n">
        <v>29</v>
      </c>
      <c r="J61" s="57" t="n">
        <v>13.6</v>
      </c>
      <c r="K61" s="57" t="s">
        <v>2121</v>
      </c>
      <c r="L61" s="57" t="s">
        <v>91</v>
      </c>
      <c r="M61" s="57" t="s">
        <v>92</v>
      </c>
      <c r="N61" s="57" t="n">
        <v>420</v>
      </c>
      <c r="O61" s="57" t="s">
        <v>2116</v>
      </c>
      <c r="P61" s="58" t="n">
        <v>0.112</v>
      </c>
      <c r="Q61" s="68" t="s">
        <v>2169</v>
      </c>
      <c r="R61" s="172" t="s">
        <v>2170</v>
      </c>
      <c r="S61" s="60" t="s">
        <v>96</v>
      </c>
      <c r="T61" s="61"/>
    </row>
    <row r="62" s="70" customFormat="true" ht="60" hidden="false" customHeight="true" outlineLevel="2" collapsed="false">
      <c r="A62" s="63"/>
      <c r="B62" s="57"/>
      <c r="C62" s="57"/>
      <c r="D62" s="53" t="s">
        <v>2171</v>
      </c>
      <c r="E62" s="53" t="s">
        <v>103</v>
      </c>
      <c r="F62" s="54" t="n">
        <v>58.71</v>
      </c>
      <c r="G62" s="55"/>
      <c r="H62" s="56" t="str">
        <f aca="false">IF(ISBLANK(G62),"",IF(ISNUMBER(F62),ROUND(F62*G62,2),"Укажите цену"))</f>
        <v/>
      </c>
      <c r="I62" s="57"/>
      <c r="J62" s="57"/>
      <c r="K62" s="57"/>
      <c r="L62" s="57"/>
      <c r="M62" s="57"/>
      <c r="N62" s="57"/>
      <c r="O62" s="57"/>
      <c r="P62" s="58"/>
      <c r="Q62" s="68"/>
      <c r="R62" s="172"/>
      <c r="S62" s="60"/>
      <c r="T62" s="61"/>
    </row>
    <row r="63" s="70" customFormat="true" ht="115" hidden="false" customHeight="true" outlineLevel="2" collapsed="false">
      <c r="A63" s="51" t="s">
        <v>2172</v>
      </c>
      <c r="B63" s="57"/>
      <c r="C63" s="57"/>
      <c r="D63" s="53" t="s">
        <v>2173</v>
      </c>
      <c r="E63" s="53" t="s">
        <v>89</v>
      </c>
      <c r="F63" s="54" t="n">
        <v>130.48</v>
      </c>
      <c r="G63" s="55"/>
      <c r="H63" s="56" t="str">
        <f aca="false">IF(ISBLANK(G63),"",IF(ISNUMBER(F63),ROUND(F63*G63,2),"Укажите цену"))</f>
        <v/>
      </c>
      <c r="I63" s="57" t="n">
        <v>34</v>
      </c>
      <c r="J63" s="57" t="n">
        <v>12.11</v>
      </c>
      <c r="K63" s="57" t="s">
        <v>2115</v>
      </c>
      <c r="L63" s="57" t="n">
        <v>76</v>
      </c>
      <c r="M63" s="57" t="s">
        <v>284</v>
      </c>
      <c r="N63" s="57" t="n">
        <v>304</v>
      </c>
      <c r="O63" s="57" t="s">
        <v>696</v>
      </c>
      <c r="P63" s="58" t="n">
        <v>0.095</v>
      </c>
      <c r="Q63" s="68" t="s">
        <v>2174</v>
      </c>
      <c r="R63" s="72" t="s">
        <v>2175</v>
      </c>
      <c r="S63" s="73" t="s">
        <v>96</v>
      </c>
      <c r="T63" s="61"/>
    </row>
    <row r="64" s="62" customFormat="true" ht="60" hidden="false" customHeight="true" outlineLevel="2" collapsed="false">
      <c r="A64" s="63" t="s">
        <v>2176</v>
      </c>
      <c r="B64" s="57"/>
      <c r="C64" s="57"/>
      <c r="D64" s="53" t="s">
        <v>2177</v>
      </c>
      <c r="E64" s="53" t="s">
        <v>89</v>
      </c>
      <c r="F64" s="54" t="n">
        <v>78.29</v>
      </c>
      <c r="G64" s="55"/>
      <c r="H64" s="56" t="str">
        <f aca="false">IF(ISBLANK(G64),"",IF(ISNUMBER(F64),ROUND(F64*G64,2),"Укажите цену"))</f>
        <v/>
      </c>
      <c r="I64" s="57" t="n">
        <v>28</v>
      </c>
      <c r="J64" s="26" t="n">
        <v>13.1</v>
      </c>
      <c r="K64" s="57" t="s">
        <v>2178</v>
      </c>
      <c r="L64" s="57" t="s">
        <v>91</v>
      </c>
      <c r="M64" s="57" t="s">
        <v>92</v>
      </c>
      <c r="N64" s="57" t="n">
        <v>420</v>
      </c>
      <c r="O64" s="57" t="s">
        <v>2116</v>
      </c>
      <c r="P64" s="57" t="n">
        <v>0.112</v>
      </c>
      <c r="Q64" s="59" t="s">
        <v>2179</v>
      </c>
      <c r="R64" s="72" t="s">
        <v>2180</v>
      </c>
      <c r="S64" s="73" t="s">
        <v>96</v>
      </c>
      <c r="T64" s="61"/>
      <c r="U64" s="87"/>
      <c r="V64" s="61"/>
      <c r="W64" s="61"/>
      <c r="X64" s="61"/>
      <c r="Y64" s="61"/>
      <c r="Z64" s="61"/>
    </row>
    <row r="65" s="62" customFormat="true" ht="60" hidden="false" customHeight="true" outlineLevel="2" collapsed="false">
      <c r="A65" s="63"/>
      <c r="B65" s="57"/>
      <c r="C65" s="57"/>
      <c r="D65" s="53" t="s">
        <v>2181</v>
      </c>
      <c r="E65" s="53" t="s">
        <v>103</v>
      </c>
      <c r="F65" s="54" t="n">
        <v>78.29</v>
      </c>
      <c r="G65" s="55"/>
      <c r="H65" s="56" t="str">
        <f aca="false">IF(ISBLANK(G65),"",IF(ISNUMBER(F65),ROUND(F65*G65,2),"Укажите цену"))</f>
        <v/>
      </c>
      <c r="I65" s="57"/>
      <c r="J65" s="26"/>
      <c r="K65" s="57"/>
      <c r="L65" s="57"/>
      <c r="M65" s="57"/>
      <c r="N65" s="57"/>
      <c r="O65" s="57"/>
      <c r="P65" s="57"/>
      <c r="Q65" s="59"/>
      <c r="R65" s="72"/>
      <c r="S65" s="73"/>
      <c r="T65" s="61"/>
      <c r="U65" s="87"/>
      <c r="V65" s="61"/>
      <c r="W65" s="61"/>
      <c r="X65" s="61"/>
      <c r="Y65" s="61"/>
      <c r="Z65" s="61"/>
    </row>
    <row r="66" s="61" customFormat="true" ht="60" hidden="false" customHeight="true" outlineLevel="2" collapsed="false">
      <c r="A66" s="63" t="s">
        <v>2182</v>
      </c>
      <c r="B66" s="57"/>
      <c r="C66" s="57"/>
      <c r="D66" s="53" t="s">
        <v>2183</v>
      </c>
      <c r="E66" s="53" t="s">
        <v>89</v>
      </c>
      <c r="F66" s="54" t="n">
        <v>63.61</v>
      </c>
      <c r="G66" s="55"/>
      <c r="H66" s="56" t="str">
        <f aca="false">IF(ISBLANK(G66),"",IF(ISNUMBER(F66),ROUND(F66*G66,2),"Укажите цену"))</f>
        <v/>
      </c>
      <c r="I66" s="57" t="n">
        <v>26</v>
      </c>
      <c r="J66" s="26" t="n">
        <v>12.3</v>
      </c>
      <c r="K66" s="57" t="s">
        <v>2184</v>
      </c>
      <c r="L66" s="57" t="s">
        <v>91</v>
      </c>
      <c r="M66" s="57" t="s">
        <v>92</v>
      </c>
      <c r="N66" s="57" t="n">
        <v>420</v>
      </c>
      <c r="O66" s="57" t="s">
        <v>2116</v>
      </c>
      <c r="P66" s="57" t="n">
        <v>0.112</v>
      </c>
      <c r="Q66" s="59" t="s">
        <v>2185</v>
      </c>
      <c r="R66" s="72" t="s">
        <v>2186</v>
      </c>
      <c r="S66" s="73" t="s">
        <v>96</v>
      </c>
      <c r="U66" s="87"/>
    </row>
    <row r="67" s="61" customFormat="true" ht="60" hidden="false" customHeight="true" outlineLevel="2" collapsed="false">
      <c r="A67" s="63"/>
      <c r="B67" s="57"/>
      <c r="C67" s="57"/>
      <c r="D67" s="53" t="s">
        <v>2187</v>
      </c>
      <c r="E67" s="53" t="s">
        <v>103</v>
      </c>
      <c r="F67" s="54" t="n">
        <v>63.61</v>
      </c>
      <c r="G67" s="55"/>
      <c r="H67" s="56" t="str">
        <f aca="false">IF(ISBLANK(G67),"",IF(ISNUMBER(F67),ROUND(F67*G67,2),"Укажите цену"))</f>
        <v/>
      </c>
      <c r="I67" s="57"/>
      <c r="J67" s="26"/>
      <c r="K67" s="57"/>
      <c r="L67" s="57"/>
      <c r="M67" s="57"/>
      <c r="N67" s="57"/>
      <c r="O67" s="57"/>
      <c r="P67" s="57"/>
      <c r="Q67" s="59"/>
      <c r="R67" s="72"/>
      <c r="S67" s="73"/>
      <c r="U67" s="87"/>
    </row>
    <row r="68" s="62" customFormat="true" ht="60" hidden="false" customHeight="true" outlineLevel="2" collapsed="false">
      <c r="A68" s="63" t="s">
        <v>2188</v>
      </c>
      <c r="B68" s="57"/>
      <c r="C68" s="57"/>
      <c r="D68" s="53" t="s">
        <v>2189</v>
      </c>
      <c r="E68" s="53" t="s">
        <v>89</v>
      </c>
      <c r="F68" s="54" t="n">
        <v>50.56</v>
      </c>
      <c r="G68" s="55"/>
      <c r="H68" s="56" t="str">
        <f aca="false">IF(ISBLANK(G68),"",IF(ISNUMBER(F68),ROUND(F68*G68,2),"Укажите цену"))</f>
        <v/>
      </c>
      <c r="I68" s="57" t="n">
        <v>16</v>
      </c>
      <c r="J68" s="26" t="n">
        <v>17.35</v>
      </c>
      <c r="K68" s="57" t="s">
        <v>2133</v>
      </c>
      <c r="L68" s="57" t="s">
        <v>91</v>
      </c>
      <c r="M68" s="57" t="s">
        <v>92</v>
      </c>
      <c r="N68" s="57" t="n">
        <v>1000</v>
      </c>
      <c r="O68" s="57" t="s">
        <v>696</v>
      </c>
      <c r="P68" s="58" t="n">
        <v>0.095</v>
      </c>
      <c r="Q68" s="100" t="s">
        <v>2190</v>
      </c>
      <c r="R68" s="72" t="s">
        <v>2191</v>
      </c>
      <c r="S68" s="73" t="s">
        <v>96</v>
      </c>
      <c r="T68" s="61"/>
      <c r="U68" s="87"/>
      <c r="V68" s="61"/>
      <c r="W68" s="61"/>
      <c r="X68" s="61"/>
      <c r="Y68" s="61"/>
      <c r="Z68" s="61"/>
    </row>
    <row r="69" s="62" customFormat="true" ht="60" hidden="false" customHeight="true" outlineLevel="2" collapsed="false">
      <c r="A69" s="63"/>
      <c r="B69" s="57"/>
      <c r="C69" s="57"/>
      <c r="D69" s="53" t="s">
        <v>2192</v>
      </c>
      <c r="E69" s="53" t="s">
        <v>103</v>
      </c>
      <c r="F69" s="54" t="n">
        <v>50.56</v>
      </c>
      <c r="G69" s="55"/>
      <c r="H69" s="56" t="str">
        <f aca="false">IF(ISBLANK(G69),"",IF(ISNUMBER(F69),ROUND(F69*G69,2),"Укажите цену"))</f>
        <v/>
      </c>
      <c r="I69" s="57"/>
      <c r="J69" s="26"/>
      <c r="K69" s="57"/>
      <c r="L69" s="57"/>
      <c r="M69" s="57"/>
      <c r="N69" s="57"/>
      <c r="O69" s="57"/>
      <c r="P69" s="57"/>
      <c r="Q69" s="100"/>
      <c r="R69" s="72"/>
      <c r="S69" s="73"/>
      <c r="T69" s="61"/>
      <c r="U69" s="87"/>
      <c r="V69" s="61"/>
      <c r="W69" s="61"/>
      <c r="X69" s="61"/>
      <c r="Y69" s="61"/>
      <c r="Z69" s="61"/>
    </row>
    <row r="70" s="61" customFormat="true" ht="60" hidden="false" customHeight="true" outlineLevel="2" collapsed="false">
      <c r="A70" s="63" t="s">
        <v>2193</v>
      </c>
      <c r="B70" s="57"/>
      <c r="C70" s="57"/>
      <c r="D70" s="53" t="s">
        <v>2194</v>
      </c>
      <c r="E70" s="53" t="s">
        <v>89</v>
      </c>
      <c r="F70" s="54" t="n">
        <v>57.08</v>
      </c>
      <c r="G70" s="55"/>
      <c r="H70" s="56" t="str">
        <f aca="false">IF(ISBLANK(G70),"",IF(ISNUMBER(F70),ROUND(F70*G70,2),"Укажите цену"))</f>
        <v/>
      </c>
      <c r="I70" s="57" t="n">
        <v>17</v>
      </c>
      <c r="J70" s="26" t="n">
        <v>18.4</v>
      </c>
      <c r="K70" s="57" t="s">
        <v>2195</v>
      </c>
      <c r="L70" s="57" t="s">
        <v>91</v>
      </c>
      <c r="M70" s="57" t="s">
        <v>92</v>
      </c>
      <c r="N70" s="57" t="n">
        <v>1000</v>
      </c>
      <c r="O70" s="57" t="s">
        <v>696</v>
      </c>
      <c r="P70" s="58" t="n">
        <v>0.095</v>
      </c>
      <c r="Q70" s="100" t="s">
        <v>2196</v>
      </c>
      <c r="R70" s="77" t="s">
        <v>2197</v>
      </c>
      <c r="S70" s="73" t="s">
        <v>96</v>
      </c>
      <c r="U70" s="87"/>
    </row>
    <row r="71" s="61" customFormat="true" ht="60" hidden="false" customHeight="true" outlineLevel="2" collapsed="false">
      <c r="A71" s="63"/>
      <c r="B71" s="57"/>
      <c r="C71" s="57"/>
      <c r="D71" s="53" t="s">
        <v>2198</v>
      </c>
      <c r="E71" s="53" t="s">
        <v>103</v>
      </c>
      <c r="F71" s="54" t="n">
        <v>57.08</v>
      </c>
      <c r="G71" s="55"/>
      <c r="H71" s="56" t="str">
        <f aca="false">IF(ISBLANK(G71),"",IF(ISNUMBER(F71),ROUND(F71*G71,2),"Укажите цену"))</f>
        <v/>
      </c>
      <c r="I71" s="57"/>
      <c r="J71" s="26"/>
      <c r="K71" s="57"/>
      <c r="L71" s="57"/>
      <c r="M71" s="57"/>
      <c r="N71" s="57"/>
      <c r="O71" s="57"/>
      <c r="P71" s="57"/>
      <c r="Q71" s="100"/>
      <c r="R71" s="77"/>
      <c r="S71" s="73"/>
      <c r="U71" s="87"/>
    </row>
    <row r="72" s="61" customFormat="true" ht="60" hidden="false" customHeight="true" outlineLevel="2" collapsed="false">
      <c r="A72" s="63" t="s">
        <v>2199</v>
      </c>
      <c r="B72" s="57"/>
      <c r="C72" s="57"/>
      <c r="D72" s="53" t="s">
        <v>2200</v>
      </c>
      <c r="E72" s="53" t="s">
        <v>89</v>
      </c>
      <c r="F72" s="54" t="n">
        <v>55.45</v>
      </c>
      <c r="G72" s="55"/>
      <c r="H72" s="56" t="str">
        <f aca="false">IF(ISBLANK(G72),"",IF(ISNUMBER(F72),ROUND(F72*G72,2),"Укажите цену"))</f>
        <v/>
      </c>
      <c r="I72" s="57" t="n">
        <v>16</v>
      </c>
      <c r="J72" s="57" t="n">
        <v>16.94</v>
      </c>
      <c r="K72" s="57" t="s">
        <v>2195</v>
      </c>
      <c r="L72" s="57" t="s">
        <v>91</v>
      </c>
      <c r="M72" s="57" t="s">
        <v>92</v>
      </c>
      <c r="N72" s="57" t="n">
        <v>1000</v>
      </c>
      <c r="O72" s="57" t="s">
        <v>696</v>
      </c>
      <c r="P72" s="58" t="n">
        <v>0.095</v>
      </c>
      <c r="Q72" s="100" t="s">
        <v>2201</v>
      </c>
      <c r="R72" s="77" t="s">
        <v>2202</v>
      </c>
      <c r="S72" s="73" t="s">
        <v>96</v>
      </c>
      <c r="U72" s="87"/>
    </row>
    <row r="73" s="61" customFormat="true" ht="60" hidden="false" customHeight="true" outlineLevel="2" collapsed="false">
      <c r="A73" s="63"/>
      <c r="B73" s="57"/>
      <c r="C73" s="57"/>
      <c r="D73" s="53" t="s">
        <v>2203</v>
      </c>
      <c r="E73" s="53" t="s">
        <v>103</v>
      </c>
      <c r="F73" s="54" t="n">
        <v>55.45</v>
      </c>
      <c r="G73" s="55"/>
      <c r="H73" s="56" t="str">
        <f aca="false">IF(ISBLANK(G73),"",IF(ISNUMBER(F73),ROUND(F73*G73,2),"Укажите цену"))</f>
        <v/>
      </c>
      <c r="I73" s="57"/>
      <c r="J73" s="57"/>
      <c r="K73" s="57"/>
      <c r="L73" s="57"/>
      <c r="M73" s="57"/>
      <c r="N73" s="57"/>
      <c r="O73" s="57"/>
      <c r="P73" s="57"/>
      <c r="Q73" s="100"/>
      <c r="R73" s="77"/>
      <c r="S73" s="73"/>
      <c r="U73" s="87"/>
    </row>
    <row r="74" s="62" customFormat="true" ht="60" hidden="false" customHeight="true" outlineLevel="2" collapsed="false">
      <c r="A74" s="63" t="s">
        <v>2204</v>
      </c>
      <c r="B74" s="52"/>
      <c r="C74" s="57"/>
      <c r="D74" s="53" t="s">
        <v>2205</v>
      </c>
      <c r="E74" s="53" t="s">
        <v>89</v>
      </c>
      <c r="F74" s="54" t="n">
        <v>84.81</v>
      </c>
      <c r="G74" s="55"/>
      <c r="H74" s="56" t="str">
        <f aca="false">IF(ISBLANK(G74),"",IF(ISNUMBER(F74),ROUND(F74*G74,2),"Укажите цену"))</f>
        <v/>
      </c>
      <c r="I74" s="57" t="n">
        <v>28</v>
      </c>
      <c r="J74" s="57" t="n">
        <v>10.7</v>
      </c>
      <c r="K74" s="57" t="s">
        <v>2206</v>
      </c>
      <c r="L74" s="57" t="n">
        <v>76</v>
      </c>
      <c r="M74" s="57" t="s">
        <v>284</v>
      </c>
      <c r="N74" s="57" t="n">
        <v>304</v>
      </c>
      <c r="O74" s="57" t="s">
        <v>696</v>
      </c>
      <c r="P74" s="58" t="n">
        <v>0.095</v>
      </c>
      <c r="Q74" s="166" t="s">
        <v>2207</v>
      </c>
      <c r="R74" s="60" t="s">
        <v>2208</v>
      </c>
      <c r="S74" s="73" t="s">
        <v>96</v>
      </c>
      <c r="T74" s="61"/>
    </row>
    <row r="75" s="62" customFormat="true" ht="60" hidden="false" customHeight="true" outlineLevel="2" collapsed="false">
      <c r="A75" s="63"/>
      <c r="B75" s="52"/>
      <c r="C75" s="57"/>
      <c r="D75" s="53" t="s">
        <v>2209</v>
      </c>
      <c r="E75" s="53" t="s">
        <v>103</v>
      </c>
      <c r="F75" s="54" t="n">
        <v>84.81</v>
      </c>
      <c r="G75" s="55"/>
      <c r="H75" s="56" t="str">
        <f aca="false">IF(ISBLANK(G75),"",IF(ISNUMBER(F75),ROUND(F75*G75,2),"Укажите цену"))</f>
        <v/>
      </c>
      <c r="I75" s="57"/>
      <c r="J75" s="57"/>
      <c r="K75" s="57"/>
      <c r="L75" s="57"/>
      <c r="M75" s="57"/>
      <c r="N75" s="57"/>
      <c r="O75" s="57"/>
      <c r="P75" s="57"/>
      <c r="Q75" s="166"/>
      <c r="R75" s="60"/>
      <c r="S75" s="73"/>
      <c r="T75" s="61"/>
    </row>
    <row r="76" s="42" customFormat="true" ht="60" hidden="false" customHeight="true" outlineLevel="2" collapsed="false">
      <c r="A76" s="63" t="s">
        <v>2210</v>
      </c>
      <c r="B76" s="57"/>
      <c r="C76" s="57"/>
      <c r="D76" s="53" t="s">
        <v>2211</v>
      </c>
      <c r="E76" s="53" t="s">
        <v>89</v>
      </c>
      <c r="F76" s="54" t="n">
        <v>84.81</v>
      </c>
      <c r="G76" s="55"/>
      <c r="H76" s="56" t="str">
        <f aca="false">IF(ISBLANK(G76),"",IF(ISNUMBER(F76),ROUND(F76*G76,2),"Укажите цену"))</f>
        <v/>
      </c>
      <c r="I76" s="57" t="n">
        <v>28</v>
      </c>
      <c r="J76" s="26" t="n">
        <v>10.8</v>
      </c>
      <c r="K76" s="57" t="s">
        <v>2212</v>
      </c>
      <c r="L76" s="57" t="n">
        <v>76</v>
      </c>
      <c r="M76" s="57" t="s">
        <v>284</v>
      </c>
      <c r="N76" s="57" t="n">
        <v>304</v>
      </c>
      <c r="O76" s="57" t="s">
        <v>696</v>
      </c>
      <c r="P76" s="58" t="n">
        <v>0.095</v>
      </c>
      <c r="Q76" s="59" t="s">
        <v>2213</v>
      </c>
      <c r="R76" s="60" t="s">
        <v>2214</v>
      </c>
      <c r="S76" s="73" t="s">
        <v>96</v>
      </c>
      <c r="T76" s="61"/>
    </row>
    <row r="77" s="42" customFormat="true" ht="60" hidden="false" customHeight="true" outlineLevel="2" collapsed="false">
      <c r="A77" s="63"/>
      <c r="B77" s="57"/>
      <c r="C77" s="57"/>
      <c r="D77" s="53" t="s">
        <v>2215</v>
      </c>
      <c r="E77" s="53" t="s">
        <v>103</v>
      </c>
      <c r="F77" s="54" t="n">
        <v>84.81</v>
      </c>
      <c r="G77" s="55"/>
      <c r="H77" s="56" t="str">
        <f aca="false">IF(ISBLANK(G77),"",IF(ISNUMBER(F77),ROUND(F77*G77,2),"Укажите цену"))</f>
        <v/>
      </c>
      <c r="I77" s="57"/>
      <c r="J77" s="26"/>
      <c r="K77" s="57"/>
      <c r="L77" s="57"/>
      <c r="M77" s="57"/>
      <c r="N77" s="57"/>
      <c r="O77" s="57"/>
      <c r="P77" s="57"/>
      <c r="Q77" s="59"/>
      <c r="R77" s="60"/>
      <c r="S77" s="73"/>
      <c r="T77" s="61"/>
    </row>
    <row r="78" s="42" customFormat="true" ht="60" hidden="false" customHeight="true" outlineLevel="2" collapsed="false">
      <c r="A78" s="63" t="s">
        <v>2216</v>
      </c>
      <c r="B78" s="57"/>
      <c r="C78" s="57"/>
      <c r="D78" s="53" t="s">
        <v>2217</v>
      </c>
      <c r="E78" s="53" t="s">
        <v>89</v>
      </c>
      <c r="F78" s="54" t="n">
        <v>53.82</v>
      </c>
      <c r="G78" s="55"/>
      <c r="H78" s="56" t="str">
        <f aca="false">IF(ISBLANK(G78),"",IF(ISNUMBER(F78),ROUND(F78*G78,2),"Укажите цену"))</f>
        <v/>
      </c>
      <c r="I78" s="57" t="n">
        <v>27</v>
      </c>
      <c r="J78" s="57" t="n">
        <v>12.8</v>
      </c>
      <c r="K78" s="57" t="s">
        <v>2218</v>
      </c>
      <c r="L78" s="57" t="s">
        <v>91</v>
      </c>
      <c r="M78" s="57" t="s">
        <v>92</v>
      </c>
      <c r="N78" s="57" t="n">
        <v>420</v>
      </c>
      <c r="O78" s="57" t="s">
        <v>2116</v>
      </c>
      <c r="P78" s="58" t="n">
        <v>0.112</v>
      </c>
      <c r="Q78" s="103" t="s">
        <v>2219</v>
      </c>
      <c r="R78" s="60" t="s">
        <v>2220</v>
      </c>
      <c r="S78" s="73" t="s">
        <v>96</v>
      </c>
      <c r="T78" s="61"/>
      <c r="U78" s="39"/>
    </row>
    <row r="79" s="42" customFormat="true" ht="60" hidden="false" customHeight="true" outlineLevel="2" collapsed="false">
      <c r="A79" s="63"/>
      <c r="B79" s="57"/>
      <c r="C79" s="57"/>
      <c r="D79" s="53" t="s">
        <v>2221</v>
      </c>
      <c r="E79" s="53" t="s">
        <v>103</v>
      </c>
      <c r="F79" s="54" t="n">
        <v>53.82</v>
      </c>
      <c r="G79" s="55"/>
      <c r="H79" s="56" t="str">
        <f aca="false">IF(ISBLANK(G79),"",IF(ISNUMBER(F79),ROUND(F79*G79,2),"Укажите цену"))</f>
        <v/>
      </c>
      <c r="I79" s="57"/>
      <c r="J79" s="57"/>
      <c r="K79" s="57"/>
      <c r="L79" s="57"/>
      <c r="M79" s="57"/>
      <c r="N79" s="57"/>
      <c r="O79" s="57"/>
      <c r="P79" s="57"/>
      <c r="Q79" s="103"/>
      <c r="R79" s="60"/>
      <c r="S79" s="73"/>
      <c r="T79" s="61"/>
      <c r="U79" s="39"/>
    </row>
    <row r="80" s="39" customFormat="true" ht="115" hidden="false" customHeight="true" outlineLevel="2" collapsed="false">
      <c r="A80" s="51" t="s">
        <v>2222</v>
      </c>
      <c r="B80" s="57"/>
      <c r="C80" s="57"/>
      <c r="D80" s="53" t="s">
        <v>2223</v>
      </c>
      <c r="E80" s="53" t="s">
        <v>89</v>
      </c>
      <c r="F80" s="54" t="n">
        <v>81.55</v>
      </c>
      <c r="G80" s="55"/>
      <c r="H80" s="56" t="str">
        <f aca="false">IF(ISBLANK(G80),"",IF(ISNUMBER(F80),ROUND(F80*G80,2),"Укажите цену"))</f>
        <v/>
      </c>
      <c r="I80" s="101" t="n">
        <v>32</v>
      </c>
      <c r="J80" s="101" t="n">
        <v>11.87</v>
      </c>
      <c r="K80" s="102" t="s">
        <v>2178</v>
      </c>
      <c r="L80" s="101" t="n">
        <v>76</v>
      </c>
      <c r="M80" s="57" t="s">
        <v>284</v>
      </c>
      <c r="N80" s="57" t="n">
        <v>304</v>
      </c>
      <c r="O80" s="57" t="s">
        <v>696</v>
      </c>
      <c r="P80" s="58" t="n">
        <v>0.095</v>
      </c>
      <c r="Q80" s="68" t="s">
        <v>2224</v>
      </c>
      <c r="R80" s="60" t="s">
        <v>2225</v>
      </c>
      <c r="S80" s="73" t="s">
        <v>96</v>
      </c>
      <c r="T80" s="61"/>
    </row>
    <row r="81" s="39" customFormat="true" ht="55" hidden="false" customHeight="true" outlineLevel="2" collapsed="false">
      <c r="A81" s="63" t="s">
        <v>2226</v>
      </c>
      <c r="B81" s="57"/>
      <c r="C81" s="57"/>
      <c r="D81" s="53" t="s">
        <v>2227</v>
      </c>
      <c r="E81" s="53" t="s">
        <v>89</v>
      </c>
      <c r="F81" s="54" t="n">
        <v>73.39</v>
      </c>
      <c r="G81" s="55"/>
      <c r="H81" s="56" t="str">
        <f aca="false">IF(ISBLANK(G81),"",IF(ISNUMBER(F81),ROUND(F81*G81,2),"Укажите цену"))</f>
        <v/>
      </c>
      <c r="I81" s="101" t="n">
        <v>28</v>
      </c>
      <c r="J81" s="101" t="n">
        <v>10.55</v>
      </c>
      <c r="K81" s="102" t="s">
        <v>2178</v>
      </c>
      <c r="L81" s="101" t="n">
        <v>76</v>
      </c>
      <c r="M81" s="57" t="s">
        <v>284</v>
      </c>
      <c r="N81" s="57" t="n">
        <v>304</v>
      </c>
      <c r="O81" s="57" t="s">
        <v>696</v>
      </c>
      <c r="P81" s="58" t="n">
        <v>0.095</v>
      </c>
      <c r="Q81" s="68" t="s">
        <v>2228</v>
      </c>
      <c r="R81" s="60" t="s">
        <v>2229</v>
      </c>
      <c r="S81" s="73" t="s">
        <v>96</v>
      </c>
      <c r="T81" s="61"/>
    </row>
    <row r="82" s="39" customFormat="true" ht="55" hidden="false" customHeight="true" outlineLevel="2" collapsed="false">
      <c r="A82" s="63"/>
      <c r="B82" s="57"/>
      <c r="C82" s="57"/>
      <c r="D82" s="53" t="s">
        <v>2230</v>
      </c>
      <c r="E82" s="53" t="s">
        <v>103</v>
      </c>
      <c r="F82" s="54" t="n">
        <v>73.39</v>
      </c>
      <c r="G82" s="55"/>
      <c r="H82" s="56" t="str">
        <f aca="false">IF(ISBLANK(G82),"",IF(ISNUMBER(F82),ROUND(F82*G82,2),"Укажите цену"))</f>
        <v/>
      </c>
      <c r="I82" s="101"/>
      <c r="J82" s="101"/>
      <c r="K82" s="102"/>
      <c r="L82" s="101"/>
      <c r="M82" s="57"/>
      <c r="N82" s="57"/>
      <c r="O82" s="57"/>
      <c r="P82" s="57"/>
      <c r="Q82" s="68"/>
      <c r="R82" s="60"/>
      <c r="S82" s="73"/>
      <c r="T82" s="61"/>
    </row>
    <row r="83" s="39" customFormat="true" ht="55" hidden="false" customHeight="true" outlineLevel="2" collapsed="false">
      <c r="A83" s="63" t="s">
        <v>2231</v>
      </c>
      <c r="B83" s="57"/>
      <c r="C83" s="57"/>
      <c r="D83" s="53" t="s">
        <v>2232</v>
      </c>
      <c r="E83" s="53" t="s">
        <v>89</v>
      </c>
      <c r="F83" s="54" t="n">
        <v>81.55</v>
      </c>
      <c r="G83" s="55"/>
      <c r="H83" s="56" t="str">
        <f aca="false">IF(ISBLANK(G83),"",IF(ISNUMBER(F83),ROUND(F83*G83,2),"Укажите цену"))</f>
        <v/>
      </c>
      <c r="I83" s="57" t="n">
        <v>29</v>
      </c>
      <c r="J83" s="57" t="n">
        <v>10.8</v>
      </c>
      <c r="K83" s="57" t="s">
        <v>2233</v>
      </c>
      <c r="L83" s="57" t="n">
        <v>76</v>
      </c>
      <c r="M83" s="57" t="s">
        <v>284</v>
      </c>
      <c r="N83" s="57" t="n">
        <v>304</v>
      </c>
      <c r="O83" s="57" t="s">
        <v>696</v>
      </c>
      <c r="P83" s="58" t="n">
        <v>0.095</v>
      </c>
      <c r="Q83" s="68" t="s">
        <v>2234</v>
      </c>
      <c r="R83" s="60" t="s">
        <v>2235</v>
      </c>
      <c r="S83" s="72" t="s">
        <v>2236</v>
      </c>
      <c r="T83" s="61"/>
      <c r="V83" s="107"/>
      <c r="W83" s="107"/>
      <c r="X83" s="107"/>
      <c r="Y83" s="107"/>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07"/>
      <c r="BW83" s="107"/>
      <c r="BX83" s="107"/>
      <c r="BY83" s="107"/>
      <c r="BZ83" s="107"/>
      <c r="CA83" s="107"/>
      <c r="CB83" s="107"/>
      <c r="CC83" s="107"/>
      <c r="CD83" s="107"/>
      <c r="CE83" s="107"/>
      <c r="CF83" s="107"/>
      <c r="CG83" s="107"/>
      <c r="CH83" s="107"/>
      <c r="CI83" s="107"/>
      <c r="CJ83" s="107"/>
      <c r="CK83" s="107"/>
      <c r="CL83" s="107"/>
      <c r="CM83" s="107"/>
      <c r="CN83" s="107"/>
      <c r="CO83" s="107"/>
      <c r="CP83" s="107"/>
      <c r="CQ83" s="107"/>
      <c r="CR83" s="107"/>
      <c r="CS83" s="107"/>
      <c r="CT83" s="107"/>
      <c r="CU83" s="107"/>
      <c r="CV83" s="107"/>
      <c r="CW83" s="107"/>
      <c r="CX83" s="107"/>
      <c r="CY83" s="107"/>
      <c r="CZ83" s="107"/>
      <c r="DA83" s="107"/>
      <c r="DB83" s="107"/>
      <c r="DC83" s="107"/>
      <c r="DD83" s="107"/>
      <c r="DE83" s="107"/>
      <c r="DF83" s="107"/>
      <c r="DG83" s="107"/>
      <c r="DH83" s="107"/>
      <c r="DI83" s="107"/>
      <c r="DJ83" s="107"/>
      <c r="DK83" s="107"/>
      <c r="DL83" s="107"/>
      <c r="DM83" s="107"/>
      <c r="DN83" s="107"/>
      <c r="DO83" s="107"/>
      <c r="DP83" s="107"/>
      <c r="DQ83" s="107"/>
      <c r="DR83" s="107"/>
      <c r="DS83" s="107"/>
      <c r="DT83" s="107"/>
      <c r="DU83" s="107"/>
      <c r="DV83" s="107"/>
      <c r="DW83" s="107"/>
      <c r="DX83" s="107"/>
      <c r="DY83" s="107"/>
      <c r="DZ83" s="107"/>
      <c r="EA83" s="107"/>
      <c r="EB83" s="107"/>
      <c r="EC83" s="107"/>
      <c r="ED83" s="107"/>
      <c r="EE83" s="107"/>
      <c r="EF83" s="107"/>
      <c r="EG83" s="107"/>
      <c r="EH83" s="107"/>
      <c r="EI83" s="107"/>
      <c r="EJ83" s="107"/>
      <c r="EK83" s="107"/>
      <c r="EL83" s="107"/>
      <c r="EM83" s="107"/>
      <c r="EN83" s="107"/>
      <c r="EO83" s="107"/>
      <c r="EP83" s="107"/>
      <c r="EQ83" s="107"/>
      <c r="ER83" s="107"/>
      <c r="ES83" s="107"/>
      <c r="ET83" s="107"/>
      <c r="EU83" s="107"/>
      <c r="EV83" s="107"/>
      <c r="EW83" s="107"/>
      <c r="EX83" s="107"/>
      <c r="EY83" s="107"/>
      <c r="EZ83" s="107"/>
      <c r="FA83" s="107"/>
      <c r="FB83" s="107"/>
      <c r="FC83" s="107"/>
      <c r="FD83" s="107"/>
      <c r="FE83" s="107"/>
      <c r="FF83" s="107"/>
      <c r="FG83" s="107"/>
      <c r="FH83" s="107"/>
      <c r="FI83" s="107"/>
      <c r="FJ83" s="107"/>
      <c r="FK83" s="107"/>
      <c r="FL83" s="107"/>
      <c r="FM83" s="107"/>
      <c r="FN83" s="107"/>
      <c r="FO83" s="107"/>
      <c r="FP83" s="107"/>
      <c r="FQ83" s="107"/>
      <c r="FR83" s="107"/>
      <c r="FS83" s="107"/>
      <c r="FT83" s="107"/>
      <c r="FU83" s="107"/>
      <c r="FV83" s="107"/>
      <c r="FW83" s="107"/>
      <c r="FX83" s="107"/>
      <c r="FY83" s="107"/>
      <c r="FZ83" s="107"/>
      <c r="GA83" s="107"/>
      <c r="GB83" s="107"/>
      <c r="GC83" s="107"/>
      <c r="GD83" s="107"/>
      <c r="GE83" s="107"/>
      <c r="GF83" s="107"/>
      <c r="GG83" s="107"/>
      <c r="GH83" s="107"/>
      <c r="GI83" s="107"/>
      <c r="GJ83" s="107"/>
      <c r="GK83" s="107"/>
      <c r="GL83" s="107"/>
      <c r="GM83" s="107"/>
      <c r="GN83" s="107"/>
      <c r="GO83" s="107"/>
      <c r="GP83" s="107"/>
      <c r="GQ83" s="107"/>
      <c r="GR83" s="107"/>
      <c r="GS83" s="107"/>
      <c r="GT83" s="107"/>
      <c r="GU83" s="107"/>
      <c r="GV83" s="107"/>
      <c r="GW83" s="107"/>
      <c r="GX83" s="107"/>
      <c r="GY83" s="107"/>
      <c r="GZ83" s="107"/>
      <c r="HA83" s="107"/>
      <c r="HB83" s="107"/>
      <c r="HC83" s="107"/>
      <c r="HD83" s="107"/>
      <c r="HE83" s="107"/>
      <c r="HF83" s="107"/>
      <c r="HG83" s="107"/>
      <c r="HH83" s="107"/>
      <c r="HI83" s="107"/>
      <c r="HJ83" s="107"/>
      <c r="HK83" s="107"/>
      <c r="HL83" s="107"/>
      <c r="HM83" s="107"/>
      <c r="HN83" s="107"/>
      <c r="HO83" s="107"/>
      <c r="HP83" s="107"/>
      <c r="HQ83" s="107"/>
      <c r="HR83" s="107"/>
      <c r="HS83" s="107"/>
      <c r="HT83" s="107"/>
      <c r="HU83" s="107"/>
      <c r="HV83" s="107"/>
      <c r="HW83" s="107"/>
      <c r="HX83" s="107"/>
      <c r="HY83" s="107"/>
    </row>
    <row r="84" s="39" customFormat="true" ht="55" hidden="false" customHeight="true" outlineLevel="2" collapsed="false">
      <c r="A84" s="63"/>
      <c r="B84" s="57"/>
      <c r="C84" s="57"/>
      <c r="D84" s="53" t="s">
        <v>2237</v>
      </c>
      <c r="E84" s="53" t="s">
        <v>103</v>
      </c>
      <c r="F84" s="54" t="n">
        <v>81.55</v>
      </c>
      <c r="G84" s="55"/>
      <c r="H84" s="56" t="str">
        <f aca="false">IF(ISBLANK(G84),"",IF(ISNUMBER(F84),ROUND(F84*G84,2),"Укажите цену"))</f>
        <v/>
      </c>
      <c r="I84" s="57"/>
      <c r="J84" s="57"/>
      <c r="K84" s="57"/>
      <c r="L84" s="57"/>
      <c r="M84" s="57"/>
      <c r="N84" s="57"/>
      <c r="O84" s="57"/>
      <c r="P84" s="57"/>
      <c r="Q84" s="68"/>
      <c r="R84" s="60"/>
      <c r="S84" s="72"/>
      <c r="T84" s="61"/>
      <c r="V84" s="107"/>
      <c r="W84" s="107"/>
      <c r="X84" s="107"/>
      <c r="Y84" s="107"/>
      <c r="Z84" s="107"/>
      <c r="AA84" s="107"/>
      <c r="AB84" s="107"/>
      <c r="AC84" s="107"/>
      <c r="AD84" s="107"/>
      <c r="AE84" s="107"/>
      <c r="AF84" s="107"/>
      <c r="AG84" s="107"/>
      <c r="AH84" s="107"/>
      <c r="AI84" s="107"/>
      <c r="AJ84" s="107"/>
      <c r="AK84" s="107"/>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107"/>
      <c r="BQ84" s="107"/>
      <c r="BR84" s="107"/>
      <c r="BS84" s="107"/>
      <c r="BT84" s="107"/>
      <c r="BU84" s="107"/>
      <c r="BV84" s="107"/>
      <c r="BW84" s="107"/>
      <c r="BX84" s="107"/>
      <c r="BY84" s="107"/>
      <c r="BZ84" s="107"/>
      <c r="CA84" s="107"/>
      <c r="CB84" s="107"/>
      <c r="CC84" s="107"/>
      <c r="CD84" s="107"/>
      <c r="CE84" s="107"/>
      <c r="CF84" s="107"/>
      <c r="CG84" s="107"/>
      <c r="CH84" s="107"/>
      <c r="CI84" s="107"/>
      <c r="CJ84" s="107"/>
      <c r="CK84" s="107"/>
      <c r="CL84" s="107"/>
      <c r="CM84" s="107"/>
      <c r="CN84" s="107"/>
      <c r="CO84" s="107"/>
      <c r="CP84" s="107"/>
      <c r="CQ84" s="107"/>
      <c r="CR84" s="107"/>
      <c r="CS84" s="107"/>
      <c r="CT84" s="107"/>
      <c r="CU84" s="107"/>
      <c r="CV84" s="107"/>
      <c r="CW84" s="107"/>
      <c r="CX84" s="107"/>
      <c r="CY84" s="107"/>
      <c r="CZ84" s="107"/>
      <c r="DA84" s="107"/>
      <c r="DB84" s="107"/>
      <c r="DC84" s="107"/>
      <c r="DD84" s="107"/>
      <c r="DE84" s="107"/>
      <c r="DF84" s="107"/>
      <c r="DG84" s="107"/>
      <c r="DH84" s="107"/>
      <c r="DI84" s="107"/>
      <c r="DJ84" s="107"/>
      <c r="DK84" s="107"/>
      <c r="DL84" s="107"/>
      <c r="DM84" s="107"/>
      <c r="DN84" s="107"/>
      <c r="DO84" s="107"/>
      <c r="DP84" s="107"/>
      <c r="DQ84" s="107"/>
      <c r="DR84" s="107"/>
      <c r="DS84" s="107"/>
      <c r="DT84" s="107"/>
      <c r="DU84" s="107"/>
      <c r="DV84" s="107"/>
      <c r="DW84" s="107"/>
      <c r="DX84" s="107"/>
      <c r="DY84" s="107"/>
      <c r="DZ84" s="107"/>
      <c r="EA84" s="107"/>
      <c r="EB84" s="107"/>
      <c r="EC84" s="107"/>
      <c r="ED84" s="107"/>
      <c r="EE84" s="107"/>
      <c r="EF84" s="107"/>
      <c r="EG84" s="107"/>
      <c r="EH84" s="107"/>
      <c r="EI84" s="107"/>
      <c r="EJ84" s="107"/>
      <c r="EK84" s="107"/>
      <c r="EL84" s="107"/>
      <c r="EM84" s="107"/>
      <c r="EN84" s="107"/>
      <c r="EO84" s="107"/>
      <c r="EP84" s="107"/>
      <c r="EQ84" s="107"/>
      <c r="ER84" s="107"/>
      <c r="ES84" s="107"/>
      <c r="ET84" s="107"/>
      <c r="EU84" s="107"/>
      <c r="EV84" s="107"/>
      <c r="EW84" s="107"/>
      <c r="EX84" s="107"/>
      <c r="EY84" s="107"/>
      <c r="EZ84" s="107"/>
      <c r="FA84" s="107"/>
      <c r="FB84" s="107"/>
      <c r="FC84" s="107"/>
      <c r="FD84" s="107"/>
      <c r="FE84" s="107"/>
      <c r="FF84" s="107"/>
      <c r="FG84" s="107"/>
      <c r="FH84" s="107"/>
      <c r="FI84" s="107"/>
      <c r="FJ84" s="107"/>
      <c r="FK84" s="107"/>
      <c r="FL84" s="107"/>
      <c r="FM84" s="107"/>
      <c r="FN84" s="107"/>
      <c r="FO84" s="107"/>
      <c r="FP84" s="107"/>
      <c r="FQ84" s="107"/>
      <c r="FR84" s="107"/>
      <c r="FS84" s="107"/>
      <c r="FT84" s="107"/>
      <c r="FU84" s="107"/>
      <c r="FV84" s="107"/>
      <c r="FW84" s="107"/>
      <c r="FX84" s="107"/>
      <c r="FY84" s="107"/>
      <c r="FZ84" s="107"/>
      <c r="GA84" s="107"/>
      <c r="GB84" s="107"/>
      <c r="GC84" s="107"/>
      <c r="GD84" s="107"/>
      <c r="GE84" s="107"/>
      <c r="GF84" s="107"/>
      <c r="GG84" s="107"/>
      <c r="GH84" s="107"/>
      <c r="GI84" s="107"/>
      <c r="GJ84" s="107"/>
      <c r="GK84" s="107"/>
      <c r="GL84" s="107"/>
      <c r="GM84" s="107"/>
      <c r="GN84" s="107"/>
      <c r="GO84" s="107"/>
      <c r="GP84" s="107"/>
      <c r="GQ84" s="107"/>
      <c r="GR84" s="107"/>
      <c r="GS84" s="107"/>
      <c r="GT84" s="107"/>
      <c r="GU84" s="107"/>
      <c r="GV84" s="107"/>
      <c r="GW84" s="107"/>
      <c r="GX84" s="107"/>
      <c r="GY84" s="107"/>
      <c r="GZ84" s="107"/>
      <c r="HA84" s="107"/>
      <c r="HB84" s="107"/>
      <c r="HC84" s="107"/>
      <c r="HD84" s="107"/>
      <c r="HE84" s="107"/>
      <c r="HF84" s="107"/>
      <c r="HG84" s="107"/>
      <c r="HH84" s="107"/>
      <c r="HI84" s="107"/>
      <c r="HJ84" s="107"/>
      <c r="HK84" s="107"/>
      <c r="HL84" s="107"/>
      <c r="HM84" s="107"/>
      <c r="HN84" s="107"/>
      <c r="HO84" s="107"/>
      <c r="HP84" s="107"/>
      <c r="HQ84" s="107"/>
      <c r="HR84" s="107"/>
      <c r="HS84" s="107"/>
      <c r="HT84" s="107"/>
      <c r="HU84" s="107"/>
      <c r="HV84" s="107"/>
      <c r="HW84" s="107"/>
      <c r="HX84" s="107"/>
      <c r="HY84" s="107"/>
    </row>
    <row r="85" s="39" customFormat="true" ht="57" hidden="false" customHeight="true" outlineLevel="2" collapsed="false">
      <c r="A85" s="63" t="s">
        <v>2238</v>
      </c>
      <c r="B85" s="57"/>
      <c r="C85" s="57"/>
      <c r="D85" s="53" t="s">
        <v>2239</v>
      </c>
      <c r="E85" s="53" t="s">
        <v>89</v>
      </c>
      <c r="F85" s="54" t="n">
        <v>78.29</v>
      </c>
      <c r="G85" s="55"/>
      <c r="H85" s="56" t="str">
        <f aca="false">IF(ISBLANK(G85),"",IF(ISNUMBER(F85),ROUND(F85*G85,2),"Укажите цену"))</f>
        <v/>
      </c>
      <c r="I85" s="57" t="n">
        <v>27</v>
      </c>
      <c r="J85" s="57" t="n">
        <v>10.75</v>
      </c>
      <c r="K85" s="57" t="s">
        <v>2212</v>
      </c>
      <c r="L85" s="57" t="n">
        <v>76</v>
      </c>
      <c r="M85" s="57" t="s">
        <v>284</v>
      </c>
      <c r="N85" s="57" t="n">
        <v>304</v>
      </c>
      <c r="O85" s="57" t="s">
        <v>1215</v>
      </c>
      <c r="P85" s="58" t="n">
        <v>0.107</v>
      </c>
      <c r="Q85" s="68" t="s">
        <v>2240</v>
      </c>
      <c r="R85" s="60" t="s">
        <v>2241</v>
      </c>
      <c r="S85" s="72" t="s">
        <v>2242</v>
      </c>
      <c r="T85" s="61"/>
      <c r="V85" s="107"/>
      <c r="W85" s="107"/>
      <c r="X85" s="107"/>
      <c r="Y85" s="107"/>
      <c r="Z85" s="107"/>
      <c r="AA85" s="107"/>
      <c r="AB85" s="107"/>
      <c r="AC85" s="107"/>
      <c r="AD85" s="107"/>
      <c r="AE85" s="107"/>
      <c r="AF85" s="107"/>
      <c r="AG85" s="107"/>
      <c r="AH85" s="107"/>
      <c r="AI85" s="107"/>
      <c r="AJ85" s="107"/>
      <c r="AK85" s="107"/>
      <c r="AL85" s="107"/>
      <c r="AM85" s="107"/>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07"/>
      <c r="BW85" s="107"/>
      <c r="BX85" s="107"/>
      <c r="BY85" s="107"/>
      <c r="BZ85" s="107"/>
      <c r="CA85" s="107"/>
      <c r="CB85" s="107"/>
      <c r="CC85" s="107"/>
      <c r="CD85" s="107"/>
      <c r="CE85" s="107"/>
      <c r="CF85" s="107"/>
      <c r="CG85" s="107"/>
      <c r="CH85" s="107"/>
      <c r="CI85" s="107"/>
      <c r="CJ85" s="107"/>
      <c r="CK85" s="107"/>
      <c r="CL85" s="107"/>
      <c r="CM85" s="107"/>
      <c r="CN85" s="107"/>
      <c r="CO85" s="107"/>
      <c r="CP85" s="107"/>
      <c r="CQ85" s="107"/>
      <c r="CR85" s="107"/>
      <c r="CS85" s="107"/>
      <c r="CT85" s="107"/>
      <c r="CU85" s="107"/>
      <c r="CV85" s="107"/>
      <c r="CW85" s="107"/>
      <c r="CX85" s="107"/>
      <c r="CY85" s="107"/>
      <c r="CZ85" s="107"/>
      <c r="DA85" s="107"/>
      <c r="DB85" s="107"/>
      <c r="DC85" s="107"/>
      <c r="DD85" s="107"/>
      <c r="DE85" s="107"/>
      <c r="DF85" s="107"/>
      <c r="DG85" s="107"/>
      <c r="DH85" s="107"/>
      <c r="DI85" s="107"/>
      <c r="DJ85" s="107"/>
      <c r="DK85" s="107"/>
      <c r="DL85" s="107"/>
      <c r="DM85" s="107"/>
      <c r="DN85" s="107"/>
      <c r="DO85" s="107"/>
      <c r="DP85" s="107"/>
      <c r="DQ85" s="107"/>
      <c r="DR85" s="107"/>
      <c r="DS85" s="107"/>
      <c r="DT85" s="107"/>
      <c r="DU85" s="107"/>
      <c r="DV85" s="107"/>
      <c r="DW85" s="107"/>
      <c r="DX85" s="107"/>
      <c r="DY85" s="107"/>
      <c r="DZ85" s="107"/>
      <c r="EA85" s="107"/>
      <c r="EB85" s="107"/>
      <c r="EC85" s="107"/>
      <c r="ED85" s="107"/>
      <c r="EE85" s="107"/>
      <c r="EF85" s="107"/>
      <c r="EG85" s="107"/>
      <c r="EH85" s="107"/>
      <c r="EI85" s="107"/>
      <c r="EJ85" s="107"/>
      <c r="EK85" s="107"/>
      <c r="EL85" s="107"/>
      <c r="EM85" s="107"/>
      <c r="EN85" s="107"/>
      <c r="EO85" s="107"/>
      <c r="EP85" s="107"/>
      <c r="EQ85" s="107"/>
      <c r="ER85" s="107"/>
      <c r="ES85" s="107"/>
      <c r="ET85" s="107"/>
      <c r="EU85" s="107"/>
      <c r="EV85" s="107"/>
      <c r="EW85" s="107"/>
      <c r="EX85" s="107"/>
      <c r="EY85" s="107"/>
      <c r="EZ85" s="107"/>
      <c r="FA85" s="107"/>
      <c r="FB85" s="107"/>
      <c r="FC85" s="107"/>
      <c r="FD85" s="107"/>
      <c r="FE85" s="107"/>
      <c r="FF85" s="107"/>
      <c r="FG85" s="107"/>
      <c r="FH85" s="107"/>
      <c r="FI85" s="107"/>
      <c r="FJ85" s="107"/>
      <c r="FK85" s="107"/>
      <c r="FL85" s="107"/>
      <c r="FM85" s="107"/>
      <c r="FN85" s="107"/>
      <c r="FO85" s="107"/>
      <c r="FP85" s="107"/>
      <c r="FQ85" s="107"/>
      <c r="FR85" s="107"/>
      <c r="FS85" s="107"/>
      <c r="FT85" s="107"/>
      <c r="FU85" s="107"/>
      <c r="FV85" s="107"/>
      <c r="FW85" s="107"/>
      <c r="FX85" s="107"/>
      <c r="FY85" s="107"/>
      <c r="FZ85" s="107"/>
      <c r="GA85" s="107"/>
      <c r="GB85" s="107"/>
      <c r="GC85" s="107"/>
      <c r="GD85" s="107"/>
      <c r="GE85" s="107"/>
      <c r="GF85" s="107"/>
      <c r="GG85" s="107"/>
      <c r="GH85" s="107"/>
      <c r="GI85" s="107"/>
      <c r="GJ85" s="107"/>
      <c r="GK85" s="107"/>
      <c r="GL85" s="107"/>
      <c r="GM85" s="107"/>
      <c r="GN85" s="107"/>
      <c r="GO85" s="107"/>
      <c r="GP85" s="107"/>
      <c r="GQ85" s="107"/>
      <c r="GR85" s="107"/>
      <c r="GS85" s="107"/>
      <c r="GT85" s="107"/>
      <c r="GU85" s="107"/>
      <c r="GV85" s="107"/>
      <c r="GW85" s="107"/>
      <c r="GX85" s="107"/>
      <c r="GY85" s="107"/>
      <c r="GZ85" s="107"/>
      <c r="HA85" s="107"/>
      <c r="HB85" s="107"/>
      <c r="HC85" s="107"/>
      <c r="HD85" s="107"/>
      <c r="HE85" s="107"/>
      <c r="HF85" s="107"/>
      <c r="HG85" s="107"/>
      <c r="HH85" s="107"/>
      <c r="HI85" s="107"/>
      <c r="HJ85" s="107"/>
      <c r="HK85" s="107"/>
      <c r="HL85" s="107"/>
      <c r="HM85" s="107"/>
      <c r="HN85" s="107"/>
      <c r="HO85" s="107"/>
      <c r="HP85" s="107"/>
      <c r="HQ85" s="107"/>
      <c r="HR85" s="107"/>
      <c r="HS85" s="107"/>
      <c r="HT85" s="107"/>
      <c r="HU85" s="107"/>
      <c r="HV85" s="107"/>
      <c r="HW85" s="107"/>
      <c r="HX85" s="107"/>
      <c r="HY85" s="107"/>
    </row>
    <row r="86" s="39" customFormat="true" ht="57" hidden="false" customHeight="true" outlineLevel="2" collapsed="false">
      <c r="A86" s="63"/>
      <c r="B86" s="57"/>
      <c r="C86" s="57"/>
      <c r="D86" s="53" t="s">
        <v>2243</v>
      </c>
      <c r="E86" s="53" t="s">
        <v>103</v>
      </c>
      <c r="F86" s="54" t="n">
        <v>78.29</v>
      </c>
      <c r="G86" s="55"/>
      <c r="H86" s="56" t="str">
        <f aca="false">IF(ISBLANK(G86),"",IF(ISNUMBER(F86),ROUND(F86*G86,2),"Укажите цену"))</f>
        <v/>
      </c>
      <c r="I86" s="57"/>
      <c r="J86" s="57"/>
      <c r="K86" s="57"/>
      <c r="L86" s="57"/>
      <c r="M86" s="57"/>
      <c r="N86" s="57"/>
      <c r="O86" s="57"/>
      <c r="P86" s="57"/>
      <c r="Q86" s="68"/>
      <c r="R86" s="60"/>
      <c r="S86" s="72"/>
      <c r="T86" s="61"/>
      <c r="V86" s="107"/>
      <c r="W86" s="107"/>
      <c r="X86" s="107"/>
      <c r="Y86" s="107"/>
      <c r="Z86" s="107"/>
      <c r="AA86" s="107"/>
      <c r="AB86" s="107"/>
      <c r="AC86" s="107"/>
      <c r="AD86" s="107"/>
      <c r="AE86" s="107"/>
      <c r="AF86" s="107"/>
      <c r="AG86" s="107"/>
      <c r="AH86" s="107"/>
      <c r="AI86" s="107"/>
      <c r="AJ86" s="107"/>
      <c r="AK86" s="107"/>
      <c r="AL86" s="107"/>
      <c r="AM86" s="107"/>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107"/>
      <c r="BQ86" s="107"/>
      <c r="BR86" s="107"/>
      <c r="BS86" s="107"/>
      <c r="BT86" s="107"/>
      <c r="BU86" s="107"/>
      <c r="BV86" s="107"/>
      <c r="BW86" s="107"/>
      <c r="BX86" s="107"/>
      <c r="BY86" s="107"/>
      <c r="BZ86" s="107"/>
      <c r="CA86" s="107"/>
      <c r="CB86" s="107"/>
      <c r="CC86" s="107"/>
      <c r="CD86" s="107"/>
      <c r="CE86" s="107"/>
      <c r="CF86" s="107"/>
      <c r="CG86" s="107"/>
      <c r="CH86" s="107"/>
      <c r="CI86" s="107"/>
      <c r="CJ86" s="107"/>
      <c r="CK86" s="107"/>
      <c r="CL86" s="107"/>
      <c r="CM86" s="107"/>
      <c r="CN86" s="107"/>
      <c r="CO86" s="107"/>
      <c r="CP86" s="107"/>
      <c r="CQ86" s="107"/>
      <c r="CR86" s="107"/>
      <c r="CS86" s="107"/>
      <c r="CT86" s="107"/>
      <c r="CU86" s="107"/>
      <c r="CV86" s="107"/>
      <c r="CW86" s="107"/>
      <c r="CX86" s="107"/>
      <c r="CY86" s="107"/>
      <c r="CZ86" s="107"/>
      <c r="DA86" s="107"/>
      <c r="DB86" s="107"/>
      <c r="DC86" s="107"/>
      <c r="DD86" s="107"/>
      <c r="DE86" s="107"/>
      <c r="DF86" s="107"/>
      <c r="DG86" s="107"/>
      <c r="DH86" s="107"/>
      <c r="DI86" s="107"/>
      <c r="DJ86" s="107"/>
      <c r="DK86" s="107"/>
      <c r="DL86" s="107"/>
      <c r="DM86" s="107"/>
      <c r="DN86" s="107"/>
      <c r="DO86" s="107"/>
      <c r="DP86" s="107"/>
      <c r="DQ86" s="107"/>
      <c r="DR86" s="107"/>
      <c r="DS86" s="107"/>
      <c r="DT86" s="107"/>
      <c r="DU86" s="107"/>
      <c r="DV86" s="107"/>
      <c r="DW86" s="107"/>
      <c r="DX86" s="107"/>
      <c r="DY86" s="107"/>
      <c r="DZ86" s="107"/>
      <c r="EA86" s="107"/>
      <c r="EB86" s="107"/>
      <c r="EC86" s="107"/>
      <c r="ED86" s="107"/>
      <c r="EE86" s="107"/>
      <c r="EF86" s="107"/>
      <c r="EG86" s="107"/>
      <c r="EH86" s="107"/>
      <c r="EI86" s="107"/>
      <c r="EJ86" s="107"/>
      <c r="EK86" s="107"/>
      <c r="EL86" s="107"/>
      <c r="EM86" s="107"/>
      <c r="EN86" s="107"/>
      <c r="EO86" s="107"/>
      <c r="EP86" s="107"/>
      <c r="EQ86" s="107"/>
      <c r="ER86" s="107"/>
      <c r="ES86" s="107"/>
      <c r="ET86" s="107"/>
      <c r="EU86" s="107"/>
      <c r="EV86" s="107"/>
      <c r="EW86" s="107"/>
      <c r="EX86" s="107"/>
      <c r="EY86" s="107"/>
      <c r="EZ86" s="107"/>
      <c r="FA86" s="107"/>
      <c r="FB86" s="107"/>
      <c r="FC86" s="107"/>
      <c r="FD86" s="107"/>
      <c r="FE86" s="107"/>
      <c r="FF86" s="107"/>
      <c r="FG86" s="107"/>
      <c r="FH86" s="107"/>
      <c r="FI86" s="107"/>
      <c r="FJ86" s="107"/>
      <c r="FK86" s="107"/>
      <c r="FL86" s="107"/>
      <c r="FM86" s="107"/>
      <c r="FN86" s="107"/>
      <c r="FO86" s="107"/>
      <c r="FP86" s="107"/>
      <c r="FQ86" s="107"/>
      <c r="FR86" s="107"/>
      <c r="FS86" s="107"/>
      <c r="FT86" s="107"/>
      <c r="FU86" s="107"/>
      <c r="FV86" s="107"/>
      <c r="FW86" s="107"/>
      <c r="FX86" s="107"/>
      <c r="FY86" s="107"/>
      <c r="FZ86" s="107"/>
      <c r="GA86" s="107"/>
      <c r="GB86" s="107"/>
      <c r="GC86" s="107"/>
      <c r="GD86" s="107"/>
      <c r="GE86" s="107"/>
      <c r="GF86" s="107"/>
      <c r="GG86" s="107"/>
      <c r="GH86" s="107"/>
      <c r="GI86" s="107"/>
      <c r="GJ86" s="107"/>
      <c r="GK86" s="107"/>
      <c r="GL86" s="107"/>
      <c r="GM86" s="107"/>
      <c r="GN86" s="107"/>
      <c r="GO86" s="107"/>
      <c r="GP86" s="107"/>
      <c r="GQ86" s="107"/>
      <c r="GR86" s="107"/>
      <c r="GS86" s="107"/>
      <c r="GT86" s="107"/>
      <c r="GU86" s="107"/>
      <c r="GV86" s="107"/>
      <c r="GW86" s="107"/>
      <c r="GX86" s="107"/>
      <c r="GY86" s="107"/>
      <c r="GZ86" s="107"/>
      <c r="HA86" s="107"/>
      <c r="HB86" s="107"/>
      <c r="HC86" s="107"/>
      <c r="HD86" s="107"/>
      <c r="HE86" s="107"/>
      <c r="HF86" s="107"/>
      <c r="HG86" s="107"/>
      <c r="HH86" s="107"/>
      <c r="HI86" s="107"/>
      <c r="HJ86" s="107"/>
      <c r="HK86" s="107"/>
      <c r="HL86" s="107"/>
      <c r="HM86" s="107"/>
      <c r="HN86" s="107"/>
      <c r="HO86" s="107"/>
      <c r="HP86" s="107"/>
      <c r="HQ86" s="107"/>
      <c r="HR86" s="107"/>
      <c r="HS86" s="107"/>
      <c r="HT86" s="107"/>
      <c r="HU86" s="107"/>
      <c r="HV86" s="107"/>
      <c r="HW86" s="107"/>
      <c r="HX86" s="107"/>
      <c r="HY86" s="107"/>
    </row>
    <row r="87" customFormat="false" ht="30" hidden="false" customHeight="true" outlineLevel="1" collapsed="false">
      <c r="F87" s="109" t="s">
        <v>633</v>
      </c>
      <c r="G87" s="109"/>
      <c r="H87" s="109" t="n">
        <f aca="false">IF(COUNTIFS(H5:H86,"Укажите цену")&gt;0,"Укажите цены",SUM(H5:H86))</f>
        <v>0</v>
      </c>
    </row>
    <row r="88" s="39" customFormat="true" ht="50.1" hidden="false" customHeight="true" outlineLevel="0" collapsed="false">
      <c r="A88" s="114"/>
      <c r="B88" s="34"/>
      <c r="C88" s="34"/>
      <c r="P88" s="105"/>
      <c r="R88" s="115"/>
      <c r="S88" s="115"/>
      <c r="T88" s="61"/>
    </row>
    <row r="89" s="39" customFormat="true" ht="50.1" hidden="false" customHeight="true" outlineLevel="0" collapsed="false">
      <c r="A89" s="114"/>
      <c r="B89" s="34"/>
      <c r="C89" s="34"/>
      <c r="P89" s="42"/>
      <c r="R89" s="115"/>
      <c r="S89" s="115"/>
      <c r="T89" s="61"/>
    </row>
    <row r="90" s="39" customFormat="true" ht="50.1" hidden="false" customHeight="true" outlineLevel="0" collapsed="false">
      <c r="A90" s="114"/>
      <c r="B90" s="34"/>
      <c r="C90" s="34"/>
      <c r="P90" s="42"/>
      <c r="R90" s="115"/>
      <c r="S90" s="115"/>
      <c r="T90" s="61"/>
    </row>
    <row r="91" s="39" customFormat="true" ht="50.1" hidden="false" customHeight="true" outlineLevel="0" collapsed="false">
      <c r="A91" s="114"/>
      <c r="B91" s="34"/>
      <c r="C91" s="34"/>
      <c r="P91" s="42"/>
      <c r="R91" s="115"/>
      <c r="S91" s="115"/>
      <c r="T91" s="61"/>
    </row>
    <row r="92" s="39" customFormat="true" ht="50.1" hidden="false" customHeight="true" outlineLevel="0" collapsed="false">
      <c r="A92" s="114"/>
      <c r="B92" s="34"/>
      <c r="C92" s="34"/>
      <c r="P92" s="42"/>
      <c r="R92" s="115"/>
      <c r="S92" s="115"/>
      <c r="T92" s="61"/>
    </row>
    <row r="93" s="39" customFormat="true" ht="50.1" hidden="false" customHeight="true" outlineLevel="0" collapsed="false">
      <c r="A93" s="114"/>
      <c r="B93" s="34"/>
      <c r="C93" s="34"/>
      <c r="P93" s="42"/>
      <c r="R93" s="115"/>
      <c r="S93" s="115"/>
      <c r="T93" s="61"/>
    </row>
    <row r="94" customFormat="false" ht="50.1" hidden="false" customHeight="true" outlineLevel="0" collapsed="false">
      <c r="T94" s="61"/>
    </row>
    <row r="95" customFormat="false" ht="50.1" hidden="false" customHeight="true" outlineLevel="0" collapsed="false">
      <c r="T95" s="61"/>
    </row>
    <row r="96" customFormat="false" ht="50.1" hidden="false" customHeight="true" outlineLevel="0" collapsed="false">
      <c r="T96" s="61"/>
    </row>
    <row r="97" customFormat="false" ht="50.1" hidden="false" customHeight="true" outlineLevel="0" collapsed="false">
      <c r="T97" s="61"/>
    </row>
    <row r="98" customFormat="false" ht="50.1" hidden="false" customHeight="true" outlineLevel="0" collapsed="false">
      <c r="T98" s="61"/>
    </row>
    <row r="99" customFormat="false" ht="50.1" hidden="false" customHeight="true" outlineLevel="0" collapsed="false">
      <c r="T99" s="61"/>
    </row>
    <row r="100" customFormat="false" ht="50.1" hidden="false" customHeight="true" outlineLevel="0" collapsed="false">
      <c r="T100" s="61"/>
    </row>
    <row r="101" customFormat="false" ht="50.1" hidden="false" customHeight="true" outlineLevel="0" collapsed="false">
      <c r="T101" s="61"/>
    </row>
    <row r="102" customFormat="false" ht="50.1" hidden="false" customHeight="true" outlineLevel="0" collapsed="false">
      <c r="T102" s="61"/>
    </row>
    <row r="103" customFormat="false" ht="50.1" hidden="false" customHeight="true" outlineLevel="0" collapsed="false">
      <c r="T103" s="61"/>
    </row>
    <row r="104" customFormat="false" ht="50.1" hidden="false" customHeight="true" outlineLevel="0" collapsed="false">
      <c r="T104" s="61"/>
    </row>
    <row r="105" customFormat="false" ht="50.1" hidden="false" customHeight="true" outlineLevel="0" collapsed="false">
      <c r="T105" s="61"/>
    </row>
    <row r="106" customFormat="false" ht="50.1" hidden="false" customHeight="true" outlineLevel="0" collapsed="false">
      <c r="T106" s="61"/>
    </row>
    <row r="107" customFormat="false" ht="50.1" hidden="false" customHeight="true" outlineLevel="0" collapsed="false">
      <c r="T107" s="61"/>
    </row>
    <row r="108" customFormat="false" ht="50.1" hidden="false" customHeight="true" outlineLevel="0" collapsed="false">
      <c r="T108" s="61"/>
    </row>
    <row r="109" customFormat="false" ht="50.1" hidden="false" customHeight="true" outlineLevel="0" collapsed="false">
      <c r="T109" s="61"/>
    </row>
    <row r="110" customFormat="false" ht="50.1" hidden="false" customHeight="true" outlineLevel="0" collapsed="false">
      <c r="T110" s="61"/>
    </row>
    <row r="111" customFormat="false" ht="50.1" hidden="false" customHeight="true" outlineLevel="0" collapsed="false">
      <c r="T111" s="61"/>
    </row>
    <row r="112" customFormat="false" ht="50.1" hidden="false" customHeight="true" outlineLevel="0" collapsed="false">
      <c r="T112" s="61"/>
    </row>
    <row r="113" customFormat="false" ht="50.1" hidden="false" customHeight="true" outlineLevel="0" collapsed="false">
      <c r="T113" s="61"/>
    </row>
    <row r="114" customFormat="false" ht="50.1" hidden="false" customHeight="true" outlineLevel="0" collapsed="false">
      <c r="T114" s="61"/>
    </row>
    <row r="115" customFormat="false" ht="50.1" hidden="false" customHeight="true" outlineLevel="0" collapsed="false">
      <c r="T115" s="61"/>
    </row>
    <row r="116" customFormat="false" ht="50.1" hidden="false" customHeight="true" outlineLevel="0" collapsed="false">
      <c r="T116" s="61"/>
    </row>
    <row r="117" customFormat="false" ht="50.1" hidden="false" customHeight="true" outlineLevel="0" collapsed="false">
      <c r="T117" s="61"/>
    </row>
    <row r="118" customFormat="false" ht="50.1" hidden="false" customHeight="true" outlineLevel="0" collapsed="false">
      <c r="T118" s="61"/>
    </row>
    <row r="119" customFormat="false" ht="50.1" hidden="false" customHeight="true" outlineLevel="0" collapsed="false">
      <c r="T119" s="61"/>
    </row>
    <row r="120" customFormat="false" ht="50.1" hidden="false" customHeight="true" outlineLevel="0" collapsed="false">
      <c r="T120" s="61"/>
    </row>
    <row r="121" customFormat="false" ht="50.1" hidden="false" customHeight="true" outlineLevel="0" collapsed="false">
      <c r="T121" s="61"/>
    </row>
    <row r="122" customFormat="false" ht="50.1" hidden="false" customHeight="true" outlineLevel="0" collapsed="false">
      <c r="T122" s="61"/>
    </row>
    <row r="123" customFormat="false" ht="50.1" hidden="false" customHeight="true" outlineLevel="0" collapsed="false">
      <c r="T123" s="61"/>
    </row>
    <row r="124" customFormat="false" ht="50.1" hidden="false" customHeight="true" outlineLevel="0" collapsed="false">
      <c r="T124" s="61"/>
    </row>
    <row r="125" customFormat="false" ht="50.1" hidden="false" customHeight="true" outlineLevel="0" collapsed="false">
      <c r="T125" s="61"/>
    </row>
    <row r="126" customFormat="false" ht="50.1" hidden="false" customHeight="true" outlineLevel="0" collapsed="false">
      <c r="T126" s="61"/>
    </row>
    <row r="127" customFormat="false" ht="50.1" hidden="false" customHeight="true" outlineLevel="0" collapsed="false">
      <c r="T127" s="61"/>
    </row>
    <row r="128" customFormat="false" ht="50.1" hidden="false" customHeight="true" outlineLevel="0" collapsed="false">
      <c r="T128" s="61"/>
    </row>
    <row r="129" customFormat="false" ht="50.1" hidden="false" customHeight="true" outlineLevel="0" collapsed="false">
      <c r="T129" s="61"/>
    </row>
    <row r="130" customFormat="false" ht="50.1" hidden="false" customHeight="true" outlineLevel="0" collapsed="false">
      <c r="T130" s="61"/>
    </row>
    <row r="131" customFormat="false" ht="50.1" hidden="false" customHeight="true" outlineLevel="0" collapsed="false">
      <c r="T131" s="61"/>
    </row>
    <row r="132" customFormat="false" ht="50.1" hidden="false" customHeight="true" outlineLevel="0" collapsed="false">
      <c r="T132" s="61"/>
    </row>
    <row r="133" customFormat="false" ht="50.1" hidden="false" customHeight="true" outlineLevel="0" collapsed="false">
      <c r="T133" s="61"/>
    </row>
    <row r="134" customFormat="false" ht="50.1" hidden="false" customHeight="true" outlineLevel="0" collapsed="false">
      <c r="T134" s="61"/>
    </row>
    <row r="135" customFormat="false" ht="50.1" hidden="false" customHeight="true" outlineLevel="0" collapsed="false">
      <c r="T135" s="61"/>
    </row>
    <row r="136" customFormat="false" ht="50.1" hidden="false" customHeight="true" outlineLevel="0" collapsed="false">
      <c r="T136" s="61"/>
    </row>
    <row r="137" customFormat="false" ht="50.1" hidden="false" customHeight="true" outlineLevel="0" collapsed="false">
      <c r="T137" s="61"/>
    </row>
    <row r="138" customFormat="false" ht="50.1" hidden="false" customHeight="true" outlineLevel="0" collapsed="false">
      <c r="T138" s="61"/>
    </row>
    <row r="139" customFormat="false" ht="50.1" hidden="false" customHeight="true" outlineLevel="0" collapsed="false">
      <c r="T139" s="61"/>
    </row>
    <row r="140" customFormat="false" ht="50.1" hidden="false" customHeight="true" outlineLevel="0" collapsed="false">
      <c r="T140" s="61"/>
    </row>
    <row r="141" customFormat="false" ht="50.1" hidden="false" customHeight="true" outlineLevel="0" collapsed="false">
      <c r="T141" s="61"/>
    </row>
    <row r="142" customFormat="false" ht="50.1" hidden="false" customHeight="true" outlineLevel="0" collapsed="false">
      <c r="T142" s="61"/>
    </row>
    <row r="143" customFormat="false" ht="50.1" hidden="false" customHeight="true" outlineLevel="0" collapsed="false">
      <c r="T143" s="61"/>
    </row>
    <row r="144" customFormat="false" ht="50.1" hidden="false" customHeight="true" outlineLevel="0" collapsed="false">
      <c r="T144" s="61"/>
    </row>
    <row r="145" customFormat="false" ht="50.1" hidden="false" customHeight="true" outlineLevel="0" collapsed="false">
      <c r="T145" s="61"/>
    </row>
    <row r="146" customFormat="false" ht="50.1" hidden="false" customHeight="true" outlineLevel="0" collapsed="false">
      <c r="T146" s="61"/>
    </row>
    <row r="147" customFormat="false" ht="50.1" hidden="false" customHeight="true" outlineLevel="0" collapsed="false">
      <c r="T147" s="61"/>
    </row>
    <row r="148" customFormat="false" ht="50.1" hidden="false" customHeight="true" outlineLevel="0" collapsed="false">
      <c r="T148" s="61"/>
    </row>
    <row r="149" customFormat="false" ht="50.1" hidden="false" customHeight="true" outlineLevel="0" collapsed="false">
      <c r="T149" s="61"/>
    </row>
    <row r="150" customFormat="false" ht="50.1" hidden="false" customHeight="true" outlineLevel="0" collapsed="false">
      <c r="T150" s="61"/>
    </row>
    <row r="151" customFormat="false" ht="50.1" hidden="false" customHeight="true" outlineLevel="0" collapsed="false">
      <c r="T151" s="61"/>
    </row>
    <row r="152" customFormat="false" ht="50.1" hidden="false" customHeight="true" outlineLevel="0" collapsed="false">
      <c r="T152" s="61"/>
    </row>
    <row r="153" customFormat="false" ht="50.1" hidden="false" customHeight="true" outlineLevel="0" collapsed="false">
      <c r="T153" s="61"/>
    </row>
    <row r="154" customFormat="false" ht="50.1" hidden="false" customHeight="true" outlineLevel="0" collapsed="false">
      <c r="T154" s="61"/>
    </row>
    <row r="155" customFormat="false" ht="50.1" hidden="false" customHeight="true" outlineLevel="0" collapsed="false">
      <c r="T155" s="61"/>
    </row>
    <row r="156" customFormat="false" ht="50.1" hidden="false" customHeight="true" outlineLevel="0" collapsed="false">
      <c r="T156" s="61"/>
    </row>
    <row r="157" customFormat="false" ht="50.1" hidden="false" customHeight="true" outlineLevel="0" collapsed="false">
      <c r="T157" s="61"/>
    </row>
    <row r="158" customFormat="false" ht="50.1" hidden="false" customHeight="true" outlineLevel="0" collapsed="false">
      <c r="T158" s="61"/>
    </row>
    <row r="159" customFormat="false" ht="50.1" hidden="false" customHeight="true" outlineLevel="0" collapsed="false">
      <c r="T159" s="61"/>
    </row>
    <row r="160" customFormat="false" ht="50.1" hidden="false" customHeight="true" outlineLevel="0" collapsed="false">
      <c r="T160" s="61"/>
    </row>
    <row r="161" customFormat="false" ht="50.1" hidden="false" customHeight="true" outlineLevel="0" collapsed="false">
      <c r="T161" s="61"/>
    </row>
    <row r="162" customFormat="false" ht="50.1" hidden="false" customHeight="true" outlineLevel="0" collapsed="false">
      <c r="T162" s="61"/>
    </row>
    <row r="163" customFormat="false" ht="50.1" hidden="false" customHeight="true" outlineLevel="0" collapsed="false">
      <c r="T163" s="61"/>
    </row>
    <row r="164" customFormat="false" ht="50.1" hidden="false" customHeight="true" outlineLevel="0" collapsed="false">
      <c r="T164" s="61"/>
    </row>
    <row r="165" customFormat="false" ht="50.1" hidden="false" customHeight="true" outlineLevel="0" collapsed="false">
      <c r="T165" s="61"/>
    </row>
    <row r="166" customFormat="false" ht="50.1" hidden="false" customHeight="true" outlineLevel="0" collapsed="false">
      <c r="T166" s="61"/>
    </row>
    <row r="167" customFormat="false" ht="50.1" hidden="false" customHeight="true" outlineLevel="0" collapsed="false">
      <c r="T167" s="61"/>
    </row>
    <row r="168" customFormat="false" ht="50.1" hidden="false" customHeight="true" outlineLevel="0" collapsed="false">
      <c r="T168" s="61"/>
    </row>
    <row r="169" customFormat="false" ht="50.1" hidden="false" customHeight="true" outlineLevel="0" collapsed="false">
      <c r="T169" s="61"/>
    </row>
    <row r="170" customFormat="false" ht="50.1" hidden="false" customHeight="true" outlineLevel="0" collapsed="false">
      <c r="T170" s="61"/>
    </row>
    <row r="171" customFormat="false" ht="50.1" hidden="false" customHeight="true" outlineLevel="0" collapsed="false">
      <c r="T171" s="61"/>
    </row>
    <row r="172" customFormat="false" ht="50.1" hidden="false" customHeight="true" outlineLevel="0" collapsed="false">
      <c r="T172" s="61"/>
    </row>
    <row r="173" customFormat="false" ht="50.1" hidden="false" customHeight="true" outlineLevel="0" collapsed="false">
      <c r="T173" s="61"/>
    </row>
    <row r="174" customFormat="false" ht="50.1" hidden="false" customHeight="true" outlineLevel="0" collapsed="false">
      <c r="T174" s="61"/>
    </row>
    <row r="175" customFormat="false" ht="50.1" hidden="false" customHeight="true" outlineLevel="0" collapsed="false">
      <c r="T175" s="61"/>
    </row>
    <row r="176" customFormat="false" ht="50.1" hidden="false" customHeight="true" outlineLevel="0" collapsed="false">
      <c r="T176" s="61"/>
    </row>
    <row r="177" customFormat="false" ht="50.1" hidden="false" customHeight="true" outlineLevel="0" collapsed="false">
      <c r="T177" s="61"/>
    </row>
    <row r="178" customFormat="false" ht="50.1" hidden="false" customHeight="true" outlineLevel="0" collapsed="false">
      <c r="T178" s="61"/>
    </row>
    <row r="179" customFormat="false" ht="50.1" hidden="false" customHeight="true" outlineLevel="0" collapsed="false">
      <c r="T179" s="61"/>
    </row>
    <row r="180" customFormat="false" ht="50.1" hidden="false" customHeight="true" outlineLevel="0" collapsed="false">
      <c r="T180" s="61"/>
    </row>
    <row r="181" customFormat="false" ht="50.1" hidden="false" customHeight="true" outlineLevel="0" collapsed="false">
      <c r="T181" s="61"/>
    </row>
    <row r="182" customFormat="false" ht="50.1" hidden="false" customHeight="true" outlineLevel="0" collapsed="false">
      <c r="T182" s="61"/>
    </row>
    <row r="183" customFormat="false" ht="50.1" hidden="false" customHeight="true" outlineLevel="0" collapsed="false">
      <c r="T183" s="61"/>
    </row>
    <row r="184" customFormat="false" ht="50.1" hidden="false" customHeight="true" outlineLevel="0" collapsed="false">
      <c r="T184" s="61"/>
    </row>
    <row r="185" customFormat="false" ht="50.1" hidden="false" customHeight="true" outlineLevel="0" collapsed="false">
      <c r="T185" s="61"/>
    </row>
    <row r="186" customFormat="false" ht="50.1" hidden="false" customHeight="true" outlineLevel="0" collapsed="false">
      <c r="T186" s="61"/>
    </row>
    <row r="187" customFormat="false" ht="50.1" hidden="false" customHeight="true" outlineLevel="0" collapsed="false">
      <c r="T187" s="61"/>
    </row>
    <row r="188" customFormat="false" ht="50.1" hidden="false" customHeight="true" outlineLevel="0" collapsed="false">
      <c r="T188" s="61"/>
    </row>
    <row r="189" customFormat="false" ht="50.1" hidden="false" customHeight="true" outlineLevel="0" collapsed="false">
      <c r="T189" s="61"/>
    </row>
    <row r="190" customFormat="false" ht="50.1" hidden="false" customHeight="true" outlineLevel="0" collapsed="false">
      <c r="T190" s="61"/>
    </row>
    <row r="191" customFormat="false" ht="50.1" hidden="false" customHeight="true" outlineLevel="0" collapsed="false">
      <c r="T191" s="61"/>
    </row>
    <row r="192" customFormat="false" ht="50.1" hidden="false" customHeight="true" outlineLevel="0" collapsed="false">
      <c r="T192" s="61"/>
    </row>
    <row r="193" customFormat="false" ht="50.1" hidden="false" customHeight="true" outlineLevel="0" collapsed="false">
      <c r="T193" s="61"/>
    </row>
    <row r="194" customFormat="false" ht="50.1" hidden="false" customHeight="true" outlineLevel="0" collapsed="false">
      <c r="T194" s="61"/>
    </row>
    <row r="195" customFormat="false" ht="50.1" hidden="false" customHeight="true" outlineLevel="0" collapsed="false">
      <c r="T195" s="61"/>
    </row>
    <row r="196" customFormat="false" ht="50.1" hidden="false" customHeight="true" outlineLevel="0" collapsed="false">
      <c r="T196" s="61"/>
    </row>
    <row r="197" customFormat="false" ht="50.1" hidden="false" customHeight="true" outlineLevel="0" collapsed="false">
      <c r="T197" s="61"/>
    </row>
    <row r="198" customFormat="false" ht="50.1" hidden="false" customHeight="true" outlineLevel="0" collapsed="false">
      <c r="T198" s="61"/>
    </row>
    <row r="199" customFormat="false" ht="50.1" hidden="false" customHeight="true" outlineLevel="0" collapsed="false">
      <c r="T199" s="61"/>
    </row>
    <row r="200" customFormat="false" ht="50.1" hidden="false" customHeight="true" outlineLevel="0" collapsed="false">
      <c r="T200" s="61"/>
    </row>
    <row r="201" customFormat="false" ht="50.1" hidden="false" customHeight="true" outlineLevel="0" collapsed="false">
      <c r="T201" s="61"/>
    </row>
    <row r="202" customFormat="false" ht="50.1" hidden="false" customHeight="true" outlineLevel="0" collapsed="false">
      <c r="T202" s="61"/>
    </row>
    <row r="203" customFormat="false" ht="50.1" hidden="false" customHeight="true" outlineLevel="0" collapsed="false">
      <c r="T203" s="61"/>
    </row>
    <row r="204" customFormat="false" ht="50.1" hidden="false" customHeight="true" outlineLevel="0" collapsed="false">
      <c r="T204" s="61"/>
    </row>
    <row r="205" customFormat="false" ht="50.1" hidden="false" customHeight="true" outlineLevel="0" collapsed="false">
      <c r="T205" s="61"/>
    </row>
    <row r="206" customFormat="false" ht="50.1" hidden="false" customHeight="true" outlineLevel="0" collapsed="false">
      <c r="T206" s="61"/>
    </row>
    <row r="207" customFormat="false" ht="50.1" hidden="false" customHeight="true" outlineLevel="0" collapsed="false">
      <c r="T207" s="61"/>
    </row>
    <row r="208" customFormat="false" ht="50.1" hidden="false" customHeight="true" outlineLevel="0" collapsed="false">
      <c r="T208" s="61"/>
    </row>
    <row r="209" customFormat="false" ht="50.1" hidden="false" customHeight="true" outlineLevel="0" collapsed="false">
      <c r="T209" s="61"/>
    </row>
    <row r="210" customFormat="false" ht="50.1" hidden="false" customHeight="true" outlineLevel="0" collapsed="false">
      <c r="T210" s="61"/>
    </row>
    <row r="211" customFormat="false" ht="50.1" hidden="false" customHeight="true" outlineLevel="0" collapsed="false">
      <c r="T211" s="61"/>
    </row>
    <row r="212" customFormat="false" ht="50.1" hidden="false" customHeight="true" outlineLevel="0" collapsed="false">
      <c r="T212" s="61"/>
    </row>
    <row r="213" customFormat="false" ht="50.1" hidden="false" customHeight="true" outlineLevel="0" collapsed="false">
      <c r="T213" s="61"/>
    </row>
    <row r="214" customFormat="false" ht="50.1" hidden="false" customHeight="true" outlineLevel="0" collapsed="false">
      <c r="T214" s="61"/>
    </row>
    <row r="215" customFormat="false" ht="50.1" hidden="false" customHeight="true" outlineLevel="0" collapsed="false">
      <c r="T215" s="61"/>
    </row>
    <row r="216" customFormat="false" ht="50.1" hidden="false" customHeight="true" outlineLevel="0" collapsed="false">
      <c r="T216" s="61"/>
    </row>
    <row r="217" customFormat="false" ht="50.1" hidden="false" customHeight="true" outlineLevel="0" collapsed="false">
      <c r="T217" s="61"/>
    </row>
    <row r="218" customFormat="false" ht="50.1" hidden="false" customHeight="true" outlineLevel="0" collapsed="false">
      <c r="T218" s="61"/>
    </row>
    <row r="219" customFormat="false" ht="50.1" hidden="false" customHeight="true" outlineLevel="0" collapsed="false">
      <c r="T219" s="61"/>
    </row>
    <row r="220" customFormat="false" ht="50.1" hidden="false" customHeight="true" outlineLevel="0" collapsed="false">
      <c r="T220" s="61"/>
    </row>
    <row r="221" customFormat="false" ht="50.1" hidden="false" customHeight="true" outlineLevel="0" collapsed="false">
      <c r="T221" s="61"/>
    </row>
    <row r="222" customFormat="false" ht="50.1" hidden="false" customHeight="true" outlineLevel="0" collapsed="false">
      <c r="T222" s="61"/>
    </row>
    <row r="223" customFormat="false" ht="50.1" hidden="false" customHeight="true" outlineLevel="0" collapsed="false">
      <c r="T223" s="61"/>
    </row>
    <row r="224" customFormat="false" ht="50.1" hidden="false" customHeight="true" outlineLevel="0" collapsed="false">
      <c r="T224" s="61"/>
    </row>
    <row r="225" customFormat="false" ht="50.1" hidden="false" customHeight="true" outlineLevel="0" collapsed="false">
      <c r="T225" s="61"/>
    </row>
    <row r="226" customFormat="false" ht="50.1" hidden="false" customHeight="true" outlineLevel="0" collapsed="false">
      <c r="T226" s="61"/>
    </row>
    <row r="227" customFormat="false" ht="50.1" hidden="false" customHeight="true" outlineLevel="0" collapsed="false">
      <c r="T227" s="61"/>
    </row>
    <row r="228" customFormat="false" ht="50.1" hidden="false" customHeight="true" outlineLevel="0" collapsed="false">
      <c r="T228" s="61"/>
    </row>
    <row r="229" customFormat="false" ht="50.1" hidden="false" customHeight="true" outlineLevel="0" collapsed="false">
      <c r="T229" s="61"/>
    </row>
    <row r="230" customFormat="false" ht="50.1" hidden="false" customHeight="true" outlineLevel="0" collapsed="false">
      <c r="T230" s="61"/>
    </row>
    <row r="231" customFormat="false" ht="50.1" hidden="false" customHeight="true" outlineLevel="0" collapsed="false">
      <c r="T231" s="61"/>
    </row>
    <row r="232" customFormat="false" ht="50.1" hidden="false" customHeight="true" outlineLevel="0" collapsed="false">
      <c r="T232" s="61"/>
    </row>
    <row r="233" customFormat="false" ht="50.1" hidden="false" customHeight="true" outlineLevel="0" collapsed="false">
      <c r="T233" s="61"/>
    </row>
    <row r="234" customFormat="false" ht="50.1" hidden="false" customHeight="true" outlineLevel="0" collapsed="false">
      <c r="T234" s="61"/>
    </row>
    <row r="235" customFormat="false" ht="50.1" hidden="false" customHeight="true" outlineLevel="0" collapsed="false">
      <c r="T235" s="61"/>
    </row>
    <row r="236" customFormat="false" ht="50.1" hidden="false" customHeight="true" outlineLevel="0" collapsed="false">
      <c r="T236" s="61"/>
    </row>
    <row r="237" customFormat="false" ht="50.1" hidden="false" customHeight="true" outlineLevel="0" collapsed="false">
      <c r="T237" s="61"/>
    </row>
    <row r="238" customFormat="false" ht="50.1" hidden="false" customHeight="true" outlineLevel="0" collapsed="false">
      <c r="T238" s="61"/>
    </row>
    <row r="239" customFormat="false" ht="50.1" hidden="false" customHeight="true" outlineLevel="0" collapsed="false">
      <c r="T239" s="61"/>
    </row>
    <row r="240" customFormat="false" ht="50.1" hidden="false" customHeight="true" outlineLevel="0" collapsed="false">
      <c r="T240" s="61"/>
    </row>
    <row r="241" customFormat="false" ht="50.1" hidden="false" customHeight="true" outlineLevel="0" collapsed="false">
      <c r="T241" s="61"/>
    </row>
    <row r="242" customFormat="false" ht="50.1" hidden="false" customHeight="true" outlineLevel="0" collapsed="false">
      <c r="T242" s="61"/>
    </row>
    <row r="243" customFormat="false" ht="50.1" hidden="false" customHeight="true" outlineLevel="0" collapsed="false">
      <c r="T243" s="61"/>
    </row>
  </sheetData>
  <mergeCells count="380">
    <mergeCell ref="A1:R1"/>
    <mergeCell ref="A2:H2"/>
    <mergeCell ref="A4:H4"/>
    <mergeCell ref="A5:A6"/>
    <mergeCell ref="B5:B6"/>
    <mergeCell ref="C5:C6"/>
    <mergeCell ref="I5:I6"/>
    <mergeCell ref="J5:J6"/>
    <mergeCell ref="K5:K6"/>
    <mergeCell ref="L5:L6"/>
    <mergeCell ref="M5:M6"/>
    <mergeCell ref="N5:N6"/>
    <mergeCell ref="O5:O6"/>
    <mergeCell ref="P5:P6"/>
    <mergeCell ref="Q5:Q6"/>
    <mergeCell ref="R5:R6"/>
    <mergeCell ref="S5:S6"/>
    <mergeCell ref="A9:R9"/>
    <mergeCell ref="A10:H10"/>
    <mergeCell ref="A16:R16"/>
    <mergeCell ref="A17:H17"/>
    <mergeCell ref="A20:R20"/>
    <mergeCell ref="A21:H21"/>
    <mergeCell ref="A22:A23"/>
    <mergeCell ref="B22:B23"/>
    <mergeCell ref="C22:C23"/>
    <mergeCell ref="I22:I23"/>
    <mergeCell ref="J22:J23"/>
    <mergeCell ref="K22:K23"/>
    <mergeCell ref="L22:L23"/>
    <mergeCell ref="M22:M23"/>
    <mergeCell ref="N22:N23"/>
    <mergeCell ref="O22:O23"/>
    <mergeCell ref="P22:P23"/>
    <mergeCell ref="Q22:Q23"/>
    <mergeCell ref="R22:R23"/>
    <mergeCell ref="S22:S23"/>
    <mergeCell ref="A24:A25"/>
    <mergeCell ref="B24:B25"/>
    <mergeCell ref="C24:C25"/>
    <mergeCell ref="I24:I25"/>
    <mergeCell ref="J24:J25"/>
    <mergeCell ref="K24:K25"/>
    <mergeCell ref="L24:L25"/>
    <mergeCell ref="M24:M25"/>
    <mergeCell ref="N24:N25"/>
    <mergeCell ref="O24:O25"/>
    <mergeCell ref="P24:P25"/>
    <mergeCell ref="Q24:Q25"/>
    <mergeCell ref="R24:R25"/>
    <mergeCell ref="S24:S25"/>
    <mergeCell ref="A28:R28"/>
    <mergeCell ref="A29:H29"/>
    <mergeCell ref="A31:R31"/>
    <mergeCell ref="A32:H32"/>
    <mergeCell ref="A33:A34"/>
    <mergeCell ref="B33:B34"/>
    <mergeCell ref="C33:C34"/>
    <mergeCell ref="I33:I34"/>
    <mergeCell ref="J33:J34"/>
    <mergeCell ref="K33:K34"/>
    <mergeCell ref="L33:L34"/>
    <mergeCell ref="M33:M34"/>
    <mergeCell ref="N33:N34"/>
    <mergeCell ref="O33:O34"/>
    <mergeCell ref="P33:P34"/>
    <mergeCell ref="Q33:Q34"/>
    <mergeCell ref="R33:R34"/>
    <mergeCell ref="S33:S34"/>
    <mergeCell ref="A35:A36"/>
    <mergeCell ref="B35:B36"/>
    <mergeCell ref="C35:C36"/>
    <mergeCell ref="I35:I36"/>
    <mergeCell ref="J35:J36"/>
    <mergeCell ref="K35:K36"/>
    <mergeCell ref="L35:L36"/>
    <mergeCell ref="M35:M36"/>
    <mergeCell ref="N35:N36"/>
    <mergeCell ref="O35:O36"/>
    <mergeCell ref="P35:P36"/>
    <mergeCell ref="Q35:Q36"/>
    <mergeCell ref="R35:R36"/>
    <mergeCell ref="S35:S36"/>
    <mergeCell ref="A37:A38"/>
    <mergeCell ref="B37:B38"/>
    <mergeCell ref="C37:C38"/>
    <mergeCell ref="I37:I38"/>
    <mergeCell ref="J37:J38"/>
    <mergeCell ref="K37:K38"/>
    <mergeCell ref="L37:L38"/>
    <mergeCell ref="M37:M38"/>
    <mergeCell ref="N37:N38"/>
    <mergeCell ref="O37:O38"/>
    <mergeCell ref="P37:P38"/>
    <mergeCell ref="Q37:Q38"/>
    <mergeCell ref="R37:R38"/>
    <mergeCell ref="S37:S38"/>
    <mergeCell ref="A42:A43"/>
    <mergeCell ref="B42:B43"/>
    <mergeCell ref="C42:C43"/>
    <mergeCell ref="I42:I43"/>
    <mergeCell ref="J42:J43"/>
    <mergeCell ref="K42:K43"/>
    <mergeCell ref="L42:L43"/>
    <mergeCell ref="M42:M43"/>
    <mergeCell ref="N42:N43"/>
    <mergeCell ref="O42:O43"/>
    <mergeCell ref="P42:P43"/>
    <mergeCell ref="Q42:Q43"/>
    <mergeCell ref="R42:R43"/>
    <mergeCell ref="S42:S43"/>
    <mergeCell ref="A44:A45"/>
    <mergeCell ref="B44:B45"/>
    <mergeCell ref="C44:C45"/>
    <mergeCell ref="I44:I45"/>
    <mergeCell ref="J44:J45"/>
    <mergeCell ref="K44:K45"/>
    <mergeCell ref="L44:L45"/>
    <mergeCell ref="M44:M45"/>
    <mergeCell ref="N44:N45"/>
    <mergeCell ref="O44:O45"/>
    <mergeCell ref="P44:P45"/>
    <mergeCell ref="Q44:Q45"/>
    <mergeCell ref="R44:R45"/>
    <mergeCell ref="S44:S45"/>
    <mergeCell ref="A46:A47"/>
    <mergeCell ref="B46:B47"/>
    <mergeCell ref="C46:C47"/>
    <mergeCell ref="I46:I47"/>
    <mergeCell ref="J46:J47"/>
    <mergeCell ref="K46:K47"/>
    <mergeCell ref="L46:L47"/>
    <mergeCell ref="M46:M47"/>
    <mergeCell ref="N46:N47"/>
    <mergeCell ref="O46:O47"/>
    <mergeCell ref="P46:P47"/>
    <mergeCell ref="Q46:Q47"/>
    <mergeCell ref="R46:R47"/>
    <mergeCell ref="S46:S47"/>
    <mergeCell ref="A48:A49"/>
    <mergeCell ref="B48:B49"/>
    <mergeCell ref="C48:C49"/>
    <mergeCell ref="I48:I49"/>
    <mergeCell ref="J48:J49"/>
    <mergeCell ref="K48:K49"/>
    <mergeCell ref="L48:L49"/>
    <mergeCell ref="M48:M49"/>
    <mergeCell ref="N48:N49"/>
    <mergeCell ref="O48:O49"/>
    <mergeCell ref="P48:P49"/>
    <mergeCell ref="Q48:Q49"/>
    <mergeCell ref="R48:R49"/>
    <mergeCell ref="S48:S49"/>
    <mergeCell ref="A50:R50"/>
    <mergeCell ref="A51:H51"/>
    <mergeCell ref="A52:A53"/>
    <mergeCell ref="B52:B53"/>
    <mergeCell ref="C52:C53"/>
    <mergeCell ref="I52:I53"/>
    <mergeCell ref="J52:J53"/>
    <mergeCell ref="K52:K53"/>
    <mergeCell ref="L52:L53"/>
    <mergeCell ref="M52:M53"/>
    <mergeCell ref="N52:N53"/>
    <mergeCell ref="O52:O53"/>
    <mergeCell ref="P52:P53"/>
    <mergeCell ref="Q52:Q53"/>
    <mergeCell ref="R52:R53"/>
    <mergeCell ref="S52:S53"/>
    <mergeCell ref="A54:A55"/>
    <mergeCell ref="B54:B55"/>
    <mergeCell ref="C54:C55"/>
    <mergeCell ref="I54:I55"/>
    <mergeCell ref="J54:J55"/>
    <mergeCell ref="K54:K55"/>
    <mergeCell ref="L54:L55"/>
    <mergeCell ref="M54:M55"/>
    <mergeCell ref="N54:N55"/>
    <mergeCell ref="O54:O55"/>
    <mergeCell ref="P54:P55"/>
    <mergeCell ref="Q54:Q55"/>
    <mergeCell ref="R54:R55"/>
    <mergeCell ref="S54:S55"/>
    <mergeCell ref="A56:A57"/>
    <mergeCell ref="B56:B57"/>
    <mergeCell ref="C56:C57"/>
    <mergeCell ref="I56:I57"/>
    <mergeCell ref="J56:J57"/>
    <mergeCell ref="K56:K57"/>
    <mergeCell ref="L56:L57"/>
    <mergeCell ref="M56:M57"/>
    <mergeCell ref="N56:N57"/>
    <mergeCell ref="O56:O57"/>
    <mergeCell ref="P56:P57"/>
    <mergeCell ref="Q56:Q57"/>
    <mergeCell ref="R56:R57"/>
    <mergeCell ref="S56:S57"/>
    <mergeCell ref="A59:A60"/>
    <mergeCell ref="B59:B60"/>
    <mergeCell ref="C59:C60"/>
    <mergeCell ref="I59:I60"/>
    <mergeCell ref="J59:J60"/>
    <mergeCell ref="K59:K60"/>
    <mergeCell ref="L59:L60"/>
    <mergeCell ref="M59:M60"/>
    <mergeCell ref="N59:N60"/>
    <mergeCell ref="O59:O60"/>
    <mergeCell ref="P59:P60"/>
    <mergeCell ref="Q59:Q60"/>
    <mergeCell ref="R59:R60"/>
    <mergeCell ref="S59:S60"/>
    <mergeCell ref="A61:A62"/>
    <mergeCell ref="B61:B62"/>
    <mergeCell ref="C61:C62"/>
    <mergeCell ref="I61:I62"/>
    <mergeCell ref="J61:J62"/>
    <mergeCell ref="K61:K62"/>
    <mergeCell ref="L61:L62"/>
    <mergeCell ref="M61:M62"/>
    <mergeCell ref="N61:N62"/>
    <mergeCell ref="O61:O62"/>
    <mergeCell ref="P61:P62"/>
    <mergeCell ref="Q61:Q62"/>
    <mergeCell ref="R61:R62"/>
    <mergeCell ref="S61:S62"/>
    <mergeCell ref="A64:A65"/>
    <mergeCell ref="B64:B65"/>
    <mergeCell ref="C64:C65"/>
    <mergeCell ref="I64:I65"/>
    <mergeCell ref="J64:J65"/>
    <mergeCell ref="K64:K65"/>
    <mergeCell ref="L64:L65"/>
    <mergeCell ref="M64:M65"/>
    <mergeCell ref="N64:N65"/>
    <mergeCell ref="O64:O65"/>
    <mergeCell ref="P64:P65"/>
    <mergeCell ref="Q64:Q65"/>
    <mergeCell ref="R64:R65"/>
    <mergeCell ref="S64:S65"/>
    <mergeCell ref="A66:A67"/>
    <mergeCell ref="B66:B67"/>
    <mergeCell ref="C66:C67"/>
    <mergeCell ref="I66:I67"/>
    <mergeCell ref="J66:J67"/>
    <mergeCell ref="K66:K67"/>
    <mergeCell ref="L66:L67"/>
    <mergeCell ref="M66:M67"/>
    <mergeCell ref="N66:N67"/>
    <mergeCell ref="O66:O67"/>
    <mergeCell ref="P66:P67"/>
    <mergeCell ref="Q66:Q67"/>
    <mergeCell ref="R66:R67"/>
    <mergeCell ref="S66:S67"/>
    <mergeCell ref="A68:A69"/>
    <mergeCell ref="B68:B69"/>
    <mergeCell ref="C68:C69"/>
    <mergeCell ref="I68:I69"/>
    <mergeCell ref="J68:J69"/>
    <mergeCell ref="K68:K69"/>
    <mergeCell ref="L68:L69"/>
    <mergeCell ref="M68:M69"/>
    <mergeCell ref="N68:N69"/>
    <mergeCell ref="O68:O69"/>
    <mergeCell ref="P68:P69"/>
    <mergeCell ref="Q68:Q69"/>
    <mergeCell ref="R68:R69"/>
    <mergeCell ref="S68:S69"/>
    <mergeCell ref="A70:A71"/>
    <mergeCell ref="B70:B71"/>
    <mergeCell ref="C70:C71"/>
    <mergeCell ref="I70:I71"/>
    <mergeCell ref="J70:J71"/>
    <mergeCell ref="K70:K71"/>
    <mergeCell ref="L70:L71"/>
    <mergeCell ref="M70:M71"/>
    <mergeCell ref="N70:N71"/>
    <mergeCell ref="O70:O71"/>
    <mergeCell ref="P70:P71"/>
    <mergeCell ref="Q70:Q71"/>
    <mergeCell ref="R70:R71"/>
    <mergeCell ref="S70:S71"/>
    <mergeCell ref="A72:A73"/>
    <mergeCell ref="B72:B73"/>
    <mergeCell ref="C72:C73"/>
    <mergeCell ref="I72:I73"/>
    <mergeCell ref="J72:J73"/>
    <mergeCell ref="K72:K73"/>
    <mergeCell ref="L72:L73"/>
    <mergeCell ref="M72:M73"/>
    <mergeCell ref="N72:N73"/>
    <mergeCell ref="O72:O73"/>
    <mergeCell ref="P72:P73"/>
    <mergeCell ref="Q72:Q73"/>
    <mergeCell ref="R72:R73"/>
    <mergeCell ref="S72:S73"/>
    <mergeCell ref="A74:A75"/>
    <mergeCell ref="B74:B75"/>
    <mergeCell ref="C74:C75"/>
    <mergeCell ref="I74:I75"/>
    <mergeCell ref="J74:J75"/>
    <mergeCell ref="K74:K75"/>
    <mergeCell ref="L74:L75"/>
    <mergeCell ref="M74:M75"/>
    <mergeCell ref="N74:N75"/>
    <mergeCell ref="O74:O75"/>
    <mergeCell ref="P74:P75"/>
    <mergeCell ref="Q74:Q75"/>
    <mergeCell ref="R74:R75"/>
    <mergeCell ref="S74:S75"/>
    <mergeCell ref="A76:A77"/>
    <mergeCell ref="B76:B77"/>
    <mergeCell ref="C76:C77"/>
    <mergeCell ref="I76:I77"/>
    <mergeCell ref="J76:J77"/>
    <mergeCell ref="K76:K77"/>
    <mergeCell ref="L76:L77"/>
    <mergeCell ref="M76:M77"/>
    <mergeCell ref="N76:N77"/>
    <mergeCell ref="O76:O77"/>
    <mergeCell ref="P76:P77"/>
    <mergeCell ref="Q76:Q77"/>
    <mergeCell ref="R76:R77"/>
    <mergeCell ref="S76:S77"/>
    <mergeCell ref="A78:A79"/>
    <mergeCell ref="B78:B79"/>
    <mergeCell ref="C78:C79"/>
    <mergeCell ref="I78:I79"/>
    <mergeCell ref="J78:J79"/>
    <mergeCell ref="K78:K79"/>
    <mergeCell ref="L78:L79"/>
    <mergeCell ref="M78:M79"/>
    <mergeCell ref="N78:N79"/>
    <mergeCell ref="O78:O79"/>
    <mergeCell ref="P78:P79"/>
    <mergeCell ref="Q78:Q79"/>
    <mergeCell ref="R78:R79"/>
    <mergeCell ref="S78:S79"/>
    <mergeCell ref="A81:A82"/>
    <mergeCell ref="B81:B82"/>
    <mergeCell ref="C81:C82"/>
    <mergeCell ref="I81:I82"/>
    <mergeCell ref="J81:J82"/>
    <mergeCell ref="K81:K82"/>
    <mergeCell ref="L81:L82"/>
    <mergeCell ref="M81:M82"/>
    <mergeCell ref="N81:N82"/>
    <mergeCell ref="O81:O82"/>
    <mergeCell ref="P81:P82"/>
    <mergeCell ref="Q81:Q82"/>
    <mergeCell ref="R81:R82"/>
    <mergeCell ref="S81:S82"/>
    <mergeCell ref="A83:A84"/>
    <mergeCell ref="B83:B84"/>
    <mergeCell ref="C83:C84"/>
    <mergeCell ref="I83:I84"/>
    <mergeCell ref="J83:J84"/>
    <mergeCell ref="K83:K84"/>
    <mergeCell ref="L83:L84"/>
    <mergeCell ref="M83:M84"/>
    <mergeCell ref="N83:N84"/>
    <mergeCell ref="O83:O84"/>
    <mergeCell ref="P83:P84"/>
    <mergeCell ref="Q83:Q84"/>
    <mergeCell ref="R83:R84"/>
    <mergeCell ref="S83:S84"/>
    <mergeCell ref="A85:A86"/>
    <mergeCell ref="B85:B86"/>
    <mergeCell ref="C85:C86"/>
    <mergeCell ref="I85:I86"/>
    <mergeCell ref="J85:J86"/>
    <mergeCell ref="K85:K86"/>
    <mergeCell ref="L85:L86"/>
    <mergeCell ref="M85:M86"/>
    <mergeCell ref="N85:N86"/>
    <mergeCell ref="O85:O86"/>
    <mergeCell ref="P85:P86"/>
    <mergeCell ref="Q85:Q86"/>
    <mergeCell ref="R85:R86"/>
    <mergeCell ref="S85:S86"/>
    <mergeCell ref="F87:G87"/>
  </mergeCells>
  <hyperlinks>
    <hyperlink ref="R5" r:id="rId1" display="http://hoco.i234.me:8000/sharing/mlNvRgKeA"/>
    <hyperlink ref="R7" r:id="rId2" display="http://hoco.i234.me:8000/sharing/7VpCpEan9"/>
    <hyperlink ref="S7" r:id="rId3" display="http://gofile.me/649X4/NgMFlxZjV"/>
    <hyperlink ref="R8" r:id="rId4" display="http://hoco.i234.me:8000/sharing/3uggw4IE7"/>
    <hyperlink ref="R11" r:id="rId5" display="http://gofile.me/649X4/WFERpcVWs"/>
    <hyperlink ref="R12" r:id="rId6" display="http://gofile.me/649X4/IPJFsXkcQ"/>
    <hyperlink ref="R13" r:id="rId7" display="http://gofile.me/649X4/gJdnlKsdr"/>
    <hyperlink ref="R14" r:id="rId8" display="http://gofile.me/649X4/wVrT2W6XI"/>
    <hyperlink ref="R15" r:id="rId9" display="http://gofile.me/649X4/B5ct87ueN"/>
    <hyperlink ref="S15" r:id="rId10" display="http://gofile.me/649X4/pLdiXJXzq"/>
    <hyperlink ref="R18" r:id="rId11" display="http://gofile.me/649X4/JCz5QdCvY"/>
    <hyperlink ref="R19" r:id="rId12" display="http://gofile.me/649X4/HZ3y7fJdK"/>
    <hyperlink ref="R22" r:id="rId13" display="http://gofile.me/649X4/CdMdS8lqd"/>
    <hyperlink ref="R24" r:id="rId14" display="http://gofile.me/649X4/ouZhqZqIC"/>
    <hyperlink ref="R26" r:id="rId15" display="http://gofile.me/649X4/Oqac4BHYV"/>
    <hyperlink ref="R27" r:id="rId16" display="http://hoco.i234.me:8000/sharing/ZD63yBKJk"/>
    <hyperlink ref="R30" r:id="rId17" display="http://gofile.me/649X4/JicPu11GB"/>
    <hyperlink ref="R33" r:id="rId18" display="http://gofile.me/649X4/mmNkjJbrc"/>
    <hyperlink ref="R35" r:id="rId19" display="http://gofile.me/649X4/PdBhLIuCk"/>
    <hyperlink ref="R37" r:id="rId20" display="http://gofile.me/649X4/TZZycjLiu"/>
    <hyperlink ref="R39" r:id="rId21" display="http://gofile.me/649X4/6DjAShOR6"/>
    <hyperlink ref="R40" r:id="rId22" display="http://gofile.me/649X4/ywKanUgCu"/>
    <hyperlink ref="R41" r:id="rId23" display="http://gofile.me/649X4/GV88DnZ25"/>
    <hyperlink ref="R42" r:id="rId24" display="http://gofile.me/649X4/XgFmOkro7"/>
    <hyperlink ref="R44" r:id="rId25" display="http://gofile.me/649X4/CGVdpwe37"/>
    <hyperlink ref="R46" r:id="rId26" display="http://gofile.me/649X4/XARhNw3CN"/>
    <hyperlink ref="R48" r:id="rId27" display="http://gofile.me/649X4/5Z4CofMDw"/>
    <hyperlink ref="R52" r:id="rId28" display="http://gofile.me/649X4/6RBLJutxJ"/>
    <hyperlink ref="R54" r:id="rId29" display="http://gofile.me/649X4/GjgjTc6o1"/>
    <hyperlink ref="R56" r:id="rId30" display="http://gofile.me/649X4/AMX3s7Yet"/>
    <hyperlink ref="R58" r:id="rId31" display="http://gofile.me/649X4/DqbHhuygC"/>
    <hyperlink ref="R59" r:id="rId32" display="http://gofile.me/649X4/VEPyFWk0E"/>
    <hyperlink ref="R61" r:id="rId33" display="http://gofile.me/649X4/OpqafcpVF"/>
    <hyperlink ref="R63" r:id="rId34" display="http://gofile.me/649X4/qCS7TPnbX"/>
    <hyperlink ref="R64" r:id="rId35" display="http://gofile.me/649X4/fPrXmdJ5e"/>
    <hyperlink ref="R66" r:id="rId36" display="http://gofile.me/649X4/fXO2qGF3v"/>
    <hyperlink ref="R68" r:id="rId37" display="http://gofile.me/649X4/1Nker2wtl"/>
    <hyperlink ref="R70" r:id="rId38" display="http://gofile.me/649X4/BQRXuOdvM"/>
    <hyperlink ref="R72" r:id="rId39" display="http://gofile.me/649X4/HwWuai5KZ"/>
    <hyperlink ref="R74" r:id="rId40" display="http://hoco.i234.me:8000/sharing/2Agw373dY"/>
    <hyperlink ref="R76" r:id="rId41" display="http://hoco.i234.me:8000/sharing/PWEuGtPau"/>
    <hyperlink ref="R78" r:id="rId42" display="http://hoco.i234.me:8000/sharing/5fkfiVwiM"/>
    <hyperlink ref="R80" r:id="rId43" display="http://hoco.i234.me:8000/sharing/iu25FpXZ0"/>
    <hyperlink ref="R81" r:id="rId44" display="http://hoco.i234.me:8000/sharing/mYmDjV7SS"/>
    <hyperlink ref="R83" r:id="rId45" display="http://hoco.i234.me:8000/sharing/DdOpvaExj"/>
    <hyperlink ref="S83" r:id="rId46" display="http://gofile.me/649X4/UMbu2x5y6"/>
    <hyperlink ref="R85" r:id="rId47" display="http://hoco.i234.me:8000/sharing/IyJL6VLBM"/>
    <hyperlink ref="S85" r:id="rId48" display="http://gofile.me/649X4/BDWRGDUiE"/>
  </hyperlinks>
  <printOptions headings="false" gridLines="false" gridLinesSet="true" horizontalCentered="false" verticalCentered="false"/>
  <pageMargins left="0.309722222222222" right="0.240277777777778" top="0.309722222222222" bottom="0.309722222222222" header="0.511811023622047" footer="0.429861111111111"/>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7" manualBreakCount="7">
    <brk id="12" man="true" max="16383" min="0"/>
    <brk id="23" man="true" max="16383" min="0"/>
    <brk id="36" man="true" max="16383" min="0"/>
    <brk id="62" man="true" max="16383" min="0"/>
    <brk id="73" man="true" max="16383" min="0"/>
    <brk id="86" man="true" max="16383" min="0"/>
    <brk id="92" man="true" max="16383" min="0"/>
  </rowBreaks>
  <drawing r:id="rId4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V46"/>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114" width="46"/>
    <col collapsed="false" customWidth="true" hidden="false" outlineLevel="0" max="3" min="2" style="34" width="18"/>
    <col collapsed="false" customWidth="true" hidden="false" outlineLevel="0" max="4" min="4" style="39" width="20"/>
    <col collapsed="false" customWidth="true" hidden="false" outlineLevel="0" max="5" min="5" style="39"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10" min="9" style="39" width="7.42"/>
    <col collapsed="false" customWidth="true" hidden="false" outlineLevel="0" max="11" min="11" style="39" width="10.64"/>
    <col collapsed="false" customWidth="true" hidden="false" outlineLevel="0" max="12" min="12" style="39" width="7.63"/>
    <col collapsed="false" customWidth="true" hidden="false" outlineLevel="0" max="13" min="13" style="39" width="11.2"/>
    <col collapsed="false" customWidth="true" hidden="false" outlineLevel="0" max="14" min="14" style="39" width="7.63"/>
    <col collapsed="false" customWidth="true" hidden="false" outlineLevel="0" max="15" min="15" style="39" width="11.2"/>
    <col collapsed="false" customWidth="true" hidden="false" outlineLevel="0" max="16" min="16" style="42" width="7.63"/>
    <col collapsed="false" customWidth="true" hidden="false" outlineLevel="0" max="17" min="17" style="39" width="70"/>
    <col collapsed="false" customWidth="true" hidden="false" outlineLevel="0" max="19" min="18" style="41" width="9.51"/>
    <col collapsed="false" customWidth="true" hidden="false" outlineLevel="0" max="20" min="20" style="42" width="7.63"/>
    <col collapsed="false" customWidth="false" hidden="false" outlineLevel="0" max="98" min="21"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row>
    <row r="2" s="4" customFormat="true" ht="30" hidden="false" customHeight="true" outlineLevel="0" collapsed="false">
      <c r="A2" s="45" t="s">
        <v>2244</v>
      </c>
      <c r="B2" s="45"/>
      <c r="C2" s="45"/>
      <c r="D2" s="45"/>
      <c r="E2" s="45"/>
      <c r="F2" s="45"/>
      <c r="G2" s="45"/>
      <c r="H2" s="45"/>
      <c r="I2" s="46"/>
      <c r="J2" s="46"/>
      <c r="K2" s="46"/>
      <c r="L2" s="46"/>
      <c r="M2" s="46"/>
      <c r="N2" s="46"/>
      <c r="O2" s="46"/>
      <c r="P2" s="46"/>
      <c r="Q2" s="46"/>
      <c r="R2" s="46"/>
      <c r="S2" s="46"/>
    </row>
    <row r="3" s="50" customFormat="true" ht="48" hidden="false" customHeight="true" outlineLevel="1" collapsed="false">
      <c r="A3" s="47" t="s">
        <v>68</v>
      </c>
      <c r="B3" s="47" t="s">
        <v>69</v>
      </c>
      <c r="C3" s="47" t="s">
        <v>70</v>
      </c>
      <c r="D3" s="47" t="s">
        <v>71</v>
      </c>
      <c r="E3" s="47" t="s">
        <v>72</v>
      </c>
      <c r="F3" s="47" t="s">
        <v>73</v>
      </c>
      <c r="G3" s="47" t="s">
        <v>74</v>
      </c>
      <c r="H3" s="47" t="s">
        <v>75</v>
      </c>
      <c r="I3" s="47" t="s">
        <v>2245</v>
      </c>
      <c r="J3" s="47" t="s">
        <v>2246</v>
      </c>
      <c r="K3" s="47" t="s">
        <v>78</v>
      </c>
      <c r="L3" s="47" t="s">
        <v>79</v>
      </c>
      <c r="M3" s="47" t="s">
        <v>80</v>
      </c>
      <c r="N3" s="47" t="s">
        <v>81</v>
      </c>
      <c r="O3" s="47" t="s">
        <v>82</v>
      </c>
      <c r="P3" s="47" t="s">
        <v>83</v>
      </c>
      <c r="Q3" s="47" t="s">
        <v>84</v>
      </c>
      <c r="R3" s="47" t="s">
        <v>85</v>
      </c>
      <c r="S3" s="47" t="s">
        <v>86</v>
      </c>
      <c r="T3" s="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c r="BI3" s="174"/>
      <c r="BJ3" s="174"/>
      <c r="BK3" s="174"/>
      <c r="BL3" s="174"/>
      <c r="BM3" s="174"/>
      <c r="BN3" s="174"/>
      <c r="BO3" s="174"/>
      <c r="BP3" s="174"/>
      <c r="BQ3" s="174"/>
      <c r="BR3" s="174"/>
      <c r="BS3" s="174"/>
      <c r="BT3" s="174"/>
      <c r="BU3" s="174"/>
      <c r="BV3" s="174"/>
      <c r="BW3" s="174"/>
      <c r="BX3" s="174"/>
      <c r="BY3" s="174"/>
      <c r="BZ3" s="174"/>
      <c r="CA3" s="174"/>
      <c r="CB3" s="174"/>
      <c r="CC3" s="174"/>
      <c r="CD3" s="174"/>
      <c r="CE3" s="174"/>
      <c r="CF3" s="174"/>
      <c r="CG3" s="174"/>
      <c r="CH3" s="174"/>
      <c r="CI3" s="174"/>
      <c r="CJ3" s="174"/>
      <c r="CK3" s="174"/>
      <c r="CL3" s="174"/>
      <c r="CM3" s="174"/>
      <c r="CN3" s="174"/>
      <c r="CO3" s="174"/>
      <c r="CP3" s="174"/>
      <c r="CQ3" s="174"/>
      <c r="CR3" s="174"/>
      <c r="CS3" s="174"/>
      <c r="CT3" s="174"/>
      <c r="CU3" s="174"/>
      <c r="CV3" s="174"/>
      <c r="CW3" s="174"/>
      <c r="CX3" s="174"/>
      <c r="CY3" s="174"/>
      <c r="CZ3" s="174"/>
      <c r="DA3" s="174"/>
      <c r="DB3" s="174"/>
      <c r="DC3" s="174"/>
      <c r="DD3" s="174"/>
      <c r="DE3" s="174"/>
      <c r="DF3" s="174"/>
      <c r="DG3" s="174"/>
      <c r="DH3" s="174"/>
      <c r="DI3" s="174"/>
      <c r="DJ3" s="174"/>
      <c r="DK3" s="174"/>
      <c r="DL3" s="174"/>
      <c r="DM3" s="174"/>
      <c r="DN3" s="174"/>
      <c r="DO3" s="174"/>
      <c r="DP3" s="174"/>
      <c r="DQ3" s="174"/>
      <c r="DR3" s="174"/>
      <c r="DS3" s="174"/>
      <c r="DT3" s="174"/>
      <c r="DU3" s="174"/>
      <c r="DV3" s="174"/>
      <c r="DW3" s="174"/>
      <c r="DX3" s="174"/>
      <c r="DY3" s="174"/>
      <c r="DZ3" s="174"/>
      <c r="EA3" s="174"/>
      <c r="EB3" s="174"/>
      <c r="EC3" s="174"/>
      <c r="ED3" s="174"/>
      <c r="EE3" s="174"/>
      <c r="EF3" s="174"/>
      <c r="EG3" s="174"/>
      <c r="EH3" s="174"/>
      <c r="EI3" s="174"/>
      <c r="EJ3" s="174"/>
      <c r="EK3" s="174"/>
      <c r="EL3" s="174"/>
      <c r="EM3" s="174"/>
      <c r="EN3" s="174"/>
      <c r="EO3" s="174"/>
      <c r="EP3" s="174"/>
      <c r="EQ3" s="174"/>
      <c r="ER3" s="174"/>
      <c r="ES3" s="174"/>
      <c r="ET3" s="174"/>
      <c r="EU3" s="174"/>
      <c r="EV3" s="174"/>
      <c r="EW3" s="174"/>
      <c r="EX3" s="174"/>
      <c r="EY3" s="174"/>
      <c r="EZ3" s="174"/>
      <c r="FA3" s="174"/>
      <c r="FB3" s="174"/>
      <c r="FC3" s="174"/>
      <c r="FD3" s="174"/>
      <c r="FE3" s="174"/>
      <c r="FF3" s="174"/>
      <c r="FG3" s="174"/>
      <c r="FH3" s="174"/>
      <c r="FI3" s="174"/>
      <c r="FJ3" s="174"/>
      <c r="FK3" s="174"/>
      <c r="FL3" s="174"/>
      <c r="FM3" s="174"/>
      <c r="FN3" s="174"/>
      <c r="FO3" s="174"/>
      <c r="FP3" s="174"/>
      <c r="FQ3" s="174"/>
      <c r="FR3" s="174"/>
      <c r="FS3" s="174"/>
      <c r="FT3" s="174"/>
      <c r="FU3" s="174"/>
      <c r="FV3" s="174"/>
      <c r="FW3" s="174"/>
      <c r="FX3" s="174"/>
      <c r="FY3" s="174"/>
      <c r="FZ3" s="174"/>
      <c r="GA3" s="174"/>
      <c r="GB3" s="174"/>
      <c r="GC3" s="174"/>
      <c r="GD3" s="174"/>
      <c r="GE3" s="174"/>
      <c r="GF3" s="174"/>
      <c r="GG3" s="174"/>
      <c r="GH3" s="174"/>
      <c r="GI3" s="174"/>
      <c r="GJ3" s="174"/>
      <c r="GK3" s="174"/>
      <c r="GL3" s="174"/>
      <c r="GM3" s="174"/>
      <c r="GN3" s="174"/>
      <c r="GO3" s="174"/>
      <c r="GP3" s="174"/>
      <c r="GQ3" s="174"/>
      <c r="GR3" s="174"/>
      <c r="GS3" s="174"/>
      <c r="GT3" s="174"/>
      <c r="GU3" s="174"/>
      <c r="GV3" s="174"/>
      <c r="GW3" s="174"/>
      <c r="GX3" s="174"/>
      <c r="GY3" s="174"/>
      <c r="GZ3" s="174"/>
      <c r="HA3" s="174"/>
      <c r="HB3" s="174"/>
      <c r="HC3" s="174"/>
      <c r="HD3" s="174"/>
      <c r="HE3" s="174"/>
      <c r="HF3" s="174"/>
      <c r="HG3" s="174"/>
      <c r="HH3" s="174"/>
      <c r="HI3" s="174"/>
      <c r="HJ3" s="174"/>
      <c r="HK3" s="174"/>
      <c r="HL3" s="174"/>
      <c r="HM3" s="174"/>
      <c r="HN3" s="174"/>
      <c r="HO3" s="174"/>
      <c r="HP3" s="174"/>
      <c r="HQ3" s="174"/>
      <c r="HR3" s="174"/>
      <c r="HS3" s="174"/>
      <c r="HT3" s="174"/>
      <c r="HU3" s="174"/>
      <c r="HV3" s="174"/>
      <c r="HW3" s="174"/>
      <c r="HX3" s="174"/>
      <c r="HY3" s="174"/>
      <c r="HZ3" s="174"/>
      <c r="IA3" s="174"/>
      <c r="IB3" s="174"/>
      <c r="IC3" s="174"/>
      <c r="ID3" s="174"/>
      <c r="IE3" s="174"/>
      <c r="IF3" s="174"/>
      <c r="IG3" s="174"/>
      <c r="IH3" s="174"/>
      <c r="II3" s="174"/>
      <c r="IJ3" s="174"/>
      <c r="IK3" s="174"/>
      <c r="IL3" s="175"/>
      <c r="IM3" s="176"/>
      <c r="IN3" s="177"/>
    </row>
    <row r="4" s="50" customFormat="true" ht="27" hidden="false" customHeight="true" outlineLevel="1" collapsed="false">
      <c r="A4" s="49" t="s">
        <v>39</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row>
    <row r="5" s="34" customFormat="true" ht="78" hidden="false" customHeight="true" outlineLevel="2" collapsed="false">
      <c r="A5" s="63" t="s">
        <v>2247</v>
      </c>
      <c r="B5" s="57"/>
      <c r="C5" s="57"/>
      <c r="D5" s="53" t="s">
        <v>2248</v>
      </c>
      <c r="E5" s="53" t="s">
        <v>217</v>
      </c>
      <c r="F5" s="54" t="n">
        <v>782.85</v>
      </c>
      <c r="G5" s="55"/>
      <c r="H5" s="56" t="str">
        <f aca="false">IF(ISBLANK(G5),"",IF(ISNUMBER(F5),ROUND(F5*G5,2),"Укажите цену"))</f>
        <v/>
      </c>
      <c r="I5" s="57" t="n">
        <v>159</v>
      </c>
      <c r="J5" s="57" t="n">
        <v>15.39</v>
      </c>
      <c r="K5" s="57" t="s">
        <v>2249</v>
      </c>
      <c r="L5" s="57" t="n">
        <v>14</v>
      </c>
      <c r="M5" s="57" t="s">
        <v>640</v>
      </c>
      <c r="N5" s="57" t="n">
        <v>84</v>
      </c>
      <c r="O5" s="57" t="s">
        <v>641</v>
      </c>
      <c r="P5" s="58" t="n">
        <v>0.074</v>
      </c>
      <c r="Q5" s="119" t="s">
        <v>2250</v>
      </c>
      <c r="R5" s="93" t="s">
        <v>2251</v>
      </c>
      <c r="S5" s="60" t="s">
        <v>96</v>
      </c>
      <c r="T5" s="61"/>
    </row>
    <row r="6" s="34" customFormat="true" ht="78" hidden="false" customHeight="true" outlineLevel="2" collapsed="false">
      <c r="A6" s="63"/>
      <c r="B6" s="57"/>
      <c r="C6" s="57"/>
      <c r="D6" s="53" t="s">
        <v>2252</v>
      </c>
      <c r="E6" s="53" t="s">
        <v>103</v>
      </c>
      <c r="F6" s="54" t="n">
        <v>782.85</v>
      </c>
      <c r="G6" s="55"/>
      <c r="H6" s="56" t="str">
        <f aca="false">IF(ISBLANK(G6),"",IF(ISNUMBER(F6),ROUND(F6*G6,2),"Укажите цену"))</f>
        <v/>
      </c>
      <c r="I6" s="57"/>
      <c r="J6" s="57"/>
      <c r="K6" s="57"/>
      <c r="L6" s="57"/>
      <c r="M6" s="57"/>
      <c r="N6" s="57"/>
      <c r="O6" s="57"/>
      <c r="P6" s="58"/>
      <c r="Q6" s="119"/>
      <c r="R6" s="119"/>
      <c r="S6" s="60"/>
      <c r="T6" s="61"/>
    </row>
    <row r="7" s="34" customFormat="true" ht="60" hidden="false" customHeight="true" outlineLevel="2" collapsed="false">
      <c r="A7" s="63" t="s">
        <v>2253</v>
      </c>
      <c r="B7" s="57"/>
      <c r="C7" s="57"/>
      <c r="D7" s="53" t="s">
        <v>2254</v>
      </c>
      <c r="E7" s="53" t="s">
        <v>217</v>
      </c>
      <c r="F7" s="54" t="n">
        <v>627.91</v>
      </c>
      <c r="G7" s="55"/>
      <c r="H7" s="56" t="str">
        <f aca="false">IF(ISBLANK(G7),"",IF(ISNUMBER(F7),ROUND(F7*G7,2),"Укажите цену"))</f>
        <v/>
      </c>
      <c r="I7" s="57" t="n">
        <v>153</v>
      </c>
      <c r="J7" s="57" t="n">
        <v>14.75</v>
      </c>
      <c r="K7" s="57" t="s">
        <v>2255</v>
      </c>
      <c r="L7" s="57" t="n">
        <v>14</v>
      </c>
      <c r="M7" s="57" t="s">
        <v>640</v>
      </c>
      <c r="N7" s="57" t="n">
        <v>84</v>
      </c>
      <c r="O7" s="57" t="s">
        <v>641</v>
      </c>
      <c r="P7" s="58" t="n">
        <v>0.074</v>
      </c>
      <c r="Q7" s="68" t="s">
        <v>2256</v>
      </c>
      <c r="R7" s="125" t="s">
        <v>2257</v>
      </c>
      <c r="S7" s="60" t="s">
        <v>96</v>
      </c>
      <c r="T7" s="61"/>
    </row>
    <row r="8" s="34" customFormat="true" ht="60" hidden="false" customHeight="true" outlineLevel="2" collapsed="false">
      <c r="A8" s="63"/>
      <c r="B8" s="57"/>
      <c r="C8" s="57"/>
      <c r="D8" s="53" t="s">
        <v>2258</v>
      </c>
      <c r="E8" s="53" t="s">
        <v>103</v>
      </c>
      <c r="F8" s="54" t="n">
        <v>627.91</v>
      </c>
      <c r="G8" s="55"/>
      <c r="H8" s="56" t="str">
        <f aca="false">IF(ISBLANK(G8),"",IF(ISNUMBER(F8),ROUND(F8*G8,2),"Укажите цену"))</f>
        <v/>
      </c>
      <c r="I8" s="57"/>
      <c r="J8" s="57"/>
      <c r="K8" s="57"/>
      <c r="L8" s="57"/>
      <c r="M8" s="57"/>
      <c r="N8" s="57"/>
      <c r="O8" s="57"/>
      <c r="P8" s="58"/>
      <c r="Q8" s="68"/>
      <c r="R8" s="125"/>
      <c r="S8" s="60"/>
      <c r="T8" s="61"/>
    </row>
    <row r="9" s="150" customFormat="true" ht="115" hidden="false" customHeight="true" outlineLevel="2" collapsed="false">
      <c r="A9" s="51" t="s">
        <v>2259</v>
      </c>
      <c r="B9" s="178"/>
      <c r="C9" s="178"/>
      <c r="D9" s="53" t="s">
        <v>2260</v>
      </c>
      <c r="E9" s="53" t="s">
        <v>217</v>
      </c>
      <c r="F9" s="54" t="n">
        <v>554.52</v>
      </c>
      <c r="G9" s="55"/>
      <c r="H9" s="56" t="str">
        <f aca="false">IF(ISBLANK(G9),"",IF(ISNUMBER(F9),ROUND(F9*G9,2),"Укажите цену"))</f>
        <v/>
      </c>
      <c r="I9" s="57" t="n">
        <v>160</v>
      </c>
      <c r="J9" s="57" t="n">
        <v>15.62</v>
      </c>
      <c r="K9" s="57" t="s">
        <v>2261</v>
      </c>
      <c r="L9" s="57" t="n">
        <v>14</v>
      </c>
      <c r="M9" s="57" t="s">
        <v>640</v>
      </c>
      <c r="N9" s="57" t="n">
        <v>84</v>
      </c>
      <c r="O9" s="57" t="s">
        <v>641</v>
      </c>
      <c r="P9" s="58" t="n">
        <v>0.074</v>
      </c>
      <c r="Q9" s="119" t="s">
        <v>2262</v>
      </c>
      <c r="R9" s="93" t="s">
        <v>2263</v>
      </c>
      <c r="S9" s="73" t="s">
        <v>96</v>
      </c>
      <c r="T9" s="173"/>
      <c r="U9" s="149"/>
    </row>
    <row r="10" s="150" customFormat="true" ht="115" hidden="false" customHeight="true" outlineLevel="2" collapsed="false">
      <c r="A10" s="51" t="s">
        <v>2264</v>
      </c>
      <c r="B10" s="178"/>
      <c r="C10" s="178"/>
      <c r="D10" s="53" t="s">
        <v>2265</v>
      </c>
      <c r="E10" s="53" t="s">
        <v>217</v>
      </c>
      <c r="F10" s="54" t="n">
        <v>521.9</v>
      </c>
      <c r="G10" s="55"/>
      <c r="H10" s="56" t="str">
        <f aca="false">IF(ISBLANK(G10),"",IF(ISNUMBER(F10),ROUND(F10*G10,2),"Укажите цену"))</f>
        <v/>
      </c>
      <c r="I10" s="57" t="n">
        <v>163</v>
      </c>
      <c r="J10" s="57" t="n">
        <v>15.8</v>
      </c>
      <c r="K10" s="57" t="s">
        <v>2266</v>
      </c>
      <c r="L10" s="57" t="n">
        <v>14</v>
      </c>
      <c r="M10" s="57" t="s">
        <v>640</v>
      </c>
      <c r="N10" s="57" t="n">
        <v>84</v>
      </c>
      <c r="O10" s="57" t="s">
        <v>641</v>
      </c>
      <c r="P10" s="58" t="n">
        <v>0.074</v>
      </c>
      <c r="Q10" s="119" t="s">
        <v>2267</v>
      </c>
      <c r="R10" s="93" t="s">
        <v>2268</v>
      </c>
      <c r="S10" s="73" t="s">
        <v>96</v>
      </c>
      <c r="T10" s="173"/>
      <c r="U10" s="149"/>
    </row>
    <row r="11" s="150" customFormat="true" ht="115" hidden="false" customHeight="true" outlineLevel="2" collapsed="false">
      <c r="A11" s="51" t="s">
        <v>2269</v>
      </c>
      <c r="B11" s="178"/>
      <c r="C11" s="178"/>
      <c r="D11" s="53" t="s">
        <v>2270</v>
      </c>
      <c r="E11" s="53" t="s">
        <v>217</v>
      </c>
      <c r="F11" s="54" t="n">
        <v>685</v>
      </c>
      <c r="G11" s="55"/>
      <c r="H11" s="56" t="str">
        <f aca="false">IF(ISBLANK(G11),"",IF(ISNUMBER(F11),ROUND(F11*G11,2),"Укажите цену"))</f>
        <v/>
      </c>
      <c r="I11" s="57" t="n">
        <v>166</v>
      </c>
      <c r="J11" s="57" t="n">
        <v>15.9</v>
      </c>
      <c r="K11" s="57" t="s">
        <v>2266</v>
      </c>
      <c r="L11" s="57" t="n">
        <v>14</v>
      </c>
      <c r="M11" s="57" t="s">
        <v>640</v>
      </c>
      <c r="N11" s="57" t="n">
        <v>84</v>
      </c>
      <c r="O11" s="57" t="s">
        <v>641</v>
      </c>
      <c r="P11" s="58" t="n">
        <v>0.074</v>
      </c>
      <c r="Q11" s="119" t="s">
        <v>2271</v>
      </c>
      <c r="R11" s="93" t="s">
        <v>2272</v>
      </c>
      <c r="S11" s="73" t="s">
        <v>96</v>
      </c>
      <c r="T11" s="173"/>
      <c r="U11" s="149"/>
    </row>
    <row r="12" s="180" customFormat="true" ht="6" hidden="false" customHeight="true" outlineLevel="2" collapsed="false">
      <c r="A12" s="179"/>
      <c r="B12" s="128"/>
      <c r="C12" s="128"/>
      <c r="D12" s="53"/>
      <c r="E12" s="53"/>
      <c r="I12" s="128"/>
      <c r="J12" s="128"/>
      <c r="K12" s="128"/>
      <c r="L12" s="128"/>
      <c r="M12" s="128"/>
      <c r="N12" s="128"/>
      <c r="O12" s="128"/>
      <c r="P12" s="128"/>
      <c r="Q12" s="181"/>
      <c r="R12" s="181"/>
      <c r="S12" s="155"/>
      <c r="T12" s="173"/>
    </row>
    <row r="13" s="50" customFormat="true" ht="27" hidden="false" customHeight="true" outlineLevel="1" collapsed="false">
      <c r="A13" s="49" t="s">
        <v>42</v>
      </c>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G13" s="49"/>
      <c r="DH13" s="49"/>
      <c r="DI13" s="49"/>
      <c r="DJ13" s="49"/>
      <c r="DK13" s="49"/>
      <c r="DL13" s="49"/>
      <c r="DM13" s="49"/>
      <c r="DN13" s="49"/>
      <c r="DO13" s="49"/>
      <c r="DP13" s="49"/>
      <c r="DQ13" s="49"/>
      <c r="DR13" s="49"/>
      <c r="DS13" s="49"/>
      <c r="DT13" s="49"/>
      <c r="DU13" s="49"/>
      <c r="DV13" s="49"/>
      <c r="DW13" s="49"/>
      <c r="DX13" s="49"/>
      <c r="DY13" s="49"/>
      <c r="DZ13" s="49"/>
      <c r="EA13" s="49"/>
      <c r="EB13" s="49"/>
      <c r="EC13" s="49"/>
      <c r="ED13" s="49"/>
      <c r="EE13" s="49"/>
      <c r="EF13" s="49"/>
      <c r="EG13" s="49"/>
      <c r="EH13" s="49"/>
      <c r="EI13" s="49"/>
      <c r="EJ13" s="49"/>
      <c r="EK13" s="49"/>
      <c r="EL13" s="49"/>
      <c r="EM13" s="49"/>
      <c r="EN13" s="49"/>
      <c r="EO13" s="49"/>
      <c r="EP13" s="49"/>
      <c r="EQ13" s="49"/>
      <c r="ER13" s="49"/>
      <c r="ES13" s="49"/>
      <c r="ET13" s="49"/>
      <c r="EU13" s="49"/>
      <c r="EV13" s="49"/>
      <c r="EW13" s="49"/>
      <c r="EX13" s="49"/>
      <c r="EY13" s="49"/>
      <c r="EZ13" s="49"/>
      <c r="FA13" s="49"/>
      <c r="FB13" s="49"/>
      <c r="FC13" s="49"/>
      <c r="FD13" s="49"/>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c r="GG13" s="49"/>
      <c r="GH13" s="49"/>
      <c r="GI13" s="49"/>
      <c r="GJ13" s="49"/>
      <c r="GK13" s="49"/>
      <c r="GL13" s="49"/>
      <c r="GM13" s="49"/>
      <c r="GN13" s="49"/>
      <c r="GO13" s="49"/>
      <c r="GP13" s="49"/>
      <c r="GQ13" s="49"/>
      <c r="GR13" s="49"/>
      <c r="GS13" s="49"/>
      <c r="GT13" s="49"/>
      <c r="GU13" s="49"/>
      <c r="GV13" s="49"/>
      <c r="GW13" s="49"/>
      <c r="GX13" s="49"/>
      <c r="GY13" s="49"/>
      <c r="GZ13" s="49"/>
      <c r="HA13" s="49"/>
      <c r="HB13" s="49"/>
      <c r="HC13" s="49"/>
      <c r="HD13" s="49"/>
      <c r="HE13" s="49"/>
      <c r="HF13" s="49"/>
      <c r="HG13" s="49"/>
      <c r="HH13" s="49"/>
      <c r="HI13" s="49"/>
      <c r="HJ13" s="49"/>
      <c r="HK13" s="49"/>
      <c r="HL13" s="49"/>
      <c r="HM13" s="49"/>
      <c r="HN13" s="49"/>
      <c r="HO13" s="49"/>
      <c r="HP13" s="49"/>
      <c r="HQ13" s="49"/>
      <c r="HR13" s="49"/>
      <c r="HS13" s="49"/>
      <c r="HT13" s="49"/>
      <c r="HU13" s="49"/>
      <c r="HV13" s="49"/>
      <c r="HW13" s="49"/>
      <c r="HX13" s="49"/>
      <c r="HY13" s="49"/>
      <c r="HZ13" s="49"/>
      <c r="IA13" s="49"/>
      <c r="IB13" s="49"/>
      <c r="IC13" s="49"/>
      <c r="ID13" s="49"/>
      <c r="IE13" s="49"/>
      <c r="IF13" s="49"/>
      <c r="IG13" s="49"/>
      <c r="IH13" s="49"/>
      <c r="II13" s="49"/>
      <c r="IJ13" s="49"/>
      <c r="IK13" s="49"/>
      <c r="IL13" s="49"/>
      <c r="IM13" s="49"/>
      <c r="IN13" s="49"/>
      <c r="IO13" s="49"/>
      <c r="IP13" s="49"/>
      <c r="IQ13" s="49"/>
      <c r="IR13" s="49"/>
      <c r="IS13" s="49"/>
      <c r="IT13" s="49"/>
      <c r="IU13" s="49"/>
      <c r="IV13" s="49"/>
    </row>
    <row r="14" s="62" customFormat="true" ht="115" hidden="false" customHeight="true" outlineLevel="2" collapsed="false">
      <c r="A14" s="51" t="s">
        <v>2273</v>
      </c>
      <c r="B14" s="52"/>
      <c r="C14" s="57"/>
      <c r="D14" s="53" t="s">
        <v>2274</v>
      </c>
      <c r="E14" s="53" t="s">
        <v>103</v>
      </c>
      <c r="F14" s="54" t="n">
        <v>375.12</v>
      </c>
      <c r="G14" s="55"/>
      <c r="H14" s="56" t="str">
        <f aca="false">IF(ISBLANK(G14),"",IF(ISNUMBER(F14),ROUND(F14*G14,2),"Укажите цену"))</f>
        <v/>
      </c>
      <c r="I14" s="57" t="n">
        <v>84</v>
      </c>
      <c r="J14" s="26" t="n">
        <v>14.57</v>
      </c>
      <c r="K14" s="57" t="s">
        <v>2275</v>
      </c>
      <c r="L14" s="57" t="n">
        <v>25</v>
      </c>
      <c r="M14" s="57" t="s">
        <v>640</v>
      </c>
      <c r="N14" s="57" t="n">
        <v>150</v>
      </c>
      <c r="O14" s="57" t="s">
        <v>641</v>
      </c>
      <c r="P14" s="58" t="n">
        <v>0.074</v>
      </c>
      <c r="Q14" s="124" t="s">
        <v>2276</v>
      </c>
      <c r="R14" s="125" t="s">
        <v>2277</v>
      </c>
      <c r="S14" s="60" t="s">
        <v>96</v>
      </c>
      <c r="T14" s="87"/>
      <c r="U14" s="61"/>
      <c r="V14" s="61"/>
      <c r="W14" s="61"/>
      <c r="X14" s="61"/>
      <c r="Y14" s="61"/>
      <c r="Z14" s="61"/>
    </row>
    <row r="15" s="34" customFormat="true" ht="115" hidden="false" customHeight="true" outlineLevel="2" collapsed="false">
      <c r="A15" s="51" t="s">
        <v>2278</v>
      </c>
      <c r="B15" s="57"/>
      <c r="C15" s="57"/>
      <c r="D15" s="53" t="s">
        <v>2279</v>
      </c>
      <c r="E15" s="53" t="s">
        <v>89</v>
      </c>
      <c r="F15" s="54" t="n">
        <v>562.67</v>
      </c>
      <c r="G15" s="55"/>
      <c r="H15" s="56" t="str">
        <f aca="false">IF(ISBLANK(G15),"",IF(ISNUMBER(F15),ROUND(F15*G15,2),"Укажите цену"))</f>
        <v/>
      </c>
      <c r="I15" s="57" t="n">
        <v>84</v>
      </c>
      <c r="J15" s="57" t="n">
        <v>15.05</v>
      </c>
      <c r="K15" s="57" t="s">
        <v>2280</v>
      </c>
      <c r="L15" s="57" t="n">
        <v>26</v>
      </c>
      <c r="M15" s="57" t="s">
        <v>640</v>
      </c>
      <c r="N15" s="57" t="n">
        <v>156</v>
      </c>
      <c r="O15" s="57" t="s">
        <v>641</v>
      </c>
      <c r="P15" s="58" t="n">
        <v>0.074</v>
      </c>
      <c r="Q15" s="182" t="s">
        <v>2281</v>
      </c>
      <c r="R15" s="125" t="s">
        <v>2282</v>
      </c>
      <c r="S15" s="60" t="s">
        <v>96</v>
      </c>
      <c r="T15" s="173"/>
    </row>
    <row r="16" s="150" customFormat="true" ht="115" hidden="false" customHeight="true" outlineLevel="2" collapsed="false">
      <c r="A16" s="51" t="s">
        <v>2283</v>
      </c>
      <c r="B16" s="75"/>
      <c r="C16" s="57"/>
      <c r="D16" s="53" t="s">
        <v>2284</v>
      </c>
      <c r="E16" s="53" t="s">
        <v>103</v>
      </c>
      <c r="F16" s="54" t="n">
        <v>587.14</v>
      </c>
      <c r="G16" s="55"/>
      <c r="H16" s="56" t="str">
        <f aca="false">IF(ISBLANK(G16),"",IF(ISNUMBER(F16),ROUND(F16*G16,2),"Укажите цену"))</f>
        <v/>
      </c>
      <c r="I16" s="57" t="n">
        <v>149</v>
      </c>
      <c r="J16" s="57" t="n">
        <v>19.9</v>
      </c>
      <c r="K16" s="57" t="s">
        <v>2285</v>
      </c>
      <c r="L16" s="57" t="n">
        <v>20</v>
      </c>
      <c r="M16" s="57" t="s">
        <v>640</v>
      </c>
      <c r="N16" s="57" t="n">
        <v>120</v>
      </c>
      <c r="O16" s="57" t="s">
        <v>641</v>
      </c>
      <c r="P16" s="58" t="n">
        <v>0.074</v>
      </c>
      <c r="Q16" s="119" t="s">
        <v>2286</v>
      </c>
      <c r="R16" s="69" t="s">
        <v>2287</v>
      </c>
      <c r="S16" s="73" t="s">
        <v>96</v>
      </c>
      <c r="T16" s="173"/>
      <c r="U16" s="149"/>
    </row>
    <row r="17" s="150" customFormat="true" ht="115" hidden="false" customHeight="true" outlineLevel="2" collapsed="false">
      <c r="A17" s="51" t="s">
        <v>2288</v>
      </c>
      <c r="B17" s="75"/>
      <c r="C17" s="57"/>
      <c r="D17" s="53" t="s">
        <v>2289</v>
      </c>
      <c r="E17" s="53" t="s">
        <v>103</v>
      </c>
      <c r="F17" s="54" t="n">
        <v>489.28</v>
      </c>
      <c r="G17" s="55"/>
      <c r="H17" s="56" t="str">
        <f aca="false">IF(ISBLANK(G17),"",IF(ISNUMBER(F17),ROUND(F17*G17,2),"Укажите цену"))</f>
        <v/>
      </c>
      <c r="I17" s="57" t="n">
        <v>135</v>
      </c>
      <c r="J17" s="57" t="n">
        <v>18.39</v>
      </c>
      <c r="K17" s="57" t="s">
        <v>2290</v>
      </c>
      <c r="L17" s="57" t="n">
        <v>20</v>
      </c>
      <c r="M17" s="57" t="s">
        <v>640</v>
      </c>
      <c r="N17" s="57" t="n">
        <v>120</v>
      </c>
      <c r="O17" s="57" t="s">
        <v>641</v>
      </c>
      <c r="P17" s="58" t="n">
        <v>0.074</v>
      </c>
      <c r="Q17" s="119" t="s">
        <v>2291</v>
      </c>
      <c r="R17" s="69" t="s">
        <v>2292</v>
      </c>
      <c r="S17" s="73" t="s">
        <v>96</v>
      </c>
      <c r="T17" s="173"/>
      <c r="U17" s="149"/>
    </row>
    <row r="18" s="150" customFormat="true" ht="60" hidden="false" customHeight="true" outlineLevel="2" collapsed="false">
      <c r="A18" s="63" t="s">
        <v>2293</v>
      </c>
      <c r="B18" s="178"/>
      <c r="C18" s="178"/>
      <c r="D18" s="53" t="s">
        <v>2294</v>
      </c>
      <c r="E18" s="53" t="s">
        <v>89</v>
      </c>
      <c r="F18" s="54" t="n">
        <v>505.59</v>
      </c>
      <c r="G18" s="55"/>
      <c r="H18" s="56" t="str">
        <f aca="false">IF(ISBLANK(G18),"",IF(ISNUMBER(F18),ROUND(F18*G18,2),"Укажите цену"))</f>
        <v/>
      </c>
      <c r="I18" s="57" t="n">
        <v>122</v>
      </c>
      <c r="J18" s="57" t="n">
        <v>14.45</v>
      </c>
      <c r="K18" s="57" t="s">
        <v>2295</v>
      </c>
      <c r="L18" s="57" t="n">
        <v>17</v>
      </c>
      <c r="M18" s="57" t="s">
        <v>640</v>
      </c>
      <c r="N18" s="57" t="n">
        <v>102</v>
      </c>
      <c r="O18" s="57" t="s">
        <v>641</v>
      </c>
      <c r="P18" s="58" t="n">
        <v>0.074</v>
      </c>
      <c r="Q18" s="119" t="s">
        <v>2296</v>
      </c>
      <c r="R18" s="93" t="s">
        <v>2297</v>
      </c>
      <c r="S18" s="73" t="s">
        <v>96</v>
      </c>
      <c r="T18" s="173"/>
      <c r="U18" s="149"/>
    </row>
    <row r="19" s="150" customFormat="true" ht="60" hidden="false" customHeight="true" outlineLevel="2" collapsed="false">
      <c r="A19" s="63"/>
      <c r="B19" s="63"/>
      <c r="C19" s="63"/>
      <c r="D19" s="53" t="s">
        <v>2298</v>
      </c>
      <c r="E19" s="53" t="s">
        <v>103</v>
      </c>
      <c r="F19" s="54" t="n">
        <v>505.59</v>
      </c>
      <c r="G19" s="55"/>
      <c r="H19" s="56" t="str">
        <f aca="false">IF(ISBLANK(G19),"",IF(ISNUMBER(F19),ROUND(F19*G19,2),"Укажите цену"))</f>
        <v/>
      </c>
      <c r="I19" s="57"/>
      <c r="J19" s="57"/>
      <c r="K19" s="57"/>
      <c r="L19" s="57"/>
      <c r="M19" s="57"/>
      <c r="N19" s="57"/>
      <c r="O19" s="57"/>
      <c r="P19" s="57"/>
      <c r="Q19" s="119"/>
      <c r="R19" s="119"/>
      <c r="S19" s="73"/>
      <c r="T19" s="173"/>
      <c r="U19" s="149"/>
    </row>
    <row r="20" s="150" customFormat="true" ht="60" hidden="false" customHeight="true" outlineLevel="2" collapsed="false">
      <c r="A20" s="63" t="s">
        <v>2299</v>
      </c>
      <c r="B20" s="75"/>
      <c r="C20" s="57"/>
      <c r="D20" s="53" t="s">
        <v>2300</v>
      </c>
      <c r="E20" s="53" t="s">
        <v>89</v>
      </c>
      <c r="F20" s="54" t="n">
        <v>521.9</v>
      </c>
      <c r="G20" s="55"/>
      <c r="H20" s="56" t="str">
        <f aca="false">IF(ISBLANK(G20),"",IF(ISNUMBER(F20),ROUND(F20*G20,2),"Укажите цену"))</f>
        <v/>
      </c>
      <c r="I20" s="57" t="n">
        <v>110</v>
      </c>
      <c r="J20" s="57" t="n">
        <v>16.6</v>
      </c>
      <c r="K20" s="57" t="s">
        <v>2301</v>
      </c>
      <c r="L20" s="57" t="n">
        <v>22</v>
      </c>
      <c r="M20" s="57" t="s">
        <v>640</v>
      </c>
      <c r="N20" s="57" t="n">
        <v>132</v>
      </c>
      <c r="O20" s="57" t="s">
        <v>641</v>
      </c>
      <c r="P20" s="58" t="n">
        <v>0.074</v>
      </c>
      <c r="Q20" s="119" t="s">
        <v>2302</v>
      </c>
      <c r="R20" s="93" t="s">
        <v>2303</v>
      </c>
      <c r="S20" s="73" t="s">
        <v>96</v>
      </c>
      <c r="T20" s="173"/>
      <c r="U20" s="149"/>
    </row>
    <row r="21" s="150" customFormat="true" ht="60" hidden="false" customHeight="true" outlineLevel="2" collapsed="false">
      <c r="A21" s="63"/>
      <c r="B21" s="75"/>
      <c r="C21" s="57"/>
      <c r="D21" s="53" t="s">
        <v>2304</v>
      </c>
      <c r="E21" s="53" t="s">
        <v>103</v>
      </c>
      <c r="F21" s="54" t="n">
        <v>521.9</v>
      </c>
      <c r="G21" s="55"/>
      <c r="H21" s="56" t="str">
        <f aca="false">IF(ISBLANK(G21),"",IF(ISNUMBER(F21),ROUND(F21*G21,2),"Укажите цену"))</f>
        <v/>
      </c>
      <c r="I21" s="57"/>
      <c r="J21" s="57"/>
      <c r="K21" s="57"/>
      <c r="L21" s="57"/>
      <c r="M21" s="57"/>
      <c r="N21" s="57"/>
      <c r="O21" s="57"/>
      <c r="P21" s="57"/>
      <c r="Q21" s="119"/>
      <c r="R21" s="119"/>
      <c r="S21" s="73"/>
      <c r="T21" s="173"/>
      <c r="U21" s="149"/>
    </row>
    <row r="22" s="150" customFormat="true" ht="115" hidden="false" customHeight="true" outlineLevel="2" collapsed="false">
      <c r="A22" s="51" t="s">
        <v>2305</v>
      </c>
      <c r="B22" s="75"/>
      <c r="C22" s="57"/>
      <c r="D22" s="53" t="s">
        <v>2306</v>
      </c>
      <c r="E22" s="53" t="s">
        <v>103</v>
      </c>
      <c r="F22" s="54" t="n">
        <v>489.28</v>
      </c>
      <c r="G22" s="55"/>
      <c r="H22" s="56" t="str">
        <f aca="false">IF(ISBLANK(G22),"",IF(ISNUMBER(F22),ROUND(F22*G22,2),"Укажите цену"))</f>
        <v/>
      </c>
      <c r="I22" s="57" t="n">
        <v>117</v>
      </c>
      <c r="J22" s="57" t="n">
        <v>17.6</v>
      </c>
      <c r="K22" s="57" t="s">
        <v>2307</v>
      </c>
      <c r="L22" s="57" t="n">
        <v>22</v>
      </c>
      <c r="M22" s="57" t="s">
        <v>640</v>
      </c>
      <c r="N22" s="57" t="n">
        <v>132</v>
      </c>
      <c r="O22" s="57" t="s">
        <v>641</v>
      </c>
      <c r="P22" s="58" t="n">
        <v>0.074</v>
      </c>
      <c r="Q22" s="68" t="s">
        <v>2308</v>
      </c>
      <c r="R22" s="93" t="s">
        <v>2309</v>
      </c>
      <c r="S22" s="73" t="s">
        <v>96</v>
      </c>
      <c r="T22" s="173"/>
      <c r="U22" s="149"/>
    </row>
    <row r="23" s="150" customFormat="true" ht="115" hidden="false" customHeight="true" outlineLevel="2" collapsed="false">
      <c r="A23" s="51" t="s">
        <v>2310</v>
      </c>
      <c r="B23" s="178"/>
      <c r="C23" s="178"/>
      <c r="D23" s="53" t="s">
        <v>2311</v>
      </c>
      <c r="E23" s="53" t="s">
        <v>103</v>
      </c>
      <c r="F23" s="54" t="n">
        <v>424.04</v>
      </c>
      <c r="G23" s="55"/>
      <c r="H23" s="56" t="str">
        <f aca="false">IF(ISBLANK(G23),"",IF(ISNUMBER(F23),ROUND(F23*G23,2),"Укажите цену"))</f>
        <v/>
      </c>
      <c r="I23" s="57" t="n">
        <v>121</v>
      </c>
      <c r="J23" s="57" t="n">
        <v>17.8</v>
      </c>
      <c r="K23" s="57" t="s">
        <v>2312</v>
      </c>
      <c r="L23" s="57" t="n">
        <v>22</v>
      </c>
      <c r="M23" s="57" t="s">
        <v>640</v>
      </c>
      <c r="N23" s="57" t="n">
        <v>132</v>
      </c>
      <c r="O23" s="57" t="s">
        <v>641</v>
      </c>
      <c r="P23" s="58" t="n">
        <v>0.074</v>
      </c>
      <c r="Q23" s="119" t="s">
        <v>2313</v>
      </c>
      <c r="R23" s="93" t="s">
        <v>2314</v>
      </c>
      <c r="S23" s="73" t="s">
        <v>96</v>
      </c>
      <c r="T23" s="173"/>
      <c r="U23" s="149"/>
    </row>
    <row r="24" s="150" customFormat="true" ht="115" hidden="false" customHeight="true" outlineLevel="2" collapsed="false">
      <c r="A24" s="51" t="s">
        <v>2315</v>
      </c>
      <c r="B24" s="178"/>
      <c r="C24" s="178"/>
      <c r="D24" s="53" t="s">
        <v>2316</v>
      </c>
      <c r="E24" s="53" t="s">
        <v>103</v>
      </c>
      <c r="F24" s="54" t="n">
        <v>570.83</v>
      </c>
      <c r="G24" s="55"/>
      <c r="H24" s="56" t="str">
        <f aca="false">IF(ISBLANK(G24),"",IF(ISNUMBER(F24),ROUND(F24*G24,2),"Укажите цену"))</f>
        <v/>
      </c>
      <c r="I24" s="57" t="n">
        <v>160</v>
      </c>
      <c r="J24" s="57" t="n">
        <v>18.3</v>
      </c>
      <c r="K24" s="57" t="s">
        <v>2295</v>
      </c>
      <c r="L24" s="57" t="n">
        <v>17</v>
      </c>
      <c r="M24" s="57" t="s">
        <v>640</v>
      </c>
      <c r="N24" s="57" t="n">
        <v>102</v>
      </c>
      <c r="O24" s="57" t="s">
        <v>641</v>
      </c>
      <c r="P24" s="58" t="n">
        <v>0.074</v>
      </c>
      <c r="Q24" s="119" t="s">
        <v>2317</v>
      </c>
      <c r="R24" s="93" t="s">
        <v>2318</v>
      </c>
      <c r="S24" s="73" t="s">
        <v>96</v>
      </c>
      <c r="T24" s="173"/>
      <c r="U24" s="149"/>
    </row>
    <row r="25" s="150" customFormat="true" ht="115" hidden="false" customHeight="true" outlineLevel="2" collapsed="false">
      <c r="A25" s="51" t="s">
        <v>2319</v>
      </c>
      <c r="B25" s="178"/>
      <c r="C25" s="178"/>
      <c r="D25" s="53" t="s">
        <v>2320</v>
      </c>
      <c r="E25" s="53" t="s">
        <v>103</v>
      </c>
      <c r="F25" s="54" t="n">
        <v>456.66</v>
      </c>
      <c r="G25" s="55"/>
      <c r="H25" s="56" t="str">
        <f aca="false">IF(ISBLANK(G25),"",IF(ISNUMBER(F25),ROUND(F25*G25,2),"Укажите цену"))</f>
        <v/>
      </c>
      <c r="I25" s="57" t="n">
        <v>153</v>
      </c>
      <c r="J25" s="57" t="n">
        <v>17.5</v>
      </c>
      <c r="K25" s="57" t="s">
        <v>2295</v>
      </c>
      <c r="L25" s="57" t="n">
        <v>17</v>
      </c>
      <c r="M25" s="57" t="s">
        <v>640</v>
      </c>
      <c r="N25" s="57" t="n">
        <v>102</v>
      </c>
      <c r="O25" s="57" t="s">
        <v>641</v>
      </c>
      <c r="P25" s="58" t="n">
        <v>0.074</v>
      </c>
      <c r="Q25" s="119" t="s">
        <v>2321</v>
      </c>
      <c r="R25" s="93" t="s">
        <v>2322</v>
      </c>
      <c r="S25" s="73" t="s">
        <v>96</v>
      </c>
      <c r="T25" s="173"/>
      <c r="U25" s="149"/>
    </row>
    <row r="26" s="150" customFormat="true" ht="115" hidden="false" customHeight="true" outlineLevel="2" collapsed="false">
      <c r="A26" s="51" t="s">
        <v>2323</v>
      </c>
      <c r="B26" s="178"/>
      <c r="C26" s="178"/>
      <c r="D26" s="53" t="s">
        <v>2324</v>
      </c>
      <c r="E26" s="53" t="s">
        <v>103</v>
      </c>
      <c r="F26" s="54" t="n">
        <v>407.74</v>
      </c>
      <c r="G26" s="55"/>
      <c r="H26" s="56" t="str">
        <f aca="false">IF(ISBLANK(G26),"",IF(ISNUMBER(F26),ROUND(F26*G26,2),"Укажите цену"))</f>
        <v/>
      </c>
      <c r="I26" s="57" t="n">
        <v>123</v>
      </c>
      <c r="J26" s="57" t="n">
        <v>18.17</v>
      </c>
      <c r="K26" s="57" t="s">
        <v>2312</v>
      </c>
      <c r="L26" s="57" t="n">
        <v>22</v>
      </c>
      <c r="M26" s="57" t="s">
        <v>640</v>
      </c>
      <c r="N26" s="57" t="n">
        <v>132</v>
      </c>
      <c r="O26" s="57" t="s">
        <v>641</v>
      </c>
      <c r="P26" s="58" t="n">
        <v>0.074</v>
      </c>
      <c r="Q26" s="119" t="s">
        <v>2325</v>
      </c>
      <c r="R26" s="93" t="s">
        <v>2326</v>
      </c>
      <c r="S26" s="73" t="s">
        <v>96</v>
      </c>
      <c r="T26" s="173"/>
      <c r="U26" s="149"/>
    </row>
    <row r="27" s="150" customFormat="true" ht="115" hidden="false" customHeight="true" outlineLevel="2" collapsed="false">
      <c r="A27" s="51" t="s">
        <v>2327</v>
      </c>
      <c r="B27" s="178"/>
      <c r="C27" s="178"/>
      <c r="D27" s="53" t="s">
        <v>2328</v>
      </c>
      <c r="E27" s="53" t="s">
        <v>103</v>
      </c>
      <c r="F27" s="54" t="n">
        <v>440.35</v>
      </c>
      <c r="G27" s="55"/>
      <c r="H27" s="56" t="str">
        <f aca="false">IF(ISBLANK(G27),"",IF(ISNUMBER(F27),ROUND(F27*G27,2),"Укажите цену"))</f>
        <v/>
      </c>
      <c r="I27" s="57" t="n">
        <v>149</v>
      </c>
      <c r="J27" s="57" t="n">
        <v>17.2</v>
      </c>
      <c r="K27" s="57" t="s">
        <v>2295</v>
      </c>
      <c r="L27" s="57" t="n">
        <v>17</v>
      </c>
      <c r="M27" s="57" t="s">
        <v>640</v>
      </c>
      <c r="N27" s="57" t="n">
        <v>102</v>
      </c>
      <c r="O27" s="57" t="s">
        <v>641</v>
      </c>
      <c r="P27" s="58" t="n">
        <v>0.074</v>
      </c>
      <c r="Q27" s="119" t="s">
        <v>2329</v>
      </c>
      <c r="R27" s="93" t="s">
        <v>2330</v>
      </c>
      <c r="S27" s="73" t="s">
        <v>96</v>
      </c>
      <c r="T27" s="173"/>
      <c r="U27" s="149"/>
    </row>
    <row r="28" s="150" customFormat="true" ht="115" hidden="false" customHeight="true" outlineLevel="2" collapsed="false">
      <c r="A28" s="51" t="s">
        <v>2331</v>
      </c>
      <c r="B28" s="178"/>
      <c r="C28" s="178"/>
      <c r="D28" s="53" t="s">
        <v>2332</v>
      </c>
      <c r="E28" s="53" t="s">
        <v>103</v>
      </c>
      <c r="F28" s="54" t="n">
        <v>407.74</v>
      </c>
      <c r="G28" s="55"/>
      <c r="H28" s="56" t="str">
        <f aca="false">IF(ISBLANK(G28),"",IF(ISNUMBER(F28),ROUND(F28*G28,2),"Укажите цену"))</f>
        <v/>
      </c>
      <c r="I28" s="57" t="n">
        <v>123</v>
      </c>
      <c r="J28" s="57" t="n">
        <v>18.27</v>
      </c>
      <c r="K28" s="57" t="s">
        <v>2312</v>
      </c>
      <c r="L28" s="57" t="n">
        <v>22</v>
      </c>
      <c r="M28" s="57" t="s">
        <v>640</v>
      </c>
      <c r="N28" s="57" t="n">
        <v>132</v>
      </c>
      <c r="O28" s="57" t="s">
        <v>641</v>
      </c>
      <c r="P28" s="58" t="n">
        <v>0.074</v>
      </c>
      <c r="Q28" s="119" t="s">
        <v>2333</v>
      </c>
      <c r="R28" s="93" t="s">
        <v>2334</v>
      </c>
      <c r="S28" s="73" t="s">
        <v>96</v>
      </c>
      <c r="T28" s="173"/>
      <c r="U28" s="149"/>
    </row>
    <row r="29" s="180" customFormat="true" ht="60" hidden="false" customHeight="true" outlineLevel="2" collapsed="false">
      <c r="A29" s="63" t="s">
        <v>2335</v>
      </c>
      <c r="B29" s="57"/>
      <c r="C29" s="57"/>
      <c r="D29" s="53" t="s">
        <v>2336</v>
      </c>
      <c r="E29" s="53" t="s">
        <v>217</v>
      </c>
      <c r="F29" s="54" t="n">
        <v>407.74</v>
      </c>
      <c r="G29" s="55"/>
      <c r="H29" s="56" t="str">
        <f aca="false">IF(ISBLANK(G29),"",IF(ISNUMBER(F29),ROUND(F29*G29,2),"Укажите цену"))</f>
        <v/>
      </c>
      <c r="I29" s="57" t="n">
        <v>109</v>
      </c>
      <c r="J29" s="57" t="n">
        <v>16.27</v>
      </c>
      <c r="K29" s="57" t="s">
        <v>2312</v>
      </c>
      <c r="L29" s="57" t="n">
        <v>22</v>
      </c>
      <c r="M29" s="57" t="s">
        <v>640</v>
      </c>
      <c r="N29" s="57" t="n">
        <v>132</v>
      </c>
      <c r="O29" s="57" t="s">
        <v>641</v>
      </c>
      <c r="P29" s="58" t="n">
        <v>0.074</v>
      </c>
      <c r="Q29" s="59" t="s">
        <v>2337</v>
      </c>
      <c r="R29" s="93" t="s">
        <v>2338</v>
      </c>
      <c r="S29" s="73" t="s">
        <v>96</v>
      </c>
      <c r="T29" s="173"/>
    </row>
    <row r="30" s="180" customFormat="true" ht="60" hidden="false" customHeight="true" outlineLevel="2" collapsed="false">
      <c r="A30" s="63"/>
      <c r="B30" s="57"/>
      <c r="C30" s="57"/>
      <c r="D30" s="53" t="s">
        <v>2339</v>
      </c>
      <c r="E30" s="53" t="s">
        <v>103</v>
      </c>
      <c r="F30" s="54" t="n">
        <v>407.74</v>
      </c>
      <c r="G30" s="55"/>
      <c r="H30" s="56" t="str">
        <f aca="false">IF(ISBLANK(G30),"",IF(ISNUMBER(F30),ROUND(F30*G30,2),"Укажите цену"))</f>
        <v/>
      </c>
      <c r="I30" s="57"/>
      <c r="J30" s="57"/>
      <c r="K30" s="57"/>
      <c r="L30" s="57"/>
      <c r="M30" s="57"/>
      <c r="N30" s="57"/>
      <c r="O30" s="57"/>
      <c r="P30" s="57"/>
      <c r="Q30" s="59"/>
      <c r="R30" s="93"/>
      <c r="S30" s="73"/>
      <c r="T30" s="173"/>
    </row>
    <row r="31" s="180" customFormat="true" ht="115" hidden="false" customHeight="true" outlineLevel="2" collapsed="false">
      <c r="A31" s="51" t="s">
        <v>2340</v>
      </c>
      <c r="B31" s="57"/>
      <c r="C31" s="57"/>
      <c r="D31" s="53" t="s">
        <v>2341</v>
      </c>
      <c r="E31" s="53" t="s">
        <v>103</v>
      </c>
      <c r="F31" s="54" t="n">
        <v>570.83</v>
      </c>
      <c r="G31" s="55"/>
      <c r="H31" s="56" t="str">
        <f aca="false">IF(ISBLANK(G31),"",IF(ISNUMBER(F31),ROUND(F31*G31,2),"Укажите цену"))</f>
        <v/>
      </c>
      <c r="I31" s="57" t="n">
        <v>121</v>
      </c>
      <c r="J31" s="57" t="n">
        <v>18</v>
      </c>
      <c r="K31" s="57" t="s">
        <v>2342</v>
      </c>
      <c r="L31" s="57" t="n">
        <v>22</v>
      </c>
      <c r="M31" s="57" t="s">
        <v>640</v>
      </c>
      <c r="N31" s="57" t="n">
        <v>132</v>
      </c>
      <c r="O31" s="57" t="s">
        <v>641</v>
      </c>
      <c r="P31" s="58" t="n">
        <v>0.074</v>
      </c>
      <c r="Q31" s="59" t="s">
        <v>2343</v>
      </c>
      <c r="R31" s="93" t="s">
        <v>2344</v>
      </c>
      <c r="S31" s="73" t="s">
        <v>96</v>
      </c>
      <c r="T31" s="173"/>
    </row>
    <row r="32" s="180" customFormat="true" ht="115" hidden="false" customHeight="true" outlineLevel="2" collapsed="false">
      <c r="A32" s="51" t="s">
        <v>2345</v>
      </c>
      <c r="B32" s="57"/>
      <c r="C32" s="57"/>
      <c r="D32" s="53" t="s">
        <v>2346</v>
      </c>
      <c r="E32" s="53" t="s">
        <v>103</v>
      </c>
      <c r="F32" s="54" t="n">
        <v>489.28</v>
      </c>
      <c r="G32" s="55"/>
      <c r="H32" s="56" t="str">
        <f aca="false">IF(ISBLANK(G32),"",IF(ISNUMBER(F32),ROUND(F32*G32,2),"Укажите цену"))</f>
        <v/>
      </c>
      <c r="I32" s="57" t="n">
        <v>119</v>
      </c>
      <c r="J32" s="57" t="n">
        <v>17.9</v>
      </c>
      <c r="K32" s="57" t="s">
        <v>2312</v>
      </c>
      <c r="L32" s="57" t="n">
        <v>22</v>
      </c>
      <c r="M32" s="57" t="s">
        <v>640</v>
      </c>
      <c r="N32" s="57" t="n">
        <v>132</v>
      </c>
      <c r="O32" s="57" t="s">
        <v>641</v>
      </c>
      <c r="P32" s="58" t="n">
        <v>0.074</v>
      </c>
      <c r="Q32" s="59" t="s">
        <v>2347</v>
      </c>
      <c r="R32" s="93" t="s">
        <v>2348</v>
      </c>
      <c r="S32" s="73" t="s">
        <v>96</v>
      </c>
      <c r="T32" s="173"/>
    </row>
    <row r="33" s="180" customFormat="true" ht="115" hidden="false" customHeight="true" outlineLevel="2" collapsed="false">
      <c r="A33" s="51" t="s">
        <v>2349</v>
      </c>
      <c r="B33" s="57"/>
      <c r="C33" s="57"/>
      <c r="D33" s="53" t="s">
        <v>2350</v>
      </c>
      <c r="E33" s="53" t="s">
        <v>103</v>
      </c>
      <c r="F33" s="54" t="n">
        <v>538.21</v>
      </c>
      <c r="G33" s="55"/>
      <c r="H33" s="56" t="str">
        <f aca="false">IF(ISBLANK(G33),"",IF(ISNUMBER(F33),ROUND(F33*G33,2),"Укажите цену"))</f>
        <v/>
      </c>
      <c r="I33" s="57" t="n">
        <v>153</v>
      </c>
      <c r="J33" s="57" t="n">
        <v>17.6</v>
      </c>
      <c r="K33" s="57" t="s">
        <v>2295</v>
      </c>
      <c r="L33" s="57" t="n">
        <v>17</v>
      </c>
      <c r="M33" s="57" t="s">
        <v>640</v>
      </c>
      <c r="N33" s="57" t="n">
        <v>102</v>
      </c>
      <c r="O33" s="57" t="s">
        <v>641</v>
      </c>
      <c r="P33" s="58" t="n">
        <v>0.074</v>
      </c>
      <c r="Q33" s="59" t="s">
        <v>2351</v>
      </c>
      <c r="R33" s="93" t="s">
        <v>2352</v>
      </c>
      <c r="S33" s="73" t="s">
        <v>96</v>
      </c>
      <c r="T33" s="173"/>
    </row>
    <row r="34" s="180" customFormat="true" ht="115" hidden="false" customHeight="true" outlineLevel="2" collapsed="false">
      <c r="A34" s="51" t="s">
        <v>2353</v>
      </c>
      <c r="B34" s="57"/>
      <c r="C34" s="57"/>
      <c r="D34" s="53" t="s">
        <v>2354</v>
      </c>
      <c r="E34" s="53" t="s">
        <v>103</v>
      </c>
      <c r="F34" s="54" t="n">
        <v>472.97</v>
      </c>
      <c r="G34" s="55"/>
      <c r="H34" s="56" t="str">
        <f aca="false">IF(ISBLANK(G34),"",IF(ISNUMBER(F34),ROUND(F34*G34,2),"Укажите цену"))</f>
        <v/>
      </c>
      <c r="I34" s="57" t="n">
        <v>124</v>
      </c>
      <c r="J34" s="57" t="n">
        <v>18.6</v>
      </c>
      <c r="K34" s="57" t="s">
        <v>2312</v>
      </c>
      <c r="L34" s="57" t="n">
        <v>22</v>
      </c>
      <c r="M34" s="57" t="s">
        <v>640</v>
      </c>
      <c r="N34" s="57" t="n">
        <v>132</v>
      </c>
      <c r="O34" s="57" t="s">
        <v>641</v>
      </c>
      <c r="P34" s="58" t="n">
        <v>0.074</v>
      </c>
      <c r="Q34" s="59" t="s">
        <v>2355</v>
      </c>
      <c r="R34" s="93" t="s">
        <v>2356</v>
      </c>
      <c r="S34" s="73" t="s">
        <v>96</v>
      </c>
      <c r="T34" s="173"/>
    </row>
    <row r="35" s="180" customFormat="true" ht="115" hidden="false" customHeight="true" outlineLevel="2" collapsed="false">
      <c r="A35" s="51" t="s">
        <v>2357</v>
      </c>
      <c r="B35" s="57"/>
      <c r="C35" s="57"/>
      <c r="D35" s="53" t="s">
        <v>2358</v>
      </c>
      <c r="E35" s="53" t="s">
        <v>103</v>
      </c>
      <c r="F35" s="54" t="n">
        <v>521.9</v>
      </c>
      <c r="G35" s="55"/>
      <c r="H35" s="56" t="str">
        <f aca="false">IF(ISBLANK(G35),"",IF(ISNUMBER(F35),ROUND(F35*G35,2),"Укажите цену"))</f>
        <v/>
      </c>
      <c r="I35" s="57" t="n">
        <v>151</v>
      </c>
      <c r="J35" s="57" t="n">
        <v>17.4</v>
      </c>
      <c r="K35" s="57" t="s">
        <v>2295</v>
      </c>
      <c r="L35" s="57" t="n">
        <v>17</v>
      </c>
      <c r="M35" s="57" t="s">
        <v>640</v>
      </c>
      <c r="N35" s="57" t="n">
        <v>102</v>
      </c>
      <c r="O35" s="57" t="s">
        <v>641</v>
      </c>
      <c r="P35" s="58" t="n">
        <v>0.074</v>
      </c>
      <c r="Q35" s="59" t="s">
        <v>2359</v>
      </c>
      <c r="R35" s="93" t="s">
        <v>2360</v>
      </c>
      <c r="S35" s="73" t="s">
        <v>96</v>
      </c>
      <c r="T35" s="173"/>
    </row>
    <row r="36" s="180" customFormat="true" ht="115" hidden="false" customHeight="true" outlineLevel="2" collapsed="false">
      <c r="A36" s="51" t="s">
        <v>2361</v>
      </c>
      <c r="B36" s="57"/>
      <c r="C36" s="57"/>
      <c r="D36" s="53" t="s">
        <v>2362</v>
      </c>
      <c r="E36" s="53" t="s">
        <v>103</v>
      </c>
      <c r="F36" s="54" t="n">
        <v>456.66</v>
      </c>
      <c r="G36" s="55"/>
      <c r="H36" s="56" t="str">
        <f aca="false">IF(ISBLANK(G36),"",IF(ISNUMBER(F36),ROUND(F36*G36,2),"Укажите цену"))</f>
        <v/>
      </c>
      <c r="I36" s="57" t="n">
        <v>126</v>
      </c>
      <c r="J36" s="57" t="n">
        <v>18.7</v>
      </c>
      <c r="K36" s="57" t="s">
        <v>2312</v>
      </c>
      <c r="L36" s="57" t="n">
        <v>22</v>
      </c>
      <c r="M36" s="57" t="s">
        <v>640</v>
      </c>
      <c r="N36" s="57" t="n">
        <v>132</v>
      </c>
      <c r="O36" s="57" t="s">
        <v>641</v>
      </c>
      <c r="P36" s="58" t="n">
        <v>0.074</v>
      </c>
      <c r="Q36" s="59" t="s">
        <v>2363</v>
      </c>
      <c r="R36" s="93" t="s">
        <v>2364</v>
      </c>
      <c r="S36" s="73" t="s">
        <v>96</v>
      </c>
      <c r="T36" s="173"/>
    </row>
    <row r="37" s="180" customFormat="true" ht="115" hidden="false" customHeight="true" outlineLevel="2" collapsed="false">
      <c r="A37" s="51" t="s">
        <v>2365</v>
      </c>
      <c r="B37" s="57"/>
      <c r="C37" s="57"/>
      <c r="D37" s="53" t="s">
        <v>2366</v>
      </c>
      <c r="E37" s="53" t="s">
        <v>103</v>
      </c>
      <c r="F37" s="54" t="n">
        <v>994.87</v>
      </c>
      <c r="G37" s="55"/>
      <c r="H37" s="56" t="str">
        <f aca="false">IF(ISBLANK(G37),"",IF(ISNUMBER(F37),ROUND(F37*G37,2),"Укажите цену"))</f>
        <v/>
      </c>
      <c r="I37" s="57" t="n">
        <v>155</v>
      </c>
      <c r="J37" s="57" t="n">
        <v>17.9</v>
      </c>
      <c r="K37" s="57" t="s">
        <v>2367</v>
      </c>
      <c r="L37" s="57" t="n">
        <v>17</v>
      </c>
      <c r="M37" s="57" t="s">
        <v>640</v>
      </c>
      <c r="N37" s="57" t="n">
        <v>102</v>
      </c>
      <c r="O37" s="57" t="s">
        <v>641</v>
      </c>
      <c r="P37" s="58" t="n">
        <v>0.074</v>
      </c>
      <c r="Q37" s="59" t="s">
        <v>2368</v>
      </c>
      <c r="R37" s="93" t="s">
        <v>2369</v>
      </c>
      <c r="S37" s="73" t="s">
        <v>96</v>
      </c>
      <c r="T37" s="173"/>
    </row>
    <row r="38" s="180" customFormat="true" ht="55" hidden="false" customHeight="true" outlineLevel="2" collapsed="false">
      <c r="A38" s="63" t="s">
        <v>2370</v>
      </c>
      <c r="B38" s="57"/>
      <c r="C38" s="57"/>
      <c r="D38" s="53" t="s">
        <v>2371</v>
      </c>
      <c r="E38" s="53" t="s">
        <v>2372</v>
      </c>
      <c r="F38" s="54" t="n">
        <v>554.52</v>
      </c>
      <c r="G38" s="55"/>
      <c r="H38" s="56" t="str">
        <f aca="false">IF(ISBLANK(G38),"",IF(ISNUMBER(F38),ROUND(F38*G38,2),"Укажите цену"))</f>
        <v/>
      </c>
      <c r="I38" s="57" t="n">
        <v>116</v>
      </c>
      <c r="J38" s="57" t="n">
        <v>17.25</v>
      </c>
      <c r="K38" s="57" t="s">
        <v>2373</v>
      </c>
      <c r="L38" s="57" t="n">
        <v>22</v>
      </c>
      <c r="M38" s="57" t="s">
        <v>640</v>
      </c>
      <c r="N38" s="57" t="n">
        <v>132</v>
      </c>
      <c r="O38" s="57" t="s">
        <v>641</v>
      </c>
      <c r="P38" s="58" t="n">
        <v>0.074</v>
      </c>
      <c r="Q38" s="59" t="s">
        <v>2374</v>
      </c>
      <c r="R38" s="77" t="s">
        <v>2375</v>
      </c>
      <c r="S38" s="73" t="s">
        <v>96</v>
      </c>
      <c r="T38" s="173"/>
    </row>
    <row r="39" s="180" customFormat="true" ht="55" hidden="false" customHeight="true" outlineLevel="2" collapsed="false">
      <c r="A39" s="63"/>
      <c r="B39" s="57"/>
      <c r="C39" s="57"/>
      <c r="D39" s="53" t="s">
        <v>2376</v>
      </c>
      <c r="E39" s="53" t="s">
        <v>2377</v>
      </c>
      <c r="F39" s="54" t="n">
        <v>554.52</v>
      </c>
      <c r="G39" s="55"/>
      <c r="H39" s="56" t="str">
        <f aca="false">IF(ISBLANK(G39),"",IF(ISNUMBER(F39),ROUND(F39*G39,2),"Укажите цену"))</f>
        <v/>
      </c>
      <c r="I39" s="57"/>
      <c r="J39" s="57"/>
      <c r="K39" s="57"/>
      <c r="L39" s="57"/>
      <c r="M39" s="57"/>
      <c r="N39" s="57"/>
      <c r="O39" s="57"/>
      <c r="P39" s="57"/>
      <c r="Q39" s="59"/>
      <c r="R39" s="77"/>
      <c r="S39" s="73"/>
      <c r="T39" s="173"/>
    </row>
    <row r="40" s="180" customFormat="true" ht="55" hidden="false" customHeight="true" outlineLevel="2" collapsed="false">
      <c r="A40" s="63"/>
      <c r="B40" s="57"/>
      <c r="C40" s="57"/>
      <c r="D40" s="53" t="s">
        <v>2378</v>
      </c>
      <c r="E40" s="53" t="s">
        <v>2379</v>
      </c>
      <c r="F40" s="54" t="n">
        <v>554.52</v>
      </c>
      <c r="G40" s="55"/>
      <c r="H40" s="56" t="str">
        <f aca="false">IF(ISBLANK(G40),"",IF(ISNUMBER(F40),ROUND(F40*G40,2),"Укажите цену"))</f>
        <v/>
      </c>
      <c r="I40" s="57"/>
      <c r="J40" s="57"/>
      <c r="K40" s="57"/>
      <c r="L40" s="57"/>
      <c r="M40" s="57"/>
      <c r="N40" s="57"/>
      <c r="O40" s="57"/>
      <c r="P40" s="57"/>
      <c r="Q40" s="59"/>
      <c r="R40" s="77"/>
      <c r="S40" s="73"/>
      <c r="T40" s="173"/>
    </row>
    <row r="41" s="180" customFormat="true" ht="55" hidden="false" customHeight="true" outlineLevel="2" collapsed="false">
      <c r="A41" s="63"/>
      <c r="B41" s="57"/>
      <c r="C41" s="57"/>
      <c r="D41" s="53" t="s">
        <v>2380</v>
      </c>
      <c r="E41" s="53" t="s">
        <v>2381</v>
      </c>
      <c r="F41" s="54" t="n">
        <v>554.52</v>
      </c>
      <c r="G41" s="55"/>
      <c r="H41" s="56" t="str">
        <f aca="false">IF(ISBLANK(G41),"",IF(ISNUMBER(F41),ROUND(F41*G41,2),"Укажите цену"))</f>
        <v/>
      </c>
      <c r="I41" s="57"/>
      <c r="J41" s="57"/>
      <c r="K41" s="57"/>
      <c r="L41" s="57"/>
      <c r="M41" s="57"/>
      <c r="N41" s="57"/>
      <c r="O41" s="57"/>
      <c r="P41" s="57"/>
      <c r="Q41" s="59"/>
      <c r="R41" s="77"/>
      <c r="S41" s="73"/>
      <c r="T41" s="173"/>
    </row>
    <row r="42" s="180" customFormat="true" ht="55" hidden="false" customHeight="true" outlineLevel="2" collapsed="false">
      <c r="A42" s="63"/>
      <c r="B42" s="57"/>
      <c r="C42" s="57"/>
      <c r="D42" s="53" t="s">
        <v>2382</v>
      </c>
      <c r="E42" s="53" t="s">
        <v>2383</v>
      </c>
      <c r="F42" s="54" t="n">
        <v>554.52</v>
      </c>
      <c r="G42" s="55"/>
      <c r="H42" s="56" t="str">
        <f aca="false">IF(ISBLANK(G42),"",IF(ISNUMBER(F42),ROUND(F42*G42,2),"Укажите цену"))</f>
        <v/>
      </c>
      <c r="I42" s="57"/>
      <c r="J42" s="57"/>
      <c r="K42" s="57"/>
      <c r="L42" s="57"/>
      <c r="M42" s="57"/>
      <c r="N42" s="57"/>
      <c r="O42" s="57"/>
      <c r="P42" s="57"/>
      <c r="Q42" s="59"/>
      <c r="R42" s="77"/>
      <c r="S42" s="73"/>
      <c r="T42" s="173"/>
    </row>
    <row r="43" customFormat="false" ht="30" hidden="false" customHeight="true" outlineLevel="1" collapsed="false">
      <c r="F43" s="109" t="s">
        <v>633</v>
      </c>
      <c r="G43" s="109"/>
      <c r="H43" s="109" t="n">
        <f aca="false">IF(COUNTIFS(H5:H42,"Укажите цену")&gt;0,"Укажите цены",SUM(H5:H42))</f>
        <v>0</v>
      </c>
    </row>
    <row r="44" customFormat="false" ht="50.1" hidden="false" customHeight="true" outlineLevel="0" collapsed="false">
      <c r="T44" s="173"/>
    </row>
    <row r="45" customFormat="false" ht="50.1" hidden="false" customHeight="true" outlineLevel="0" collapsed="false">
      <c r="T45" s="173"/>
    </row>
    <row r="46" customFormat="false" ht="50.1" hidden="false" customHeight="true" outlineLevel="0" collapsed="false">
      <c r="T46" s="173"/>
    </row>
  </sheetData>
  <mergeCells count="89">
    <mergeCell ref="A1:Q1"/>
    <mergeCell ref="A2:H2"/>
    <mergeCell ref="A4:H4"/>
    <mergeCell ref="A5:A6"/>
    <mergeCell ref="B5:B6"/>
    <mergeCell ref="C5:C6"/>
    <mergeCell ref="I5:I6"/>
    <mergeCell ref="J5:J6"/>
    <mergeCell ref="K5:K6"/>
    <mergeCell ref="L5:L6"/>
    <mergeCell ref="M5:M6"/>
    <mergeCell ref="N5:N6"/>
    <mergeCell ref="O5:O6"/>
    <mergeCell ref="P5:P6"/>
    <mergeCell ref="Q5:Q6"/>
    <mergeCell ref="R5:R6"/>
    <mergeCell ref="S5:S6"/>
    <mergeCell ref="A7:A8"/>
    <mergeCell ref="B7:B8"/>
    <mergeCell ref="C7:C8"/>
    <mergeCell ref="I7:I8"/>
    <mergeCell ref="J7:J8"/>
    <mergeCell ref="K7:K8"/>
    <mergeCell ref="L7:L8"/>
    <mergeCell ref="M7:M8"/>
    <mergeCell ref="N7:N8"/>
    <mergeCell ref="O7:O8"/>
    <mergeCell ref="P7:P8"/>
    <mergeCell ref="Q7:Q8"/>
    <mergeCell ref="R7:R8"/>
    <mergeCell ref="S7:S8"/>
    <mergeCell ref="A13:H13"/>
    <mergeCell ref="A18:A19"/>
    <mergeCell ref="B18:B19"/>
    <mergeCell ref="C18:C19"/>
    <mergeCell ref="I18:I19"/>
    <mergeCell ref="J18:J19"/>
    <mergeCell ref="K18:K19"/>
    <mergeCell ref="L18:L19"/>
    <mergeCell ref="M18:M19"/>
    <mergeCell ref="N18:N19"/>
    <mergeCell ref="O18:O19"/>
    <mergeCell ref="P18:P19"/>
    <mergeCell ref="Q18:Q19"/>
    <mergeCell ref="R18:R19"/>
    <mergeCell ref="S18:S19"/>
    <mergeCell ref="A20:A21"/>
    <mergeCell ref="B20:B21"/>
    <mergeCell ref="C20:C21"/>
    <mergeCell ref="I20:I21"/>
    <mergeCell ref="J20:J21"/>
    <mergeCell ref="K20:K21"/>
    <mergeCell ref="L20:L21"/>
    <mergeCell ref="M20:M21"/>
    <mergeCell ref="N20:N21"/>
    <mergeCell ref="O20:O21"/>
    <mergeCell ref="P20:P21"/>
    <mergeCell ref="Q20:Q21"/>
    <mergeCell ref="R20:R21"/>
    <mergeCell ref="S20:S21"/>
    <mergeCell ref="A29:A30"/>
    <mergeCell ref="B29:B30"/>
    <mergeCell ref="C29:C30"/>
    <mergeCell ref="I29:I30"/>
    <mergeCell ref="J29:J30"/>
    <mergeCell ref="K29:K30"/>
    <mergeCell ref="L29:L30"/>
    <mergeCell ref="M29:M30"/>
    <mergeCell ref="N29:N30"/>
    <mergeCell ref="O29:O30"/>
    <mergeCell ref="P29:P30"/>
    <mergeCell ref="Q29:Q30"/>
    <mergeCell ref="R29:R30"/>
    <mergeCell ref="S29:S30"/>
    <mergeCell ref="A38:A42"/>
    <mergeCell ref="B38:B42"/>
    <mergeCell ref="C38:C42"/>
    <mergeCell ref="I38:I42"/>
    <mergeCell ref="J38:J42"/>
    <mergeCell ref="K38:K42"/>
    <mergeCell ref="L38:L42"/>
    <mergeCell ref="M38:M42"/>
    <mergeCell ref="N38:N42"/>
    <mergeCell ref="O38:O42"/>
    <mergeCell ref="P38:P42"/>
    <mergeCell ref="Q38:Q42"/>
    <mergeCell ref="R38:R42"/>
    <mergeCell ref="S38:S42"/>
    <mergeCell ref="F43:G43"/>
  </mergeCells>
  <hyperlinks>
    <hyperlink ref="R5" r:id="rId1" display="http://gofile.me/649X4/cBxkaH4LQ"/>
    <hyperlink ref="R7" r:id="rId2" display="http://gofile.me/649X4/vMXnYl4B0"/>
    <hyperlink ref="R9" r:id="rId3" display="http://gofile.me/649X4/KvEmfVGZ1"/>
    <hyperlink ref="R10" r:id="rId4" display="http://gofile.me/649X4/1iHNOR26O"/>
    <hyperlink ref="R11" r:id="rId5" display="http://gofile.me/649X4/azk2eLEz0"/>
    <hyperlink ref="R14" r:id="rId6" display="http://gofile.me/649X4/NPc0BxIM0"/>
    <hyperlink ref="R15" r:id="rId7" display="http://gofile.me/649X4/mJbRWriZj"/>
    <hyperlink ref="R16" r:id="rId8" display="http://gofile.me/649X4/T8AJ9GZlE"/>
    <hyperlink ref="R17" r:id="rId9" display="http://gofile.me/649X4/nrOQ2ltaD"/>
    <hyperlink ref="R18" r:id="rId10" display="http://gofile.me/649X4/flRuJr0jt"/>
    <hyperlink ref="R20" r:id="rId11" display="http://gofile.me/649X4/JAddvEy4J"/>
    <hyperlink ref="R22" r:id="rId12" display="http://gofile.me/649X4/3CIp3U0IN"/>
    <hyperlink ref="R23" r:id="rId13" display="http://gofile.me/649X4/iyq9cxfEg"/>
    <hyperlink ref="R24" r:id="rId14" display="http://gofile.me/649X4/nWYoib9I1"/>
    <hyperlink ref="R25" r:id="rId15" display="http://gofile.me/649X4/OmsG8t035"/>
    <hyperlink ref="R26" r:id="rId16" display="http://gofile.me/649X4/Et1GjRaMu"/>
    <hyperlink ref="R27" r:id="rId17" display="http://gofile.me/649X4/ZslsssyqW"/>
    <hyperlink ref="R28" r:id="rId18" display="http://gofile.me/649X4/qclbMNQBo"/>
    <hyperlink ref="R29" r:id="rId19" display="http://gofile.me/649X4/UYzM14k9g"/>
    <hyperlink ref="R31" r:id="rId20" display="http://gofile.me/649X4/Nvj2W8mVr"/>
    <hyperlink ref="R32" r:id="rId21" display="http://gofile.me/649X4/UO7LdpVuR"/>
    <hyperlink ref="R33" r:id="rId22" display="http://gofile.me/649X4/pENzxDdad"/>
    <hyperlink ref="R34" r:id="rId23" display="http://gofile.me/649X4/J2pLbOBtb"/>
    <hyperlink ref="R35" r:id="rId24" display="http://gofile.me/649X4/qlSYsq2HX"/>
    <hyperlink ref="R36" r:id="rId25" display="http://gofile.me/649X4/GMAk7bxF7"/>
    <hyperlink ref="R37" r:id="rId26" display="http://gofile.me/649X4/LZpnubTJp"/>
    <hyperlink ref="R38" r:id="rId27" display="http://gofile.me/649X4/So5JPgjDi"/>
  </hyperlinks>
  <printOptions headings="false" gridLines="false" gridLinesSet="true" horizontalCentered="false" verticalCentered="false"/>
  <pageMargins left="0.279861111111111" right="0.240277777777778" top="0.309722222222222"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drawing r:id="rId28"/>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22"/>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33" width="46"/>
    <col collapsed="false" customWidth="true" hidden="false" outlineLevel="0" max="3" min="2" style="34" width="18"/>
    <col collapsed="false" customWidth="true" hidden="false" outlineLevel="0" max="4" min="4" style="35" width="20"/>
    <col collapsed="false" customWidth="true" hidden="false" outlineLevel="0" max="5" min="5" style="35"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10" min="9" style="39" width="7.42"/>
    <col collapsed="false" customWidth="true" hidden="false" outlineLevel="0" max="11" min="11" style="39" width="10.7"/>
    <col collapsed="false" customWidth="true" hidden="false" outlineLevel="0" max="12" min="12" style="39" width="7.63"/>
    <col collapsed="false" customWidth="true" hidden="false" outlineLevel="0" max="13" min="13" style="39" width="11.2"/>
    <col collapsed="false" customWidth="true" hidden="false" outlineLevel="0" max="14" min="14" style="39" width="7.63"/>
    <col collapsed="false" customWidth="true" hidden="false" outlineLevel="0" max="15" min="15" style="39" width="11.7"/>
    <col collapsed="false" customWidth="true" hidden="false" outlineLevel="0" max="16" min="16" style="183" width="7.63"/>
    <col collapsed="false" customWidth="true" hidden="false" outlineLevel="0" max="17" min="17" style="39" width="70"/>
    <col collapsed="false" customWidth="true" hidden="false" outlineLevel="0" max="18" min="18" style="115" width="8.37"/>
    <col collapsed="false" customWidth="true" hidden="false" outlineLevel="0" max="19" min="19" style="115" width="7.75"/>
    <col collapsed="false" customWidth="true" hidden="false" outlineLevel="0" max="20" min="20" style="42" width="7.63"/>
    <col collapsed="false" customWidth="true" hidden="false" outlineLevel="0" max="21" min="21" style="39" width="11.12"/>
    <col collapsed="false" customWidth="true" hidden="false" outlineLevel="0" max="33" min="22" style="39" width="9"/>
    <col collapsed="false" customWidth="false" hidden="false" outlineLevel="0" max="98" min="34"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2384</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row>
    <row r="4" s="50" customFormat="true" ht="27" hidden="false" customHeight="true" outlineLevel="1" collapsed="false">
      <c r="A4" s="49" t="s">
        <v>2385</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34" customFormat="true" ht="60" hidden="false" customHeight="true" outlineLevel="2" collapsed="false">
      <c r="A5" s="63" t="s">
        <v>2386</v>
      </c>
      <c r="B5" s="57"/>
      <c r="C5" s="57"/>
      <c r="D5" s="53" t="s">
        <v>2387</v>
      </c>
      <c r="E5" s="53" t="s">
        <v>217</v>
      </c>
      <c r="F5" s="54" t="n">
        <v>530.06</v>
      </c>
      <c r="G5" s="55"/>
      <c r="H5" s="56" t="str">
        <f aca="false">IF(ISBLANK(G5),"",IF(ISNUMBER(F5),ROUND(F5*G5,2),"Укажите цену"))</f>
        <v/>
      </c>
      <c r="I5" s="57" t="n">
        <v>267</v>
      </c>
      <c r="J5" s="57" t="n">
        <v>16.55</v>
      </c>
      <c r="K5" s="57" t="s">
        <v>2388</v>
      </c>
      <c r="L5" s="57" t="s">
        <v>91</v>
      </c>
      <c r="M5" s="57" t="s">
        <v>92</v>
      </c>
      <c r="N5" s="57" t="n">
        <v>60</v>
      </c>
      <c r="O5" s="57" t="s">
        <v>2389</v>
      </c>
      <c r="P5" s="58" t="n">
        <v>0.0319488</v>
      </c>
      <c r="Q5" s="68" t="s">
        <v>2390</v>
      </c>
      <c r="R5" s="91" t="s">
        <v>2391</v>
      </c>
      <c r="S5" s="60" t="s">
        <v>96</v>
      </c>
      <c r="T5" s="173"/>
    </row>
    <row r="6" s="34" customFormat="true" ht="60" hidden="false" customHeight="true" outlineLevel="2" collapsed="false">
      <c r="A6" s="63"/>
      <c r="B6" s="57"/>
      <c r="C6" s="57"/>
      <c r="D6" s="53" t="s">
        <v>2392</v>
      </c>
      <c r="E6" s="53" t="s">
        <v>1414</v>
      </c>
      <c r="F6" s="54" t="n">
        <v>530.06</v>
      </c>
      <c r="G6" s="55"/>
      <c r="H6" s="56" t="str">
        <f aca="false">IF(ISBLANK(G6),"",IF(ISNUMBER(F6),ROUND(F6*G6,2),"Укажите цену"))</f>
        <v/>
      </c>
      <c r="I6" s="57"/>
      <c r="J6" s="57"/>
      <c r="K6" s="57"/>
      <c r="L6" s="57"/>
      <c r="M6" s="57"/>
      <c r="N6" s="57"/>
      <c r="O6" s="57"/>
      <c r="P6" s="58"/>
      <c r="Q6" s="68"/>
      <c r="R6" s="91"/>
      <c r="S6" s="60"/>
      <c r="T6" s="173"/>
    </row>
    <row r="7" s="34" customFormat="true" ht="60" hidden="false" customHeight="true" outlineLevel="2" collapsed="false">
      <c r="A7" s="63" t="s">
        <v>2393</v>
      </c>
      <c r="B7" s="57"/>
      <c r="C7" s="57"/>
      <c r="D7" s="53" t="s">
        <v>2394</v>
      </c>
      <c r="E7" s="53" t="s">
        <v>217</v>
      </c>
      <c r="F7" s="54" t="n">
        <v>578.98</v>
      </c>
      <c r="G7" s="55"/>
      <c r="H7" s="56" t="str">
        <f aca="false">IF(ISBLANK(G7),"",IF(ISNUMBER(F7),ROUND(F7*G7,2),"Укажите цену"))</f>
        <v/>
      </c>
      <c r="I7" s="57" t="n">
        <v>633</v>
      </c>
      <c r="J7" s="57" t="n">
        <v>19.75</v>
      </c>
      <c r="K7" s="57" t="s">
        <v>2395</v>
      </c>
      <c r="L7" s="57" t="s">
        <v>91</v>
      </c>
      <c r="M7" s="57" t="s">
        <v>92</v>
      </c>
      <c r="N7" s="57" t="n">
        <v>30</v>
      </c>
      <c r="O7" s="57" t="s">
        <v>2396</v>
      </c>
      <c r="P7" s="58" t="n">
        <v>0.0556198</v>
      </c>
      <c r="Q7" s="68" t="s">
        <v>2397</v>
      </c>
      <c r="R7" s="91" t="s">
        <v>2398</v>
      </c>
      <c r="S7" s="60" t="s">
        <v>96</v>
      </c>
      <c r="T7" s="173"/>
    </row>
    <row r="8" s="34" customFormat="true" ht="60" hidden="false" customHeight="true" outlineLevel="2" collapsed="false">
      <c r="A8" s="63"/>
      <c r="B8" s="57"/>
      <c r="C8" s="57"/>
      <c r="D8" s="53" t="s">
        <v>2399</v>
      </c>
      <c r="E8" s="53" t="s">
        <v>1414</v>
      </c>
      <c r="F8" s="54" t="n">
        <v>578.98</v>
      </c>
      <c r="G8" s="55"/>
      <c r="H8" s="56" t="str">
        <f aca="false">IF(ISBLANK(G8),"",IF(ISNUMBER(F8),ROUND(F8*G8,2),"Укажите цену"))</f>
        <v/>
      </c>
      <c r="I8" s="57"/>
      <c r="J8" s="57"/>
      <c r="K8" s="57"/>
      <c r="L8" s="57"/>
      <c r="M8" s="57"/>
      <c r="N8" s="57"/>
      <c r="O8" s="57"/>
      <c r="P8" s="58"/>
      <c r="Q8" s="68"/>
      <c r="R8" s="91"/>
      <c r="S8" s="60"/>
      <c r="T8" s="173"/>
    </row>
    <row r="9" s="34" customFormat="true" ht="60" hidden="false" customHeight="true" outlineLevel="2" collapsed="false">
      <c r="A9" s="63" t="s">
        <v>2400</v>
      </c>
      <c r="B9" s="57"/>
      <c r="C9" s="57"/>
      <c r="D9" s="53" t="s">
        <v>2401</v>
      </c>
      <c r="E9" s="53" t="s">
        <v>217</v>
      </c>
      <c r="F9" s="54" t="n">
        <v>456.66</v>
      </c>
      <c r="G9" s="55"/>
      <c r="H9" s="56" t="str">
        <f aca="false">IF(ISBLANK(G9),"",IF(ISNUMBER(F9),ROUND(F9*G9,2),"Укажите цену"))</f>
        <v/>
      </c>
      <c r="I9" s="57" t="n">
        <v>442</v>
      </c>
      <c r="J9" s="57" t="n">
        <v>18.45</v>
      </c>
      <c r="K9" s="57" t="s">
        <v>2402</v>
      </c>
      <c r="L9" s="57" t="s">
        <v>91</v>
      </c>
      <c r="M9" s="57" t="s">
        <v>92</v>
      </c>
      <c r="N9" s="57" t="n">
        <v>40</v>
      </c>
      <c r="O9" s="57" t="s">
        <v>2403</v>
      </c>
      <c r="P9" s="58" t="n">
        <v>0.054</v>
      </c>
      <c r="Q9" s="90" t="s">
        <v>2404</v>
      </c>
      <c r="R9" s="91" t="s">
        <v>2405</v>
      </c>
      <c r="S9" s="60" t="s">
        <v>96</v>
      </c>
      <c r="T9" s="173"/>
    </row>
    <row r="10" s="34" customFormat="true" ht="60" hidden="false" customHeight="true" outlineLevel="2" collapsed="false">
      <c r="A10" s="63"/>
      <c r="B10" s="57"/>
      <c r="C10" s="57"/>
      <c r="D10" s="53" t="s">
        <v>2406</v>
      </c>
      <c r="E10" s="53" t="s">
        <v>1414</v>
      </c>
      <c r="F10" s="54" t="n">
        <v>456.66</v>
      </c>
      <c r="G10" s="55"/>
      <c r="H10" s="56" t="str">
        <f aca="false">IF(ISBLANK(G10),"",IF(ISNUMBER(F10),ROUND(F10*G10,2),"Укажите цену"))</f>
        <v/>
      </c>
      <c r="I10" s="57"/>
      <c r="J10" s="57"/>
      <c r="K10" s="57"/>
      <c r="L10" s="57"/>
      <c r="M10" s="57"/>
      <c r="N10" s="57"/>
      <c r="O10" s="57"/>
      <c r="P10" s="58"/>
      <c r="Q10" s="90"/>
      <c r="R10" s="91"/>
      <c r="S10" s="60"/>
      <c r="T10" s="173"/>
    </row>
    <row r="11" s="34" customFormat="true" ht="60" hidden="false" customHeight="true" outlineLevel="2" collapsed="false">
      <c r="A11" s="63" t="s">
        <v>2407</v>
      </c>
      <c r="B11" s="57"/>
      <c r="C11" s="57"/>
      <c r="D11" s="53" t="s">
        <v>2408</v>
      </c>
      <c r="E11" s="53" t="s">
        <v>217</v>
      </c>
      <c r="F11" s="54" t="n">
        <v>448.51</v>
      </c>
      <c r="G11" s="55"/>
      <c r="H11" s="56" t="str">
        <f aca="false">IF(ISBLANK(G11),"",IF(ISNUMBER(F11),ROUND(F11*G11,2),"Укажите цену"))</f>
        <v/>
      </c>
      <c r="I11" s="57" t="n">
        <v>431</v>
      </c>
      <c r="J11" s="57" t="n">
        <v>22.4</v>
      </c>
      <c r="K11" s="57" t="s">
        <v>2409</v>
      </c>
      <c r="L11" s="57" t="s">
        <v>91</v>
      </c>
      <c r="M11" s="57" t="s">
        <v>92</v>
      </c>
      <c r="N11" s="57" t="n">
        <v>50</v>
      </c>
      <c r="O11" s="57" t="s">
        <v>2410</v>
      </c>
      <c r="P11" s="58" t="n">
        <v>0.071</v>
      </c>
      <c r="Q11" s="68" t="s">
        <v>2411</v>
      </c>
      <c r="R11" s="91" t="s">
        <v>2412</v>
      </c>
      <c r="S11" s="60" t="s">
        <v>96</v>
      </c>
      <c r="T11" s="173"/>
    </row>
    <row r="12" s="34" customFormat="true" ht="60" hidden="false" customHeight="true" outlineLevel="2" collapsed="false">
      <c r="A12" s="63"/>
      <c r="B12" s="57"/>
      <c r="C12" s="57"/>
      <c r="D12" s="53" t="s">
        <v>2413</v>
      </c>
      <c r="E12" s="53" t="s">
        <v>2414</v>
      </c>
      <c r="F12" s="54" t="n">
        <v>448.51</v>
      </c>
      <c r="G12" s="55"/>
      <c r="H12" s="56" t="str">
        <f aca="false">IF(ISBLANK(G12),"",IF(ISNUMBER(F12),ROUND(F12*G12,2),"Укажите цену"))</f>
        <v/>
      </c>
      <c r="I12" s="57"/>
      <c r="J12" s="57"/>
      <c r="K12" s="57"/>
      <c r="L12" s="57"/>
      <c r="M12" s="57"/>
      <c r="N12" s="57"/>
      <c r="O12" s="57"/>
      <c r="P12" s="58"/>
      <c r="Q12" s="68"/>
      <c r="R12" s="91"/>
      <c r="S12" s="60"/>
      <c r="T12" s="173"/>
    </row>
    <row r="13" s="34" customFormat="true" ht="60" hidden="false" customHeight="true" outlineLevel="2" collapsed="false">
      <c r="A13" s="63" t="s">
        <v>2415</v>
      </c>
      <c r="B13" s="57"/>
      <c r="C13" s="57"/>
      <c r="D13" s="53" t="s">
        <v>2416</v>
      </c>
      <c r="E13" s="53" t="s">
        <v>89</v>
      </c>
      <c r="F13" s="54" t="n">
        <v>448.51</v>
      </c>
      <c r="G13" s="55"/>
      <c r="H13" s="56" t="str">
        <f aca="false">IF(ISBLANK(G13),"",IF(ISNUMBER(F13),ROUND(F13*G13,2),"Укажите цену"))</f>
        <v/>
      </c>
      <c r="I13" s="57" t="n">
        <v>299</v>
      </c>
      <c r="J13" s="57" t="n">
        <v>18.4</v>
      </c>
      <c r="K13" s="57" t="s">
        <v>2417</v>
      </c>
      <c r="L13" s="57" t="s">
        <v>91</v>
      </c>
      <c r="M13" s="57" t="s">
        <v>92</v>
      </c>
      <c r="N13" s="57" t="n">
        <v>60</v>
      </c>
      <c r="O13" s="57" t="s">
        <v>2418</v>
      </c>
      <c r="P13" s="58" t="n">
        <v>0.047</v>
      </c>
      <c r="Q13" s="68" t="s">
        <v>2419</v>
      </c>
      <c r="R13" s="91" t="s">
        <v>2420</v>
      </c>
      <c r="S13" s="60" t="s">
        <v>96</v>
      </c>
      <c r="T13" s="173"/>
    </row>
    <row r="14" s="34" customFormat="true" ht="60" hidden="false" customHeight="true" outlineLevel="2" collapsed="false">
      <c r="A14" s="63"/>
      <c r="B14" s="57"/>
      <c r="C14" s="57"/>
      <c r="D14" s="53" t="s">
        <v>2421</v>
      </c>
      <c r="E14" s="53" t="s">
        <v>2422</v>
      </c>
      <c r="F14" s="54" t="n">
        <v>448.51</v>
      </c>
      <c r="G14" s="55"/>
      <c r="H14" s="56" t="str">
        <f aca="false">IF(ISBLANK(G14),"",IF(ISNUMBER(F14),ROUND(F14*G14,2),"Укажите цену"))</f>
        <v/>
      </c>
      <c r="I14" s="57"/>
      <c r="J14" s="57"/>
      <c r="K14" s="57"/>
      <c r="L14" s="57"/>
      <c r="M14" s="57"/>
      <c r="N14" s="57"/>
      <c r="O14" s="57"/>
      <c r="P14" s="58"/>
      <c r="Q14" s="68"/>
      <c r="R14" s="91"/>
      <c r="S14" s="60"/>
      <c r="T14" s="173"/>
    </row>
    <row r="15" s="34" customFormat="true" ht="60" hidden="false" customHeight="true" outlineLevel="2" collapsed="false">
      <c r="A15" s="63" t="s">
        <v>2423</v>
      </c>
      <c r="B15" s="57"/>
      <c r="C15" s="57"/>
      <c r="D15" s="53" t="s">
        <v>2424</v>
      </c>
      <c r="E15" s="53" t="s">
        <v>2425</v>
      </c>
      <c r="F15" s="54" t="n">
        <v>570.83</v>
      </c>
      <c r="G15" s="55"/>
      <c r="H15" s="56" t="str">
        <f aca="false">IF(ISBLANK(G15),"",IF(ISNUMBER(F15),ROUND(F15*G15,2),"Укажите цену"))</f>
        <v/>
      </c>
      <c r="I15" s="57" t="n">
        <v>518</v>
      </c>
      <c r="J15" s="57" t="n">
        <v>21.47</v>
      </c>
      <c r="K15" s="57" t="s">
        <v>2426</v>
      </c>
      <c r="L15" s="57" t="s">
        <v>91</v>
      </c>
      <c r="M15" s="57" t="s">
        <v>92</v>
      </c>
      <c r="N15" s="57" t="n">
        <v>40</v>
      </c>
      <c r="O15" s="57" t="s">
        <v>2427</v>
      </c>
      <c r="P15" s="58" t="n">
        <v>0.062</v>
      </c>
      <c r="Q15" s="68" t="s">
        <v>2428</v>
      </c>
      <c r="R15" s="93" t="s">
        <v>2429</v>
      </c>
      <c r="S15" s="60" t="s">
        <v>96</v>
      </c>
      <c r="T15" s="173"/>
    </row>
    <row r="16" s="34" customFormat="true" ht="60" hidden="false" customHeight="true" outlineLevel="2" collapsed="false">
      <c r="A16" s="63"/>
      <c r="B16" s="57"/>
      <c r="C16" s="57"/>
      <c r="D16" s="53" t="s">
        <v>2430</v>
      </c>
      <c r="E16" s="53" t="s">
        <v>2422</v>
      </c>
      <c r="F16" s="54" t="n">
        <v>570.83</v>
      </c>
      <c r="G16" s="55"/>
      <c r="H16" s="56" t="str">
        <f aca="false">IF(ISBLANK(G16),"",IF(ISNUMBER(F16),ROUND(F16*G16,2),"Укажите цену"))</f>
        <v/>
      </c>
      <c r="I16" s="57"/>
      <c r="J16" s="57"/>
      <c r="K16" s="57"/>
      <c r="L16" s="57"/>
      <c r="M16" s="57"/>
      <c r="N16" s="57"/>
      <c r="O16" s="57"/>
      <c r="P16" s="58"/>
      <c r="Q16" s="68"/>
      <c r="R16" s="93"/>
      <c r="S16" s="60"/>
      <c r="T16" s="173"/>
    </row>
    <row r="17" s="34" customFormat="true" ht="115" hidden="false" customHeight="true" outlineLevel="2" collapsed="false">
      <c r="A17" s="51" t="s">
        <v>2431</v>
      </c>
      <c r="B17" s="57"/>
      <c r="C17" s="57"/>
      <c r="D17" s="53" t="s">
        <v>2432</v>
      </c>
      <c r="E17" s="53" t="s">
        <v>89</v>
      </c>
      <c r="F17" s="54" t="n">
        <v>530.06</v>
      </c>
      <c r="G17" s="55"/>
      <c r="H17" s="56" t="str">
        <f aca="false">IF(ISBLANK(G17),"",IF(ISNUMBER(F17),ROUND(F17*G17,2),"Укажите цену"))</f>
        <v/>
      </c>
      <c r="I17" s="57" t="n">
        <v>347</v>
      </c>
      <c r="J17" s="57" t="n">
        <v>21.42</v>
      </c>
      <c r="K17" s="57" t="s">
        <v>2433</v>
      </c>
      <c r="L17" s="57" t="s">
        <v>91</v>
      </c>
      <c r="M17" s="57" t="s">
        <v>92</v>
      </c>
      <c r="N17" s="57" t="n">
        <v>60</v>
      </c>
      <c r="O17" s="57" t="s">
        <v>2434</v>
      </c>
      <c r="P17" s="58" t="n">
        <v>0.061</v>
      </c>
      <c r="Q17" s="92" t="s">
        <v>2435</v>
      </c>
      <c r="R17" s="69" t="s">
        <v>2436</v>
      </c>
      <c r="S17" s="60" t="s">
        <v>96</v>
      </c>
      <c r="T17" s="173"/>
    </row>
    <row r="18" s="62" customFormat="true" ht="115" hidden="false" customHeight="true" outlineLevel="2" collapsed="false">
      <c r="A18" s="51" t="s">
        <v>2437</v>
      </c>
      <c r="B18" s="184"/>
      <c r="C18" s="185"/>
      <c r="D18" s="53" t="s">
        <v>2438</v>
      </c>
      <c r="E18" s="53" t="s">
        <v>217</v>
      </c>
      <c r="F18" s="54" t="n">
        <v>570.83</v>
      </c>
      <c r="G18" s="55"/>
      <c r="H18" s="56" t="str">
        <f aca="false">IF(ISBLANK(G18),"",IF(ISNUMBER(F18),ROUND(F18*G18,2),"Укажите цену"))</f>
        <v/>
      </c>
      <c r="I18" s="186" t="n">
        <v>477</v>
      </c>
      <c r="J18" s="186" t="n">
        <v>19.9</v>
      </c>
      <c r="K18" s="186" t="s">
        <v>2439</v>
      </c>
      <c r="L18" s="186" t="s">
        <v>91</v>
      </c>
      <c r="M18" s="186" t="s">
        <v>92</v>
      </c>
      <c r="N18" s="186" t="n">
        <v>40</v>
      </c>
      <c r="O18" s="186" t="s">
        <v>2440</v>
      </c>
      <c r="P18" s="58" t="n">
        <v>0.058</v>
      </c>
      <c r="Q18" s="187" t="s">
        <v>2441</v>
      </c>
      <c r="R18" s="69" t="s">
        <v>2442</v>
      </c>
      <c r="S18" s="60" t="s">
        <v>96</v>
      </c>
      <c r="T18" s="173"/>
      <c r="U18" s="61"/>
      <c r="V18" s="61"/>
      <c r="W18" s="61"/>
      <c r="X18" s="61"/>
      <c r="Y18" s="61"/>
      <c r="Z18" s="61"/>
    </row>
    <row r="19" s="70" customFormat="true" ht="115" hidden="false" customHeight="true" outlineLevel="2" collapsed="false">
      <c r="A19" s="51" t="s">
        <v>2443</v>
      </c>
      <c r="B19" s="185"/>
      <c r="C19" s="185"/>
      <c r="D19" s="53" t="s">
        <v>2444</v>
      </c>
      <c r="E19" s="53" t="s">
        <v>89</v>
      </c>
      <c r="F19" s="54" t="n">
        <v>472.97</v>
      </c>
      <c r="G19" s="55"/>
      <c r="H19" s="56" t="str">
        <f aca="false">IF(ISBLANK(G19),"",IF(ISNUMBER(F19),ROUND(F19*G19,2),"Укажите цену"))</f>
        <v/>
      </c>
      <c r="I19" s="185" t="n">
        <v>296</v>
      </c>
      <c r="J19" s="185" t="n">
        <v>18.6</v>
      </c>
      <c r="K19" s="185" t="s">
        <v>2445</v>
      </c>
      <c r="L19" s="185" t="s">
        <v>91</v>
      </c>
      <c r="M19" s="185" t="s">
        <v>92</v>
      </c>
      <c r="N19" s="188" t="n">
        <v>60</v>
      </c>
      <c r="O19" s="185" t="s">
        <v>2446</v>
      </c>
      <c r="P19" s="99" t="n">
        <v>0.068</v>
      </c>
      <c r="Q19" s="166" t="s">
        <v>2447</v>
      </c>
      <c r="R19" s="69" t="s">
        <v>2448</v>
      </c>
      <c r="S19" s="189" t="s">
        <v>2449</v>
      </c>
      <c r="T19" s="173"/>
    </row>
    <row r="20" customFormat="false" ht="30" hidden="false" customHeight="true" outlineLevel="1" collapsed="false">
      <c r="F20" s="109" t="s">
        <v>633</v>
      </c>
      <c r="G20" s="109"/>
      <c r="H20" s="109" t="n">
        <f aca="false">IF(COUNTIFS(H5:H19,"Укажите цену")&gt;0,"Укажите цены",SUM(H5:H19))</f>
        <v>0</v>
      </c>
    </row>
    <row r="21" s="4" customFormat="true" ht="5.25" hidden="false" customHeight="true" outlineLevel="0" collapsed="false">
      <c r="A21" s="135"/>
      <c r="B21" s="135"/>
      <c r="C21" s="135"/>
      <c r="D21" s="135"/>
      <c r="E21" s="135"/>
      <c r="F21" s="135"/>
      <c r="G21" s="135"/>
      <c r="H21" s="135"/>
      <c r="I21" s="135"/>
      <c r="J21" s="135"/>
      <c r="K21" s="135"/>
      <c r="L21" s="135"/>
      <c r="M21" s="135"/>
      <c r="N21" s="135"/>
      <c r="O21" s="135"/>
      <c r="P21" s="135"/>
      <c r="Q21" s="135"/>
      <c r="R21" s="135"/>
      <c r="S21" s="136"/>
      <c r="T21" s="173"/>
    </row>
    <row r="22" s="39" customFormat="true" ht="50.1" hidden="false" customHeight="true" outlineLevel="0" collapsed="false">
      <c r="A22" s="114"/>
      <c r="B22" s="34"/>
      <c r="C22" s="34"/>
      <c r="P22" s="183"/>
      <c r="R22" s="115"/>
      <c r="S22" s="115"/>
      <c r="T22" s="42"/>
    </row>
  </sheetData>
  <mergeCells count="89">
    <mergeCell ref="A1:R1"/>
    <mergeCell ref="A2:H2"/>
    <mergeCell ref="A4:H4"/>
    <mergeCell ref="A5:A6"/>
    <mergeCell ref="B5:B6"/>
    <mergeCell ref="C5:C6"/>
    <mergeCell ref="I5:I6"/>
    <mergeCell ref="J5:J6"/>
    <mergeCell ref="K5:K6"/>
    <mergeCell ref="L5:L6"/>
    <mergeCell ref="M5:M6"/>
    <mergeCell ref="N5:N6"/>
    <mergeCell ref="O5:O6"/>
    <mergeCell ref="P5:P6"/>
    <mergeCell ref="Q5:Q6"/>
    <mergeCell ref="R5:R6"/>
    <mergeCell ref="S5:S6"/>
    <mergeCell ref="A7:A8"/>
    <mergeCell ref="B7:B8"/>
    <mergeCell ref="C7:C8"/>
    <mergeCell ref="I7:I8"/>
    <mergeCell ref="J7:J8"/>
    <mergeCell ref="K7:K8"/>
    <mergeCell ref="L7:L8"/>
    <mergeCell ref="M7:M8"/>
    <mergeCell ref="N7:N8"/>
    <mergeCell ref="O7:O8"/>
    <mergeCell ref="P7:P8"/>
    <mergeCell ref="Q7:Q8"/>
    <mergeCell ref="R7:R8"/>
    <mergeCell ref="S7:S8"/>
    <mergeCell ref="A9:A10"/>
    <mergeCell ref="B9:B10"/>
    <mergeCell ref="C9:C10"/>
    <mergeCell ref="I9:I10"/>
    <mergeCell ref="J9:J10"/>
    <mergeCell ref="K9:K10"/>
    <mergeCell ref="L9:L10"/>
    <mergeCell ref="M9:M10"/>
    <mergeCell ref="N9:N10"/>
    <mergeCell ref="O9:O10"/>
    <mergeCell ref="P9:P10"/>
    <mergeCell ref="Q9:Q10"/>
    <mergeCell ref="R9:R10"/>
    <mergeCell ref="S9:S10"/>
    <mergeCell ref="A11:A12"/>
    <mergeCell ref="B11:B12"/>
    <mergeCell ref="C11:C12"/>
    <mergeCell ref="I11:I12"/>
    <mergeCell ref="J11:J12"/>
    <mergeCell ref="K11:K12"/>
    <mergeCell ref="L11:L12"/>
    <mergeCell ref="M11:M12"/>
    <mergeCell ref="N11:N12"/>
    <mergeCell ref="O11:O12"/>
    <mergeCell ref="P11:P12"/>
    <mergeCell ref="Q11:Q12"/>
    <mergeCell ref="R11:R12"/>
    <mergeCell ref="S11:S12"/>
    <mergeCell ref="A13:A14"/>
    <mergeCell ref="B13:B14"/>
    <mergeCell ref="C13:C14"/>
    <mergeCell ref="I13:I14"/>
    <mergeCell ref="J13:J14"/>
    <mergeCell ref="K13:K14"/>
    <mergeCell ref="L13:L14"/>
    <mergeCell ref="M13:M14"/>
    <mergeCell ref="N13:N14"/>
    <mergeCell ref="O13:O14"/>
    <mergeCell ref="P13:P14"/>
    <mergeCell ref="Q13:Q14"/>
    <mergeCell ref="R13:R14"/>
    <mergeCell ref="S13:S14"/>
    <mergeCell ref="A15:A16"/>
    <mergeCell ref="B15:B16"/>
    <mergeCell ref="C15:C16"/>
    <mergeCell ref="I15:I16"/>
    <mergeCell ref="J15:J16"/>
    <mergeCell ref="K15:K16"/>
    <mergeCell ref="L15:L16"/>
    <mergeCell ref="M15:M16"/>
    <mergeCell ref="N15:N16"/>
    <mergeCell ref="O15:O16"/>
    <mergeCell ref="P15:P16"/>
    <mergeCell ref="Q15:Q16"/>
    <mergeCell ref="R15:R16"/>
    <mergeCell ref="S15:S16"/>
    <mergeCell ref="F20:G20"/>
    <mergeCell ref="A21:R21"/>
  </mergeCells>
  <hyperlinks>
    <hyperlink ref="R5" r:id="rId1" display="http://gofile.me/649X4/FXzLwvScC"/>
    <hyperlink ref="R7" r:id="rId2" display="http://gofile.me/649X4/Ph71rDvbm"/>
    <hyperlink ref="R9" r:id="rId3" display="http://gofile.me/649X4/9MQ3C3xGs"/>
    <hyperlink ref="R11" r:id="rId4" display="http://gofile.me/649X4/XwYKoRspI"/>
    <hyperlink ref="R13" r:id="rId5" display="http://gofile.me/649X4/5Nhn87PCb"/>
    <hyperlink ref="R15" r:id="rId6" display="http://gofile.me/649X4/zzEKQcA1I"/>
    <hyperlink ref="R17" r:id="rId7" display="http://gofile.me/649X4/kkUkJuW7z"/>
    <hyperlink ref="R18" r:id="rId8" display="http://gofile.me/649X4/IzxfbUn3Z"/>
    <hyperlink ref="R19" r:id="rId9" display="http://gofile.me/649X4/8adStInw4"/>
    <hyperlink ref="S19" r:id="rId10" display="http://gofile.me/649X4/z6o8C7LaO"/>
  </hyperlinks>
  <printOptions headings="false" gridLines="false" gridLinesSet="true" horizontalCentered="false" verticalCentered="false"/>
  <pageMargins left="0.309722222222222" right="0.240277777777778" top="0.309722222222222" bottom="0.309722222222222" header="0.511811023622047" footer="0.429861111111111"/>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2" manualBreakCount="2">
    <brk id="20" man="true" max="16383" min="0"/>
    <brk id="21" man="true" max="16383" min="0"/>
  </rowBreaks>
  <drawing r:id="rId1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265"/>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33" width="46"/>
    <col collapsed="false" customWidth="true" hidden="false" outlineLevel="0" max="3" min="2" style="34" width="18"/>
    <col collapsed="false" customWidth="true" hidden="false" outlineLevel="0" max="4" min="4" style="39" width="20"/>
    <col collapsed="false" customWidth="true" hidden="false" outlineLevel="0" max="5" min="5" style="35"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9" min="9" style="115" width="7.42"/>
    <col collapsed="false" customWidth="true" hidden="false" outlineLevel="0" max="10" min="10" style="163" width="7.42"/>
    <col collapsed="false" customWidth="true" hidden="false" outlineLevel="0" max="11" min="11" style="115" width="11.2"/>
    <col collapsed="false" customWidth="true" hidden="false" outlineLevel="0" max="12" min="12" style="39" width="7.63"/>
    <col collapsed="false" customWidth="true" hidden="false" outlineLevel="0" max="13" min="13" style="39" width="10.63"/>
    <col collapsed="false" customWidth="true" hidden="false" outlineLevel="0" max="14" min="14" style="39" width="7.63"/>
    <col collapsed="false" customWidth="true" hidden="false" outlineLevel="0" max="15" min="15" style="39" width="10.63"/>
    <col collapsed="false" customWidth="true" hidden="false" outlineLevel="0" max="16" min="16" style="164" width="7.63"/>
    <col collapsed="false" customWidth="true" hidden="false" outlineLevel="0" max="17" min="17" style="39" width="70"/>
    <col collapsed="false" customWidth="true" hidden="false" outlineLevel="0" max="19" min="18" style="41" width="10.25"/>
    <col collapsed="false" customWidth="true" hidden="false" outlineLevel="0" max="20" min="20" style="42" width="7.37"/>
    <col collapsed="false" customWidth="true" hidden="false" outlineLevel="0" max="26" min="21" style="34" width="9"/>
    <col collapsed="false" customWidth="false" hidden="false" outlineLevel="0" max="98" min="27"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2450</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c r="T3" s="48"/>
    </row>
    <row r="4" s="50" customFormat="true" ht="27" hidden="false" customHeight="true" outlineLevel="1" collapsed="false">
      <c r="A4" s="49" t="s">
        <v>2451</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34" customFormat="true" ht="115" hidden="false" customHeight="true" outlineLevel="2" collapsed="false">
      <c r="A5" s="51" t="s">
        <v>2452</v>
      </c>
      <c r="B5" s="57"/>
      <c r="C5" s="57"/>
      <c r="D5" s="53" t="s">
        <v>2453</v>
      </c>
      <c r="E5" s="53" t="s">
        <v>89</v>
      </c>
      <c r="F5" s="54" t="n">
        <v>986.72</v>
      </c>
      <c r="G5" s="55"/>
      <c r="H5" s="56" t="str">
        <f aca="false">IF(ISBLANK(G5),"",IF(ISNUMBER(F5),ROUND(F5*G5,2),"Укажите цену"))</f>
        <v/>
      </c>
      <c r="I5" s="57" t="n">
        <v>181</v>
      </c>
      <c r="J5" s="57" t="n">
        <v>17.2</v>
      </c>
      <c r="K5" s="57" t="s">
        <v>2454</v>
      </c>
      <c r="L5" s="57" t="n">
        <v>14</v>
      </c>
      <c r="M5" s="57" t="s">
        <v>640</v>
      </c>
      <c r="N5" s="57" t="n">
        <v>84</v>
      </c>
      <c r="O5" s="57" t="s">
        <v>641</v>
      </c>
      <c r="P5" s="58" t="n">
        <v>0.074</v>
      </c>
      <c r="Q5" s="119" t="s">
        <v>2455</v>
      </c>
      <c r="R5" s="69" t="s">
        <v>2456</v>
      </c>
      <c r="S5" s="60" t="s">
        <v>96</v>
      </c>
      <c r="T5" s="61"/>
    </row>
    <row r="6" s="34" customFormat="true" ht="115" hidden="false" customHeight="true" outlineLevel="2" collapsed="false">
      <c r="A6" s="51" t="s">
        <v>2457</v>
      </c>
      <c r="B6" s="57"/>
      <c r="C6" s="57"/>
      <c r="D6" s="53" t="s">
        <v>2458</v>
      </c>
      <c r="E6" s="53" t="s">
        <v>89</v>
      </c>
      <c r="F6" s="54" t="n">
        <v>342.5</v>
      </c>
      <c r="G6" s="55"/>
      <c r="H6" s="56" t="str">
        <f aca="false">IF(ISBLANK(G6),"",IF(ISNUMBER(F6),ROUND(F6*G6,2),"Укажите цену"))</f>
        <v/>
      </c>
      <c r="I6" s="57" t="n">
        <v>46</v>
      </c>
      <c r="J6" s="57" t="n">
        <v>9.85</v>
      </c>
      <c r="K6" s="57" t="s">
        <v>2459</v>
      </c>
      <c r="L6" s="57" t="n">
        <v>28</v>
      </c>
      <c r="M6" s="57" t="s">
        <v>640</v>
      </c>
      <c r="N6" s="57" t="n">
        <v>168</v>
      </c>
      <c r="O6" s="57" t="s">
        <v>641</v>
      </c>
      <c r="P6" s="58" t="n">
        <v>0.074</v>
      </c>
      <c r="Q6" s="68" t="s">
        <v>2460</v>
      </c>
      <c r="R6" s="69" t="s">
        <v>2461</v>
      </c>
      <c r="S6" s="60" t="s">
        <v>96</v>
      </c>
      <c r="T6" s="61"/>
    </row>
    <row r="7" s="34" customFormat="true" ht="115" hidden="false" customHeight="true" outlineLevel="2" collapsed="false">
      <c r="A7" s="51" t="s">
        <v>2462</v>
      </c>
      <c r="B7" s="57"/>
      <c r="C7" s="57"/>
      <c r="D7" s="53" t="s">
        <v>2463</v>
      </c>
      <c r="E7" s="53" t="s">
        <v>89</v>
      </c>
      <c r="F7" s="54" t="n">
        <v>342.5</v>
      </c>
      <c r="G7" s="55"/>
      <c r="H7" s="56" t="str">
        <f aca="false">IF(ISBLANK(G7),"",IF(ISNUMBER(F7),ROUND(F7*G7,2),"Укажите цену"))</f>
        <v/>
      </c>
      <c r="I7" s="57" t="n">
        <v>47</v>
      </c>
      <c r="J7" s="57" t="n">
        <v>9.85</v>
      </c>
      <c r="K7" s="57" t="s">
        <v>2459</v>
      </c>
      <c r="L7" s="57" t="n">
        <v>28</v>
      </c>
      <c r="M7" s="57" t="s">
        <v>640</v>
      </c>
      <c r="N7" s="57" t="n">
        <v>168</v>
      </c>
      <c r="O7" s="57" t="s">
        <v>641</v>
      </c>
      <c r="P7" s="58" t="n">
        <v>0.074</v>
      </c>
      <c r="Q7" s="68" t="s">
        <v>2464</v>
      </c>
      <c r="R7" s="69" t="s">
        <v>2465</v>
      </c>
      <c r="S7" s="60" t="s">
        <v>96</v>
      </c>
      <c r="T7" s="61"/>
    </row>
    <row r="8" s="34" customFormat="true" ht="115" hidden="false" customHeight="true" outlineLevel="2" collapsed="false">
      <c r="A8" s="51" t="s">
        <v>2466</v>
      </c>
      <c r="B8" s="57"/>
      <c r="C8" s="57"/>
      <c r="D8" s="53" t="s">
        <v>2467</v>
      </c>
      <c r="E8" s="53" t="s">
        <v>89</v>
      </c>
      <c r="F8" s="54" t="n">
        <v>481.13</v>
      </c>
      <c r="G8" s="55"/>
      <c r="H8" s="56" t="str">
        <f aca="false">IF(ISBLANK(G8),"",IF(ISNUMBER(F8),ROUND(F8*G8,2),"Укажите цену"))</f>
        <v/>
      </c>
      <c r="I8" s="57" t="n">
        <v>53</v>
      </c>
      <c r="J8" s="57" t="n">
        <v>10.9</v>
      </c>
      <c r="K8" s="57" t="s">
        <v>2459</v>
      </c>
      <c r="L8" s="57" t="n">
        <v>28</v>
      </c>
      <c r="M8" s="57" t="s">
        <v>640</v>
      </c>
      <c r="N8" s="57" t="n">
        <v>168</v>
      </c>
      <c r="O8" s="57" t="s">
        <v>641</v>
      </c>
      <c r="P8" s="58" t="n">
        <v>0.074</v>
      </c>
      <c r="Q8" s="68" t="s">
        <v>2468</v>
      </c>
      <c r="R8" s="69" t="s">
        <v>2469</v>
      </c>
      <c r="S8" s="60" t="s">
        <v>96</v>
      </c>
      <c r="T8" s="61"/>
    </row>
    <row r="9" s="34" customFormat="true" ht="115" hidden="false" customHeight="true" outlineLevel="2" collapsed="false">
      <c r="A9" s="51" t="s">
        <v>2470</v>
      </c>
      <c r="B9" s="57"/>
      <c r="C9" s="57"/>
      <c r="D9" s="53" t="s">
        <v>2471</v>
      </c>
      <c r="E9" s="53" t="s">
        <v>89</v>
      </c>
      <c r="F9" s="54" t="n">
        <v>481.13</v>
      </c>
      <c r="G9" s="55"/>
      <c r="H9" s="56" t="str">
        <f aca="false">IF(ISBLANK(G9),"",IF(ISNUMBER(F9),ROUND(F9*G9,2),"Укажите цену"))</f>
        <v/>
      </c>
      <c r="I9" s="57" t="n">
        <v>54</v>
      </c>
      <c r="J9" s="57" t="n">
        <v>10.9</v>
      </c>
      <c r="K9" s="57" t="s">
        <v>2459</v>
      </c>
      <c r="L9" s="57" t="n">
        <v>28</v>
      </c>
      <c r="M9" s="57" t="s">
        <v>640</v>
      </c>
      <c r="N9" s="57" t="n">
        <v>168</v>
      </c>
      <c r="O9" s="57" t="s">
        <v>641</v>
      </c>
      <c r="P9" s="58" t="n">
        <v>0.074</v>
      </c>
      <c r="Q9" s="68" t="s">
        <v>2472</v>
      </c>
      <c r="R9" s="69" t="s">
        <v>2473</v>
      </c>
      <c r="S9" s="60" t="s">
        <v>96</v>
      </c>
      <c r="T9" s="61"/>
    </row>
    <row r="10" s="42" customFormat="true" ht="5.25" hidden="false" customHeight="true" outlineLevel="2" collapsed="false">
      <c r="A10" s="78"/>
      <c r="B10" s="78"/>
      <c r="C10" s="78"/>
      <c r="D10" s="78"/>
      <c r="E10" s="78"/>
      <c r="F10" s="78"/>
      <c r="G10" s="78"/>
      <c r="H10" s="78"/>
      <c r="I10" s="78"/>
      <c r="J10" s="78"/>
      <c r="K10" s="78"/>
      <c r="L10" s="78"/>
      <c r="M10" s="78"/>
      <c r="N10" s="78"/>
      <c r="O10" s="78"/>
      <c r="P10" s="78"/>
      <c r="Q10" s="78"/>
      <c r="R10" s="78"/>
      <c r="S10" s="26"/>
      <c r="T10" s="61"/>
    </row>
    <row r="11" s="79" customFormat="true" ht="27" hidden="false" customHeight="true" outlineLevel="1" collapsed="false">
      <c r="A11" s="49" t="s">
        <v>43</v>
      </c>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49"/>
      <c r="DO11" s="49"/>
      <c r="DP11" s="49"/>
      <c r="DQ11" s="49"/>
      <c r="DR11" s="49"/>
      <c r="DS11" s="49"/>
      <c r="DT11" s="49"/>
      <c r="DU11" s="49"/>
      <c r="DV11" s="49"/>
      <c r="DW11" s="49"/>
      <c r="DX11" s="49"/>
      <c r="DY11" s="49"/>
      <c r="DZ11" s="49"/>
      <c r="EA11" s="49"/>
      <c r="EB11" s="49"/>
      <c r="EC11" s="49"/>
      <c r="ED11" s="49"/>
      <c r="EE11" s="49"/>
      <c r="EF11" s="49"/>
      <c r="EG11" s="49"/>
      <c r="EH11" s="49"/>
      <c r="EI11" s="49"/>
      <c r="EJ11" s="49"/>
      <c r="EK11" s="49"/>
      <c r="EL11" s="49"/>
      <c r="EM11" s="49"/>
      <c r="EN11" s="49"/>
      <c r="EO11" s="49"/>
      <c r="EP11" s="49"/>
      <c r="EQ11" s="49"/>
      <c r="ER11" s="49"/>
      <c r="ES11" s="49"/>
      <c r="ET11" s="49"/>
      <c r="EU11" s="49"/>
      <c r="EV11" s="49"/>
      <c r="EW11" s="49"/>
      <c r="EX11" s="49"/>
      <c r="EY11" s="49"/>
      <c r="EZ11" s="49"/>
      <c r="FA11" s="49"/>
      <c r="FB11" s="49"/>
      <c r="FC11" s="49"/>
      <c r="FD11" s="49"/>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c r="GG11" s="49"/>
      <c r="GH11" s="49"/>
      <c r="GI11" s="49"/>
      <c r="GJ11" s="49"/>
      <c r="GK11" s="49"/>
      <c r="GL11" s="49"/>
      <c r="GM11" s="49"/>
      <c r="GN11" s="49"/>
      <c r="GO11" s="49"/>
      <c r="GP11" s="49"/>
      <c r="GQ11" s="49"/>
      <c r="GR11" s="49"/>
      <c r="GS11" s="49"/>
      <c r="GT11" s="49"/>
      <c r="GU11" s="49"/>
      <c r="GV11" s="49"/>
      <c r="GW11" s="49"/>
      <c r="GX11" s="49"/>
      <c r="GY11" s="49"/>
      <c r="GZ11" s="49"/>
      <c r="HA11" s="49"/>
      <c r="HB11" s="49"/>
      <c r="HC11" s="49"/>
      <c r="HD11" s="49"/>
      <c r="HE11" s="49"/>
      <c r="HF11" s="49"/>
      <c r="HG11" s="49"/>
      <c r="HH11" s="49"/>
      <c r="HI11" s="49"/>
      <c r="HJ11" s="49"/>
      <c r="HK11" s="49"/>
      <c r="HL11" s="49"/>
      <c r="HM11" s="49"/>
      <c r="HN11" s="49"/>
      <c r="HO11" s="49"/>
      <c r="HP11" s="49"/>
      <c r="HQ11" s="49"/>
      <c r="HR11" s="49"/>
      <c r="HS11" s="49"/>
      <c r="HT11" s="49"/>
      <c r="HU11" s="49"/>
      <c r="HV11" s="49"/>
      <c r="HW11" s="49"/>
      <c r="HX11" s="49"/>
      <c r="HY11" s="49"/>
    </row>
    <row r="12" s="70" customFormat="true" ht="115" hidden="false" customHeight="true" outlineLevel="2" collapsed="false">
      <c r="A12" s="51" t="s">
        <v>2474</v>
      </c>
      <c r="B12" s="57"/>
      <c r="C12" s="57"/>
      <c r="D12" s="53" t="s">
        <v>2475</v>
      </c>
      <c r="E12" s="53" t="s">
        <v>89</v>
      </c>
      <c r="F12" s="54" t="n">
        <v>24.46</v>
      </c>
      <c r="G12" s="55"/>
      <c r="H12" s="56" t="str">
        <f aca="false">IF(ISBLANK(G12),"",IF(ISNUMBER(F12),ROUND(F12*G12,2),"Укажите цену"))</f>
        <v/>
      </c>
      <c r="I12" s="57" t="n">
        <v>16</v>
      </c>
      <c r="J12" s="57" t="n">
        <v>17.62</v>
      </c>
      <c r="K12" s="57" t="s">
        <v>2476</v>
      </c>
      <c r="L12" s="57" t="s">
        <v>91</v>
      </c>
      <c r="M12" s="57" t="s">
        <v>92</v>
      </c>
      <c r="N12" s="57" t="n">
        <v>1000</v>
      </c>
      <c r="O12" s="57" t="s">
        <v>696</v>
      </c>
      <c r="P12" s="58" t="n">
        <v>0.095</v>
      </c>
      <c r="Q12" s="68" t="s">
        <v>2477</v>
      </c>
      <c r="R12" s="93" t="s">
        <v>2478</v>
      </c>
      <c r="S12" s="60" t="s">
        <v>96</v>
      </c>
      <c r="T12" s="61"/>
    </row>
    <row r="13" s="34" customFormat="true" ht="115" hidden="false" customHeight="true" outlineLevel="2" collapsed="false">
      <c r="A13" s="51" t="s">
        <v>2479</v>
      </c>
      <c r="B13" s="57"/>
      <c r="C13" s="57"/>
      <c r="D13" s="53" t="s">
        <v>2480</v>
      </c>
      <c r="E13" s="53" t="s">
        <v>89</v>
      </c>
      <c r="F13" s="54" t="n">
        <v>35.88</v>
      </c>
      <c r="G13" s="55"/>
      <c r="H13" s="56" t="str">
        <f aca="false">IF(ISBLANK(G13),"",IF(ISNUMBER(F13),ROUND(F13*G13,2),"Укажите цену"))</f>
        <v/>
      </c>
      <c r="I13" s="57" t="n">
        <v>25</v>
      </c>
      <c r="J13" s="57" t="n">
        <v>26.4</v>
      </c>
      <c r="K13" s="57" t="s">
        <v>2481</v>
      </c>
      <c r="L13" s="57" t="s">
        <v>91</v>
      </c>
      <c r="M13" s="57" t="s">
        <v>92</v>
      </c>
      <c r="N13" s="57" t="n">
        <v>1000</v>
      </c>
      <c r="O13" s="57" t="s">
        <v>696</v>
      </c>
      <c r="P13" s="58" t="n">
        <v>0.095</v>
      </c>
      <c r="Q13" s="92" t="s">
        <v>2482</v>
      </c>
      <c r="R13" s="69" t="s">
        <v>2483</v>
      </c>
      <c r="S13" s="60" t="s">
        <v>96</v>
      </c>
      <c r="T13" s="61"/>
    </row>
    <row r="14" s="34" customFormat="true" ht="115" hidden="false" customHeight="true" outlineLevel="2" collapsed="false">
      <c r="A14" s="51" t="s">
        <v>2484</v>
      </c>
      <c r="B14" s="57"/>
      <c r="C14" s="57"/>
      <c r="D14" s="53" t="s">
        <v>2485</v>
      </c>
      <c r="E14" s="53" t="s">
        <v>89</v>
      </c>
      <c r="F14" s="54" t="n">
        <v>91.33</v>
      </c>
      <c r="G14" s="55"/>
      <c r="H14" s="56" t="str">
        <f aca="false">IF(ISBLANK(G14),"",IF(ISNUMBER(F14),ROUND(F14*G14,2),"Укажите цену"))</f>
        <v/>
      </c>
      <c r="I14" s="57" t="n">
        <v>26</v>
      </c>
      <c r="J14" s="57" t="n">
        <v>26.78</v>
      </c>
      <c r="K14" s="57" t="s">
        <v>2481</v>
      </c>
      <c r="L14" s="57" t="s">
        <v>91</v>
      </c>
      <c r="M14" s="57" t="s">
        <v>92</v>
      </c>
      <c r="N14" s="57" t="n">
        <v>1000</v>
      </c>
      <c r="O14" s="57" t="s">
        <v>696</v>
      </c>
      <c r="P14" s="58" t="n">
        <v>0.095</v>
      </c>
      <c r="Q14" s="92" t="s">
        <v>2486</v>
      </c>
      <c r="R14" s="69" t="s">
        <v>2487</v>
      </c>
      <c r="S14" s="60" t="s">
        <v>96</v>
      </c>
      <c r="T14" s="61"/>
    </row>
    <row r="15" s="34" customFormat="true" ht="115" hidden="false" customHeight="true" outlineLevel="2" collapsed="false">
      <c r="A15" s="51" t="s">
        <v>2488</v>
      </c>
      <c r="B15" s="57"/>
      <c r="C15" s="57"/>
      <c r="D15" s="53" t="s">
        <v>2489</v>
      </c>
      <c r="E15" s="53" t="s">
        <v>89</v>
      </c>
      <c r="F15" s="54" t="n">
        <v>73.39</v>
      </c>
      <c r="G15" s="55"/>
      <c r="H15" s="56" t="str">
        <f aca="false">IF(ISBLANK(G15),"",IF(ISNUMBER(F15),ROUND(F15*G15,2),"Укажите цену"))</f>
        <v/>
      </c>
      <c r="I15" s="57" t="n">
        <v>25</v>
      </c>
      <c r="J15" s="57" t="n">
        <v>26.9</v>
      </c>
      <c r="K15" s="57" t="s">
        <v>2481</v>
      </c>
      <c r="L15" s="57" t="s">
        <v>91</v>
      </c>
      <c r="M15" s="57" t="s">
        <v>92</v>
      </c>
      <c r="N15" s="57" t="n">
        <v>1000</v>
      </c>
      <c r="O15" s="57" t="s">
        <v>696</v>
      </c>
      <c r="P15" s="58" t="n">
        <v>0.095</v>
      </c>
      <c r="Q15" s="92" t="s">
        <v>2490</v>
      </c>
      <c r="R15" s="69" t="s">
        <v>2491</v>
      </c>
      <c r="S15" s="60" t="s">
        <v>96</v>
      </c>
      <c r="T15" s="61"/>
    </row>
    <row r="16" s="34" customFormat="true" ht="60" hidden="false" customHeight="true" outlineLevel="2" collapsed="false">
      <c r="A16" s="63" t="s">
        <v>2492</v>
      </c>
      <c r="B16" s="57"/>
      <c r="C16" s="57"/>
      <c r="D16" s="53" t="s">
        <v>2493</v>
      </c>
      <c r="E16" s="53" t="s">
        <v>217</v>
      </c>
      <c r="F16" s="54" t="n">
        <v>73.39</v>
      </c>
      <c r="G16" s="55"/>
      <c r="H16" s="56" t="str">
        <f aca="false">IF(ISBLANK(G16),"",IF(ISNUMBER(F16),ROUND(F16*G16,2),"Укажите цену"))</f>
        <v/>
      </c>
      <c r="I16" s="57" t="n">
        <v>9</v>
      </c>
      <c r="J16" s="57" t="n">
        <v>10.92</v>
      </c>
      <c r="K16" s="57" t="s">
        <v>2494</v>
      </c>
      <c r="L16" s="57" t="s">
        <v>91</v>
      </c>
      <c r="M16" s="57" t="s">
        <v>92</v>
      </c>
      <c r="N16" s="57" t="n">
        <v>1050</v>
      </c>
      <c r="O16" s="57" t="s">
        <v>641</v>
      </c>
      <c r="P16" s="58" t="n">
        <v>0.0744208</v>
      </c>
      <c r="Q16" s="68" t="s">
        <v>2495</v>
      </c>
      <c r="R16" s="91" t="s">
        <v>2496</v>
      </c>
      <c r="S16" s="60" t="s">
        <v>96</v>
      </c>
      <c r="T16" s="61"/>
    </row>
    <row r="17" s="34" customFormat="true" ht="60" hidden="false" customHeight="true" outlineLevel="2" collapsed="false">
      <c r="A17" s="63"/>
      <c r="B17" s="57"/>
      <c r="C17" s="57"/>
      <c r="D17" s="53" t="s">
        <v>2497</v>
      </c>
      <c r="E17" s="53" t="s">
        <v>103</v>
      </c>
      <c r="F17" s="54" t="n">
        <v>73.39</v>
      </c>
      <c r="G17" s="55"/>
      <c r="H17" s="56" t="str">
        <f aca="false">IF(ISBLANK(G17),"",IF(ISNUMBER(F17),ROUND(F17*G17,2),"Укажите цену"))</f>
        <v/>
      </c>
      <c r="I17" s="57"/>
      <c r="J17" s="57"/>
      <c r="K17" s="57"/>
      <c r="L17" s="57"/>
      <c r="M17" s="57"/>
      <c r="N17" s="57"/>
      <c r="O17" s="57"/>
      <c r="P17" s="58"/>
      <c r="Q17" s="68"/>
      <c r="R17" s="91"/>
      <c r="S17" s="60"/>
      <c r="T17" s="61"/>
    </row>
    <row r="18" s="34" customFormat="true" ht="60" hidden="false" customHeight="true" outlineLevel="2" collapsed="false">
      <c r="A18" s="63" t="s">
        <v>2498</v>
      </c>
      <c r="B18" s="57"/>
      <c r="C18" s="57"/>
      <c r="D18" s="53" t="s">
        <v>2499</v>
      </c>
      <c r="E18" s="53" t="s">
        <v>217</v>
      </c>
      <c r="F18" s="54" t="n">
        <v>63.61</v>
      </c>
      <c r="G18" s="55"/>
      <c r="H18" s="56" t="str">
        <f aca="false">IF(ISBLANK(G18),"",IF(ISNUMBER(F18),ROUND(F18*G18,2),"Укажите цену"))</f>
        <v/>
      </c>
      <c r="I18" s="57" t="n">
        <v>9</v>
      </c>
      <c r="J18" s="57" t="n">
        <v>11.1</v>
      </c>
      <c r="K18" s="57" t="s">
        <v>2494</v>
      </c>
      <c r="L18" s="57" t="s">
        <v>91</v>
      </c>
      <c r="M18" s="57" t="s">
        <v>92</v>
      </c>
      <c r="N18" s="57" t="n">
        <v>1050</v>
      </c>
      <c r="O18" s="57" t="s">
        <v>641</v>
      </c>
      <c r="P18" s="58" t="n">
        <v>0.074</v>
      </c>
      <c r="Q18" s="68" t="s">
        <v>2500</v>
      </c>
      <c r="R18" s="91" t="s">
        <v>2501</v>
      </c>
      <c r="S18" s="60" t="s">
        <v>96</v>
      </c>
      <c r="T18" s="61"/>
    </row>
    <row r="19" s="34" customFormat="true" ht="60" hidden="false" customHeight="true" outlineLevel="2" collapsed="false">
      <c r="A19" s="63"/>
      <c r="B19" s="57"/>
      <c r="C19" s="57"/>
      <c r="D19" s="53" t="s">
        <v>2502</v>
      </c>
      <c r="E19" s="53" t="s">
        <v>103</v>
      </c>
      <c r="F19" s="54" t="n">
        <v>63.61</v>
      </c>
      <c r="G19" s="55"/>
      <c r="H19" s="56" t="str">
        <f aca="false">IF(ISBLANK(G19),"",IF(ISNUMBER(F19),ROUND(F19*G19,2),"Укажите цену"))</f>
        <v/>
      </c>
      <c r="I19" s="57"/>
      <c r="J19" s="57"/>
      <c r="K19" s="57"/>
      <c r="L19" s="57"/>
      <c r="M19" s="57"/>
      <c r="N19" s="57"/>
      <c r="O19" s="57"/>
      <c r="P19" s="58"/>
      <c r="Q19" s="68"/>
      <c r="R19" s="91"/>
      <c r="S19" s="60"/>
      <c r="T19" s="61"/>
    </row>
    <row r="20" s="70" customFormat="true" ht="115" hidden="false" customHeight="true" outlineLevel="2" collapsed="false">
      <c r="A20" s="51" t="s">
        <v>2503</v>
      </c>
      <c r="B20" s="57"/>
      <c r="C20" s="57"/>
      <c r="D20" s="53" t="s">
        <v>2504</v>
      </c>
      <c r="E20" s="53" t="s">
        <v>638</v>
      </c>
      <c r="F20" s="54" t="n">
        <v>75.02</v>
      </c>
      <c r="G20" s="55"/>
      <c r="H20" s="56" t="str">
        <f aca="false">IF(ISBLANK(G20),"",IF(ISNUMBER(F20),ROUND(F20*G20,2),"Укажите цену"))</f>
        <v/>
      </c>
      <c r="I20" s="57" t="n">
        <v>29</v>
      </c>
      <c r="J20" s="57" t="n">
        <v>12.6</v>
      </c>
      <c r="K20" s="57" t="s">
        <v>402</v>
      </c>
      <c r="L20" s="57" t="s">
        <v>91</v>
      </c>
      <c r="M20" s="57" t="s">
        <v>92</v>
      </c>
      <c r="N20" s="57" t="n">
        <v>360</v>
      </c>
      <c r="O20" s="57" t="s">
        <v>93</v>
      </c>
      <c r="P20" s="58" t="n">
        <v>0.133</v>
      </c>
      <c r="Q20" s="68" t="s">
        <v>2505</v>
      </c>
      <c r="R20" s="93" t="s">
        <v>2506</v>
      </c>
      <c r="S20" s="60" t="s">
        <v>96</v>
      </c>
      <c r="T20" s="61"/>
    </row>
    <row r="21" s="70" customFormat="true" ht="115" hidden="false" customHeight="true" outlineLevel="2" collapsed="false">
      <c r="A21" s="51" t="s">
        <v>2507</v>
      </c>
      <c r="B21" s="57"/>
      <c r="C21" s="57"/>
      <c r="D21" s="53" t="s">
        <v>2508</v>
      </c>
      <c r="E21" s="53" t="s">
        <v>638</v>
      </c>
      <c r="F21" s="54" t="n">
        <v>127.21</v>
      </c>
      <c r="G21" s="55"/>
      <c r="H21" s="56" t="str">
        <f aca="false">IF(ISBLANK(G21),"",IF(ISNUMBER(F21),ROUND(F21*G21,2),"Укажите цену"))</f>
        <v/>
      </c>
      <c r="I21" s="57" t="n">
        <v>29</v>
      </c>
      <c r="J21" s="57" t="n">
        <v>12.7</v>
      </c>
      <c r="K21" s="57" t="s">
        <v>402</v>
      </c>
      <c r="L21" s="57" t="s">
        <v>91</v>
      </c>
      <c r="M21" s="57" t="s">
        <v>92</v>
      </c>
      <c r="N21" s="57" t="n">
        <v>360</v>
      </c>
      <c r="O21" s="57" t="s">
        <v>93</v>
      </c>
      <c r="P21" s="58" t="n">
        <v>0.133</v>
      </c>
      <c r="Q21" s="68" t="s">
        <v>2509</v>
      </c>
      <c r="R21" s="93" t="s">
        <v>2510</v>
      </c>
      <c r="S21" s="60" t="s">
        <v>96</v>
      </c>
      <c r="T21" s="61"/>
    </row>
    <row r="22" s="70" customFormat="true" ht="115" hidden="false" customHeight="true" outlineLevel="2" collapsed="false">
      <c r="A22" s="51" t="s">
        <v>2511</v>
      </c>
      <c r="B22" s="57"/>
      <c r="C22" s="57"/>
      <c r="D22" s="53" t="s">
        <v>2512</v>
      </c>
      <c r="E22" s="53" t="s">
        <v>638</v>
      </c>
      <c r="F22" s="54" t="n">
        <v>107.64</v>
      </c>
      <c r="G22" s="55"/>
      <c r="H22" s="56" t="str">
        <f aca="false">IF(ISBLANK(G22),"",IF(ISNUMBER(F22),ROUND(F22*G22,2),"Укажите цену"))</f>
        <v/>
      </c>
      <c r="I22" s="57" t="n">
        <v>30</v>
      </c>
      <c r="J22" s="57" t="n">
        <v>12.8</v>
      </c>
      <c r="K22" s="57" t="s">
        <v>402</v>
      </c>
      <c r="L22" s="57" t="s">
        <v>91</v>
      </c>
      <c r="M22" s="57" t="s">
        <v>92</v>
      </c>
      <c r="N22" s="57" t="n">
        <v>360</v>
      </c>
      <c r="O22" s="57" t="s">
        <v>93</v>
      </c>
      <c r="P22" s="58" t="n">
        <v>0.133</v>
      </c>
      <c r="Q22" s="68" t="s">
        <v>2513</v>
      </c>
      <c r="R22" s="93" t="s">
        <v>2514</v>
      </c>
      <c r="S22" s="60" t="s">
        <v>96</v>
      </c>
      <c r="T22" s="61"/>
    </row>
    <row r="23" s="70" customFormat="true" ht="115" hidden="false" customHeight="true" outlineLevel="2" collapsed="false">
      <c r="A23" s="51" t="s">
        <v>2515</v>
      </c>
      <c r="B23" s="57"/>
      <c r="C23" s="57"/>
      <c r="D23" s="53" t="s">
        <v>2516</v>
      </c>
      <c r="E23" s="53" t="s">
        <v>103</v>
      </c>
      <c r="F23" s="54" t="n">
        <v>68.5</v>
      </c>
      <c r="G23" s="55"/>
      <c r="H23" s="56" t="str">
        <f aca="false">IF(ISBLANK(G23),"",IF(ISNUMBER(F23),ROUND(F23*G23,2),"Укажите цену"))</f>
        <v/>
      </c>
      <c r="I23" s="57" t="n">
        <v>36</v>
      </c>
      <c r="J23" s="57" t="n">
        <v>15</v>
      </c>
      <c r="K23" s="57" t="s">
        <v>147</v>
      </c>
      <c r="L23" s="57" t="s">
        <v>91</v>
      </c>
      <c r="M23" s="57" t="s">
        <v>92</v>
      </c>
      <c r="N23" s="57" t="n">
        <v>360</v>
      </c>
      <c r="O23" s="57" t="s">
        <v>93</v>
      </c>
      <c r="P23" s="58" t="n">
        <v>0.133</v>
      </c>
      <c r="Q23" s="68" t="s">
        <v>2517</v>
      </c>
      <c r="R23" s="69" t="s">
        <v>2518</v>
      </c>
      <c r="S23" s="60" t="s">
        <v>96</v>
      </c>
      <c r="T23" s="61"/>
    </row>
    <row r="24" s="70" customFormat="true" ht="115" hidden="false" customHeight="true" outlineLevel="2" collapsed="false">
      <c r="A24" s="51" t="s">
        <v>2519</v>
      </c>
      <c r="B24" s="57"/>
      <c r="C24" s="57"/>
      <c r="D24" s="53" t="s">
        <v>2520</v>
      </c>
      <c r="E24" s="53" t="s">
        <v>103</v>
      </c>
      <c r="F24" s="54" t="n">
        <v>128.84</v>
      </c>
      <c r="G24" s="55"/>
      <c r="H24" s="56" t="str">
        <f aca="false">IF(ISBLANK(G24),"",IF(ISNUMBER(F24),ROUND(F24*G24,2),"Укажите цену"))</f>
        <v/>
      </c>
      <c r="I24" s="57" t="n">
        <v>36</v>
      </c>
      <c r="J24" s="57" t="n">
        <v>15</v>
      </c>
      <c r="K24" s="57" t="s">
        <v>147</v>
      </c>
      <c r="L24" s="57" t="s">
        <v>91</v>
      </c>
      <c r="M24" s="57" t="s">
        <v>92</v>
      </c>
      <c r="N24" s="57" t="n">
        <v>360</v>
      </c>
      <c r="O24" s="57" t="s">
        <v>93</v>
      </c>
      <c r="P24" s="58" t="n">
        <v>0.133</v>
      </c>
      <c r="Q24" s="68" t="s">
        <v>2521</v>
      </c>
      <c r="R24" s="69" t="s">
        <v>2522</v>
      </c>
      <c r="S24" s="60" t="s">
        <v>96</v>
      </c>
      <c r="T24" s="61"/>
    </row>
    <row r="25" s="70" customFormat="true" ht="60" hidden="false" customHeight="true" outlineLevel="2" collapsed="false">
      <c r="A25" s="63" t="s">
        <v>2523</v>
      </c>
      <c r="B25" s="57"/>
      <c r="C25" s="57"/>
      <c r="D25" s="53" t="s">
        <v>2524</v>
      </c>
      <c r="E25" s="53" t="s">
        <v>89</v>
      </c>
      <c r="F25" s="54" t="n">
        <v>61.98</v>
      </c>
      <c r="G25" s="55"/>
      <c r="H25" s="56" t="str">
        <f aca="false">IF(ISBLANK(G25),"",IF(ISNUMBER(F25),ROUND(F25*G25,2),"Укажите цену"))</f>
        <v/>
      </c>
      <c r="I25" s="57" t="n">
        <v>33</v>
      </c>
      <c r="J25" s="57" t="n">
        <v>13.79</v>
      </c>
      <c r="K25" s="57" t="s">
        <v>147</v>
      </c>
      <c r="L25" s="57" t="s">
        <v>91</v>
      </c>
      <c r="M25" s="57" t="s">
        <v>92</v>
      </c>
      <c r="N25" s="57" t="n">
        <v>360</v>
      </c>
      <c r="O25" s="57" t="s">
        <v>93</v>
      </c>
      <c r="P25" s="58" t="n">
        <v>0.133</v>
      </c>
      <c r="Q25" s="68" t="s">
        <v>2525</v>
      </c>
      <c r="R25" s="69" t="s">
        <v>2526</v>
      </c>
      <c r="S25" s="165" t="s">
        <v>96</v>
      </c>
      <c r="T25" s="61"/>
    </row>
    <row r="26" s="70" customFormat="true" ht="60" hidden="false" customHeight="true" outlineLevel="2" collapsed="false">
      <c r="A26" s="63"/>
      <c r="B26" s="57"/>
      <c r="C26" s="57"/>
      <c r="D26" s="53" t="s">
        <v>2527</v>
      </c>
      <c r="E26" s="53" t="s">
        <v>103</v>
      </c>
      <c r="F26" s="54" t="n">
        <v>61.98</v>
      </c>
      <c r="G26" s="55"/>
      <c r="H26" s="56" t="str">
        <f aca="false">IF(ISBLANK(G26),"",IF(ISNUMBER(F26),ROUND(F26*G26,2),"Укажите цену"))</f>
        <v/>
      </c>
      <c r="I26" s="57"/>
      <c r="J26" s="57"/>
      <c r="K26" s="57"/>
      <c r="L26" s="57"/>
      <c r="M26" s="57"/>
      <c r="N26" s="57"/>
      <c r="O26" s="57"/>
      <c r="P26" s="58"/>
      <c r="Q26" s="68"/>
      <c r="R26" s="69"/>
      <c r="S26" s="165"/>
      <c r="T26" s="61"/>
    </row>
    <row r="27" s="70" customFormat="true" ht="60" hidden="false" customHeight="true" outlineLevel="2" collapsed="false">
      <c r="A27" s="63" t="s">
        <v>2528</v>
      </c>
      <c r="B27" s="57"/>
      <c r="C27" s="57"/>
      <c r="D27" s="53" t="s">
        <v>2529</v>
      </c>
      <c r="E27" s="53" t="s">
        <v>89</v>
      </c>
      <c r="F27" s="54" t="n">
        <v>123.95</v>
      </c>
      <c r="G27" s="55"/>
      <c r="H27" s="56" t="str">
        <f aca="false">IF(ISBLANK(G27),"",IF(ISNUMBER(F27),ROUND(F27*G27,2),"Укажите цену"))</f>
        <v/>
      </c>
      <c r="I27" s="57" t="n">
        <v>33</v>
      </c>
      <c r="J27" s="57" t="n">
        <v>13.77</v>
      </c>
      <c r="K27" s="57" t="s">
        <v>147</v>
      </c>
      <c r="L27" s="57" t="s">
        <v>91</v>
      </c>
      <c r="M27" s="57" t="s">
        <v>92</v>
      </c>
      <c r="N27" s="57" t="n">
        <v>360</v>
      </c>
      <c r="O27" s="57" t="s">
        <v>93</v>
      </c>
      <c r="P27" s="58" t="n">
        <v>0.133</v>
      </c>
      <c r="Q27" s="68" t="s">
        <v>2530</v>
      </c>
      <c r="R27" s="72" t="s">
        <v>2531</v>
      </c>
      <c r="S27" s="73" t="s">
        <v>96</v>
      </c>
      <c r="T27" s="61"/>
    </row>
    <row r="28" s="70" customFormat="true" ht="60" hidden="false" customHeight="true" outlineLevel="2" collapsed="false">
      <c r="A28" s="63"/>
      <c r="B28" s="57"/>
      <c r="C28" s="57"/>
      <c r="D28" s="53" t="s">
        <v>2532</v>
      </c>
      <c r="E28" s="53" t="s">
        <v>103</v>
      </c>
      <c r="F28" s="54" t="n">
        <v>123.95</v>
      </c>
      <c r="G28" s="55"/>
      <c r="H28" s="56" t="str">
        <f aca="false">IF(ISBLANK(G28),"",IF(ISNUMBER(F28),ROUND(F28*G28,2),"Укажите цену"))</f>
        <v/>
      </c>
      <c r="I28" s="57"/>
      <c r="J28" s="57"/>
      <c r="K28" s="57"/>
      <c r="L28" s="57"/>
      <c r="M28" s="57"/>
      <c r="N28" s="57"/>
      <c r="O28" s="57"/>
      <c r="P28" s="58"/>
      <c r="Q28" s="68"/>
      <c r="R28" s="72"/>
      <c r="S28" s="73"/>
      <c r="T28" s="61"/>
    </row>
    <row r="29" s="70" customFormat="true" ht="60" hidden="false" customHeight="true" outlineLevel="2" collapsed="false">
      <c r="A29" s="63" t="s">
        <v>2533</v>
      </c>
      <c r="B29" s="57"/>
      <c r="C29" s="57"/>
      <c r="D29" s="53" t="s">
        <v>2534</v>
      </c>
      <c r="E29" s="53" t="s">
        <v>89</v>
      </c>
      <c r="F29" s="54" t="n">
        <v>106.01</v>
      </c>
      <c r="G29" s="55"/>
      <c r="H29" s="56" t="str">
        <f aca="false">IF(ISBLANK(G29),"",IF(ISNUMBER(F29),ROUND(F29*G29,2),"Укажите цену"))</f>
        <v/>
      </c>
      <c r="I29" s="57" t="n">
        <v>33</v>
      </c>
      <c r="J29" s="57" t="n">
        <v>13.85</v>
      </c>
      <c r="K29" s="57" t="s">
        <v>147</v>
      </c>
      <c r="L29" s="57" t="s">
        <v>91</v>
      </c>
      <c r="M29" s="57" t="s">
        <v>92</v>
      </c>
      <c r="N29" s="57" t="n">
        <v>360</v>
      </c>
      <c r="O29" s="57" t="s">
        <v>93</v>
      </c>
      <c r="P29" s="58" t="n">
        <v>0.133</v>
      </c>
      <c r="Q29" s="68" t="s">
        <v>2535</v>
      </c>
      <c r="R29" s="72" t="s">
        <v>2536</v>
      </c>
      <c r="S29" s="73" t="s">
        <v>96</v>
      </c>
      <c r="T29" s="61"/>
    </row>
    <row r="30" s="70" customFormat="true" ht="60" hidden="false" customHeight="true" outlineLevel="2" collapsed="false">
      <c r="A30" s="63"/>
      <c r="B30" s="57"/>
      <c r="C30" s="57"/>
      <c r="D30" s="53" t="s">
        <v>2537</v>
      </c>
      <c r="E30" s="53" t="s">
        <v>103</v>
      </c>
      <c r="F30" s="54" t="n">
        <v>106.01</v>
      </c>
      <c r="G30" s="55"/>
      <c r="H30" s="56" t="str">
        <f aca="false">IF(ISBLANK(G30),"",IF(ISNUMBER(F30),ROUND(F30*G30,2),"Укажите цену"))</f>
        <v/>
      </c>
      <c r="I30" s="57"/>
      <c r="J30" s="57"/>
      <c r="K30" s="57"/>
      <c r="L30" s="57"/>
      <c r="M30" s="57"/>
      <c r="N30" s="57"/>
      <c r="O30" s="57"/>
      <c r="P30" s="58"/>
      <c r="Q30" s="68"/>
      <c r="R30" s="72"/>
      <c r="S30" s="73"/>
      <c r="T30" s="61"/>
    </row>
    <row r="31" s="62" customFormat="true" ht="115" hidden="false" customHeight="true" outlineLevel="2" collapsed="false">
      <c r="A31" s="51" t="s">
        <v>2538</v>
      </c>
      <c r="B31" s="57"/>
      <c r="C31" s="57"/>
      <c r="D31" s="53" t="s">
        <v>2539</v>
      </c>
      <c r="E31" s="53" t="s">
        <v>89</v>
      </c>
      <c r="F31" s="54" t="n">
        <v>48.93</v>
      </c>
      <c r="G31" s="55"/>
      <c r="H31" s="56" t="str">
        <f aca="false">IF(ISBLANK(G31),"",IF(ISNUMBER(F31),ROUND(F31*G31,2),"Укажите цену"))</f>
        <v/>
      </c>
      <c r="I31" s="57" t="n">
        <v>34</v>
      </c>
      <c r="J31" s="57" t="n">
        <v>14.3</v>
      </c>
      <c r="K31" s="57" t="s">
        <v>90</v>
      </c>
      <c r="L31" s="57" t="s">
        <v>91</v>
      </c>
      <c r="M31" s="57" t="s">
        <v>92</v>
      </c>
      <c r="N31" s="57" t="n">
        <v>360</v>
      </c>
      <c r="O31" s="57" t="s">
        <v>93</v>
      </c>
      <c r="P31" s="99" t="n">
        <v>0.133</v>
      </c>
      <c r="Q31" s="59" t="s">
        <v>2540</v>
      </c>
      <c r="R31" s="60" t="s">
        <v>2541</v>
      </c>
      <c r="S31" s="73" t="s">
        <v>96</v>
      </c>
      <c r="T31" s="61"/>
      <c r="U31" s="87"/>
      <c r="V31" s="61"/>
      <c r="W31" s="61"/>
      <c r="X31" s="61"/>
      <c r="Y31" s="61"/>
      <c r="Z31" s="61"/>
    </row>
    <row r="32" s="42" customFormat="true" ht="115" hidden="false" customHeight="true" outlineLevel="2" collapsed="false">
      <c r="A32" s="51" t="s">
        <v>2542</v>
      </c>
      <c r="B32" s="52"/>
      <c r="C32" s="52"/>
      <c r="D32" s="53" t="s">
        <v>2543</v>
      </c>
      <c r="E32" s="53" t="s">
        <v>89</v>
      </c>
      <c r="F32" s="54" t="n">
        <v>114.17</v>
      </c>
      <c r="G32" s="55"/>
      <c r="H32" s="56" t="str">
        <f aca="false">IF(ISBLANK(G32),"",IF(ISNUMBER(F32),ROUND(F32*G32,2),"Укажите цену"))</f>
        <v/>
      </c>
      <c r="I32" s="57" t="n">
        <v>57</v>
      </c>
      <c r="J32" s="76" t="n">
        <v>16.6</v>
      </c>
      <c r="K32" s="57" t="s">
        <v>2544</v>
      </c>
      <c r="L32" s="57" t="n">
        <v>63</v>
      </c>
      <c r="M32" s="57" t="s">
        <v>284</v>
      </c>
      <c r="N32" s="57" t="n">
        <v>252</v>
      </c>
      <c r="O32" s="57" t="s">
        <v>696</v>
      </c>
      <c r="P32" s="58" t="n">
        <v>0.095</v>
      </c>
      <c r="Q32" s="68" t="s">
        <v>2545</v>
      </c>
      <c r="R32" s="60" t="s">
        <v>2546</v>
      </c>
      <c r="S32" s="73" t="s">
        <v>96</v>
      </c>
      <c r="T32" s="61"/>
      <c r="U32" s="105"/>
      <c r="V32" s="105"/>
      <c r="W32" s="105"/>
      <c r="X32" s="105"/>
      <c r="Y32" s="105"/>
      <c r="Z32" s="105"/>
    </row>
    <row r="33" s="42" customFormat="true" ht="5.25" hidden="false" customHeight="true" outlineLevel="2" collapsed="false">
      <c r="A33" s="78"/>
      <c r="B33" s="78"/>
      <c r="C33" s="78"/>
      <c r="D33" s="78"/>
      <c r="E33" s="78"/>
      <c r="F33" s="78"/>
      <c r="G33" s="78"/>
      <c r="H33" s="78"/>
      <c r="I33" s="78"/>
      <c r="J33" s="78"/>
      <c r="K33" s="78"/>
      <c r="L33" s="78"/>
      <c r="M33" s="78"/>
      <c r="N33" s="78"/>
      <c r="O33" s="78"/>
      <c r="P33" s="78"/>
      <c r="Q33" s="78"/>
      <c r="R33" s="78"/>
      <c r="S33" s="26"/>
      <c r="T33" s="61"/>
    </row>
    <row r="34" s="79" customFormat="true" ht="27" hidden="false" customHeight="true" outlineLevel="1" collapsed="false">
      <c r="A34" s="49" t="s">
        <v>10</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49"/>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49"/>
      <c r="HW34" s="49"/>
      <c r="HX34" s="49"/>
      <c r="HY34" s="49"/>
      <c r="HZ34" s="49"/>
      <c r="IA34" s="49"/>
    </row>
    <row r="35" s="70" customFormat="true" ht="115" hidden="false" customHeight="true" outlineLevel="2" collapsed="false">
      <c r="A35" s="51" t="s">
        <v>2547</v>
      </c>
      <c r="B35" s="57"/>
      <c r="C35" s="57"/>
      <c r="D35" s="53" t="s">
        <v>2548</v>
      </c>
      <c r="E35" s="53" t="s">
        <v>638</v>
      </c>
      <c r="F35" s="54" t="n">
        <v>96.23</v>
      </c>
      <c r="G35" s="55"/>
      <c r="H35" s="56" t="str">
        <f aca="false">IF(ISBLANK(G35),"",IF(ISNUMBER(F35),ROUND(F35*G35,2),"Укажите цену"))</f>
        <v/>
      </c>
      <c r="I35" s="57" t="n">
        <v>26</v>
      </c>
      <c r="J35" s="57" t="n">
        <v>9.31</v>
      </c>
      <c r="K35" s="57" t="s">
        <v>2549</v>
      </c>
      <c r="L35" s="57" t="n">
        <v>70</v>
      </c>
      <c r="M35" s="57" t="s">
        <v>284</v>
      </c>
      <c r="N35" s="57" t="n">
        <v>280</v>
      </c>
      <c r="O35" s="57" t="s">
        <v>696</v>
      </c>
      <c r="P35" s="58" t="n">
        <v>0.095</v>
      </c>
      <c r="Q35" s="68" t="s">
        <v>2550</v>
      </c>
      <c r="R35" s="146" t="s">
        <v>2551</v>
      </c>
      <c r="S35" s="60" t="s">
        <v>96</v>
      </c>
      <c r="T35" s="61"/>
    </row>
    <row r="36" s="70" customFormat="true" ht="115" hidden="false" customHeight="true" outlineLevel="2" collapsed="false">
      <c r="A36" s="51" t="s">
        <v>2552</v>
      </c>
      <c r="B36" s="57"/>
      <c r="C36" s="57"/>
      <c r="D36" s="53" t="s">
        <v>2553</v>
      </c>
      <c r="E36" s="53" t="s">
        <v>638</v>
      </c>
      <c r="F36" s="54" t="n">
        <v>114.17</v>
      </c>
      <c r="G36" s="55"/>
      <c r="H36" s="56" t="str">
        <f aca="false">IF(ISBLANK(G36),"",IF(ISNUMBER(F36),ROUND(F36*G36,2),"Укажите цену"))</f>
        <v/>
      </c>
      <c r="I36" s="57" t="n">
        <v>24</v>
      </c>
      <c r="J36" s="57" t="n">
        <v>8.9</v>
      </c>
      <c r="K36" s="57" t="s">
        <v>2549</v>
      </c>
      <c r="L36" s="57" t="n">
        <v>70</v>
      </c>
      <c r="M36" s="57" t="s">
        <v>284</v>
      </c>
      <c r="N36" s="57" t="n">
        <v>280</v>
      </c>
      <c r="O36" s="57" t="s">
        <v>696</v>
      </c>
      <c r="P36" s="58" t="n">
        <v>0.095</v>
      </c>
      <c r="Q36" s="68" t="s">
        <v>2554</v>
      </c>
      <c r="R36" s="146" t="s">
        <v>2555</v>
      </c>
      <c r="S36" s="60" t="s">
        <v>96</v>
      </c>
      <c r="T36" s="61"/>
    </row>
    <row r="37" s="4" customFormat="true" ht="5.25" hidden="false" customHeight="true" outlineLevel="2" collapsed="false">
      <c r="A37" s="135"/>
      <c r="B37" s="135"/>
      <c r="C37" s="135"/>
      <c r="D37" s="135"/>
      <c r="E37" s="135"/>
      <c r="F37" s="135"/>
      <c r="G37" s="135"/>
      <c r="H37" s="135"/>
      <c r="I37" s="135"/>
      <c r="J37" s="135"/>
      <c r="K37" s="135"/>
      <c r="L37" s="135"/>
      <c r="M37" s="135"/>
      <c r="N37" s="135"/>
      <c r="O37" s="135"/>
      <c r="P37" s="135"/>
      <c r="Q37" s="135"/>
      <c r="R37" s="135"/>
      <c r="S37" s="136"/>
      <c r="T37" s="61"/>
    </row>
    <row r="38" s="50" customFormat="true" ht="27" hidden="false" customHeight="true" outlineLevel="1" collapsed="false">
      <c r="A38" s="49" t="s">
        <v>44</v>
      </c>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49"/>
      <c r="DJ38" s="49"/>
      <c r="DK38" s="49"/>
      <c r="DL38" s="49"/>
      <c r="DM38" s="49"/>
      <c r="DN38" s="49"/>
      <c r="DO38" s="49"/>
      <c r="DP38" s="49"/>
      <c r="DQ38" s="49"/>
      <c r="DR38" s="49"/>
      <c r="DS38" s="49"/>
      <c r="DT38" s="49"/>
      <c r="DU38" s="49"/>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49"/>
      <c r="HW38" s="49"/>
      <c r="HX38" s="49"/>
      <c r="HY38" s="49"/>
      <c r="HZ38" s="49"/>
      <c r="IA38" s="49"/>
      <c r="IB38" s="49"/>
      <c r="IC38" s="49"/>
      <c r="ID38" s="49"/>
      <c r="IE38" s="49"/>
      <c r="IF38" s="49"/>
      <c r="IG38" s="49"/>
      <c r="IH38" s="49"/>
      <c r="II38" s="49"/>
      <c r="IJ38" s="49"/>
      <c r="IK38" s="49"/>
      <c r="IL38" s="49"/>
      <c r="IM38" s="49"/>
      <c r="IN38" s="49"/>
      <c r="IO38" s="49"/>
      <c r="IP38" s="49"/>
      <c r="IQ38" s="49"/>
      <c r="IR38" s="49"/>
      <c r="IS38" s="49"/>
      <c r="IT38" s="49"/>
      <c r="IU38" s="49"/>
      <c r="IV38" s="49"/>
      <c r="IW38" s="49"/>
    </row>
    <row r="39" s="62" customFormat="true" ht="115" hidden="false" customHeight="true" outlineLevel="2" collapsed="false">
      <c r="A39" s="51" t="s">
        <v>2556</v>
      </c>
      <c r="B39" s="52"/>
      <c r="C39" s="57"/>
      <c r="D39" s="53" t="s">
        <v>2557</v>
      </c>
      <c r="E39" s="53" t="s">
        <v>103</v>
      </c>
      <c r="F39" s="54" t="n">
        <v>366.96</v>
      </c>
      <c r="G39" s="55"/>
      <c r="H39" s="56" t="str">
        <f aca="false">IF(ISBLANK(G39),"",IF(ISNUMBER(F39),ROUND(F39*G39,2),"Укажите цену"))</f>
        <v/>
      </c>
      <c r="I39" s="57" t="n">
        <v>38</v>
      </c>
      <c r="J39" s="26" t="n">
        <v>11.79</v>
      </c>
      <c r="K39" s="57" t="s">
        <v>2558</v>
      </c>
      <c r="L39" s="57" t="n">
        <v>43</v>
      </c>
      <c r="M39" s="57" t="s">
        <v>640</v>
      </c>
      <c r="N39" s="57" t="n">
        <v>258</v>
      </c>
      <c r="O39" s="57" t="s">
        <v>641</v>
      </c>
      <c r="P39" s="58" t="n">
        <v>0.074</v>
      </c>
      <c r="Q39" s="190" t="s">
        <v>2559</v>
      </c>
      <c r="R39" s="93" t="s">
        <v>2560</v>
      </c>
      <c r="S39" s="60" t="s">
        <v>96</v>
      </c>
      <c r="T39" s="87"/>
      <c r="U39" s="61"/>
      <c r="V39" s="61"/>
      <c r="W39" s="61"/>
      <c r="X39" s="61"/>
      <c r="Y39" s="61"/>
      <c r="Z39" s="61"/>
    </row>
    <row r="40" s="62" customFormat="true" ht="115" hidden="false" customHeight="true" outlineLevel="2" collapsed="false">
      <c r="A40" s="51" t="s">
        <v>2561</v>
      </c>
      <c r="B40" s="52"/>
      <c r="C40" s="57"/>
      <c r="D40" s="53" t="s">
        <v>2562</v>
      </c>
      <c r="E40" s="53" t="s">
        <v>89</v>
      </c>
      <c r="F40" s="54" t="n">
        <v>277.26</v>
      </c>
      <c r="G40" s="55"/>
      <c r="H40" s="56" t="str">
        <f aca="false">IF(ISBLANK(G40),"",IF(ISNUMBER(F40),ROUND(F40*G40,2),"Укажите цену"))</f>
        <v/>
      </c>
      <c r="I40" s="57" t="n">
        <v>36</v>
      </c>
      <c r="J40" s="26" t="n">
        <v>11.18</v>
      </c>
      <c r="K40" s="57" t="s">
        <v>2563</v>
      </c>
      <c r="L40" s="57" t="n">
        <v>43</v>
      </c>
      <c r="M40" s="57" t="s">
        <v>640</v>
      </c>
      <c r="N40" s="57" t="n">
        <v>258</v>
      </c>
      <c r="O40" s="57" t="s">
        <v>641</v>
      </c>
      <c r="P40" s="58" t="n">
        <v>0.074</v>
      </c>
      <c r="Q40" s="68" t="s">
        <v>2564</v>
      </c>
      <c r="R40" s="93" t="s">
        <v>2565</v>
      </c>
      <c r="S40" s="60" t="s">
        <v>96</v>
      </c>
      <c r="T40" s="87"/>
      <c r="U40" s="61"/>
      <c r="V40" s="61"/>
      <c r="W40" s="61"/>
      <c r="X40" s="61"/>
      <c r="Y40" s="61"/>
      <c r="Z40" s="61"/>
    </row>
    <row r="41" s="34" customFormat="true" ht="115" hidden="false" customHeight="true" outlineLevel="2" collapsed="false">
      <c r="A41" s="51" t="s">
        <v>2566</v>
      </c>
      <c r="B41" s="57"/>
      <c r="C41" s="57"/>
      <c r="D41" s="53" t="s">
        <v>2567</v>
      </c>
      <c r="E41" s="53" t="s">
        <v>89</v>
      </c>
      <c r="F41" s="54" t="n">
        <v>269.11</v>
      </c>
      <c r="G41" s="55"/>
      <c r="H41" s="56" t="str">
        <f aca="false">IF(ISBLANK(G41),"",IF(ISNUMBER(F41),ROUND(F41*G41,2),"Укажите цену"))</f>
        <v/>
      </c>
      <c r="I41" s="57" t="n">
        <v>34</v>
      </c>
      <c r="J41" s="57" t="n">
        <v>10.73</v>
      </c>
      <c r="K41" s="57" t="s">
        <v>2568</v>
      </c>
      <c r="L41" s="57" t="n">
        <v>43</v>
      </c>
      <c r="M41" s="57" t="s">
        <v>640</v>
      </c>
      <c r="N41" s="57" t="n">
        <v>258</v>
      </c>
      <c r="O41" s="57" t="s">
        <v>641</v>
      </c>
      <c r="P41" s="58" t="n">
        <v>0.074</v>
      </c>
      <c r="Q41" s="92" t="s">
        <v>2569</v>
      </c>
      <c r="R41" s="93" t="s">
        <v>2570</v>
      </c>
      <c r="S41" s="165" t="s">
        <v>96</v>
      </c>
      <c r="T41" s="61"/>
    </row>
    <row r="42" s="36" customFormat="true" ht="6" hidden="false" customHeight="true" outlineLevel="2" collapsed="false">
      <c r="A42" s="33"/>
      <c r="B42" s="34"/>
      <c r="C42" s="34"/>
      <c r="D42" s="53"/>
      <c r="E42" s="53"/>
      <c r="I42" s="37"/>
      <c r="J42" s="38"/>
      <c r="K42" s="37"/>
      <c r="L42" s="39"/>
      <c r="M42" s="39"/>
      <c r="N42" s="39"/>
      <c r="O42" s="39"/>
      <c r="P42" s="113"/>
      <c r="Q42" s="39"/>
      <c r="R42" s="41"/>
      <c r="S42" s="41"/>
      <c r="T42" s="61"/>
      <c r="U42" s="34"/>
      <c r="V42" s="34"/>
      <c r="W42" s="34"/>
      <c r="X42" s="34"/>
      <c r="Y42" s="34"/>
      <c r="Z42" s="34"/>
      <c r="AA42" s="34"/>
      <c r="AB42" s="34"/>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c r="FF42" s="39"/>
      <c r="FG42" s="39"/>
      <c r="FH42" s="39"/>
      <c r="FI42" s="39"/>
      <c r="FJ42" s="39"/>
      <c r="FK42" s="39"/>
      <c r="FL42" s="39"/>
      <c r="FM42" s="39"/>
      <c r="FN42" s="39"/>
      <c r="FO42" s="39"/>
      <c r="FP42" s="39"/>
      <c r="FQ42" s="39"/>
      <c r="FR42" s="39"/>
      <c r="FS42" s="39"/>
      <c r="FT42" s="39"/>
      <c r="FU42" s="39"/>
      <c r="FV42" s="39"/>
      <c r="FW42" s="39"/>
      <c r="FX42" s="39"/>
      <c r="FY42" s="39"/>
      <c r="FZ42" s="39"/>
      <c r="GA42" s="39"/>
      <c r="GB42" s="39"/>
      <c r="GC42" s="39"/>
      <c r="GD42" s="39"/>
      <c r="GE42" s="39"/>
      <c r="GF42" s="39"/>
      <c r="GG42" s="39"/>
      <c r="GH42" s="39"/>
      <c r="GI42" s="39"/>
      <c r="GJ42" s="39"/>
      <c r="GK42" s="39"/>
      <c r="GL42" s="39"/>
      <c r="GM42" s="39"/>
      <c r="GN42" s="39"/>
      <c r="GO42" s="39"/>
      <c r="GP42" s="39"/>
      <c r="GQ42" s="39"/>
      <c r="GR42" s="39"/>
      <c r="GS42" s="39"/>
      <c r="GT42" s="39"/>
      <c r="GU42" s="39"/>
      <c r="GV42" s="39"/>
      <c r="GW42" s="39"/>
      <c r="GX42" s="39"/>
      <c r="GY42" s="39"/>
      <c r="GZ42" s="39"/>
      <c r="HA42" s="39"/>
      <c r="HB42" s="39"/>
      <c r="HC42" s="39"/>
      <c r="HD42" s="39"/>
      <c r="HE42" s="39"/>
      <c r="HF42" s="39"/>
      <c r="HG42" s="39"/>
      <c r="HH42" s="39"/>
      <c r="HI42" s="39"/>
      <c r="HJ42" s="39"/>
      <c r="HK42" s="39"/>
      <c r="HL42" s="39"/>
      <c r="HM42" s="39"/>
      <c r="HN42" s="39"/>
      <c r="HO42" s="39"/>
      <c r="HP42" s="39"/>
      <c r="HQ42" s="39"/>
      <c r="HR42" s="39"/>
      <c r="HS42" s="39"/>
      <c r="HT42" s="39"/>
      <c r="HU42" s="39"/>
      <c r="HV42" s="39"/>
      <c r="HW42" s="39"/>
      <c r="HX42" s="39"/>
      <c r="HY42" s="39"/>
      <c r="HZ42" s="39"/>
      <c r="IA42" s="39"/>
      <c r="IB42" s="39"/>
      <c r="IC42" s="39"/>
      <c r="ID42" s="39"/>
      <c r="IE42" s="39"/>
      <c r="IF42" s="39"/>
      <c r="IG42" s="39"/>
      <c r="IH42" s="39"/>
      <c r="II42" s="39"/>
      <c r="IJ42" s="39"/>
      <c r="IK42" s="39"/>
      <c r="IL42" s="39"/>
      <c r="IM42" s="39"/>
      <c r="IN42" s="39"/>
      <c r="IO42" s="39"/>
      <c r="IP42" s="39"/>
      <c r="IQ42" s="39"/>
      <c r="IR42" s="39"/>
      <c r="IS42" s="39"/>
      <c r="IT42" s="39"/>
      <c r="IU42" s="39"/>
      <c r="IV42" s="39"/>
      <c r="IW42" s="39"/>
    </row>
    <row r="43" s="50" customFormat="true" ht="27" hidden="false" customHeight="true" outlineLevel="1" collapsed="false">
      <c r="A43" s="49" t="s">
        <v>45</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c r="DA43" s="49"/>
      <c r="DB43" s="49"/>
      <c r="DC43" s="49"/>
      <c r="DD43" s="49"/>
      <c r="DE43" s="49"/>
      <c r="DF43" s="49"/>
      <c r="DG43" s="49"/>
      <c r="DH43" s="49"/>
      <c r="DI43" s="49"/>
      <c r="DJ43" s="49"/>
      <c r="DK43" s="49"/>
      <c r="DL43" s="49"/>
      <c r="DM43" s="49"/>
      <c r="DN43" s="49"/>
      <c r="DO43" s="49"/>
      <c r="DP43" s="49"/>
      <c r="DQ43" s="49"/>
      <c r="DR43" s="49"/>
      <c r="DS43" s="49"/>
      <c r="DT43" s="49"/>
      <c r="DU43" s="49"/>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49"/>
      <c r="HW43" s="49"/>
      <c r="HX43" s="49"/>
      <c r="HY43" s="49"/>
      <c r="HZ43" s="49"/>
      <c r="IA43" s="49"/>
      <c r="IB43" s="49"/>
      <c r="IC43" s="49"/>
      <c r="ID43" s="49"/>
      <c r="IE43" s="49"/>
      <c r="IF43" s="49"/>
      <c r="IG43" s="49"/>
      <c r="IH43" s="49"/>
      <c r="II43" s="49"/>
      <c r="IJ43" s="49"/>
      <c r="IK43" s="49"/>
      <c r="IL43" s="49"/>
      <c r="IM43" s="49"/>
      <c r="IN43" s="49"/>
      <c r="IO43" s="49"/>
      <c r="IP43" s="49"/>
      <c r="IQ43" s="49"/>
      <c r="IR43" s="49"/>
      <c r="IS43" s="49"/>
      <c r="IT43" s="49"/>
      <c r="IU43" s="49"/>
      <c r="IV43" s="49"/>
      <c r="IW43" s="49"/>
    </row>
    <row r="44" s="62" customFormat="true" ht="115" hidden="false" customHeight="true" outlineLevel="2" collapsed="false">
      <c r="A44" s="51" t="s">
        <v>2571</v>
      </c>
      <c r="B44" s="52"/>
      <c r="C44" s="57"/>
      <c r="D44" s="53" t="s">
        <v>2572</v>
      </c>
      <c r="E44" s="53" t="s">
        <v>89</v>
      </c>
      <c r="F44" s="54" t="n">
        <v>203.87</v>
      </c>
      <c r="G44" s="55"/>
      <c r="H44" s="56" t="str">
        <f aca="false">IF(ISBLANK(G44),"",IF(ISNUMBER(F44),ROUND(F44*G44,2),"Укажите цену"))</f>
        <v/>
      </c>
      <c r="I44" s="57" t="n">
        <v>56</v>
      </c>
      <c r="J44" s="57" t="n">
        <v>12.75</v>
      </c>
      <c r="K44" s="57" t="s">
        <v>2573</v>
      </c>
      <c r="L44" s="57" t="n">
        <v>48</v>
      </c>
      <c r="M44" s="57" t="s">
        <v>284</v>
      </c>
      <c r="N44" s="57" t="n">
        <v>192</v>
      </c>
      <c r="O44" s="57" t="s">
        <v>696</v>
      </c>
      <c r="P44" s="58" t="n">
        <v>0.095</v>
      </c>
      <c r="Q44" s="68" t="s">
        <v>2574</v>
      </c>
      <c r="R44" s="125" t="s">
        <v>2575</v>
      </c>
      <c r="S44" s="60" t="s">
        <v>96</v>
      </c>
      <c r="T44" s="87"/>
      <c r="U44" s="61"/>
      <c r="V44" s="61"/>
      <c r="W44" s="61"/>
      <c r="X44" s="61"/>
      <c r="Y44" s="61"/>
      <c r="Z44" s="61"/>
    </row>
    <row r="45" s="34" customFormat="true" ht="115" hidden="false" customHeight="true" outlineLevel="2" collapsed="false">
      <c r="A45" s="51" t="s">
        <v>2576</v>
      </c>
      <c r="B45" s="57"/>
      <c r="C45" s="57"/>
      <c r="D45" s="53" t="s">
        <v>2577</v>
      </c>
      <c r="E45" s="53" t="s">
        <v>89</v>
      </c>
      <c r="F45" s="54" t="n">
        <v>187.56</v>
      </c>
      <c r="G45" s="55"/>
      <c r="H45" s="56" t="str">
        <f aca="false">IF(ISBLANK(G45),"",IF(ISNUMBER(F45),ROUND(F45*G45,2),"Укажите цену"))</f>
        <v/>
      </c>
      <c r="I45" s="57" t="n">
        <v>39</v>
      </c>
      <c r="J45" s="57" t="n">
        <v>16.9</v>
      </c>
      <c r="K45" s="57" t="s">
        <v>1951</v>
      </c>
      <c r="L45" s="57" t="n">
        <v>94</v>
      </c>
      <c r="M45" s="57" t="s">
        <v>284</v>
      </c>
      <c r="N45" s="57" t="n">
        <v>376</v>
      </c>
      <c r="O45" s="57" t="s">
        <v>696</v>
      </c>
      <c r="P45" s="57" t="n">
        <v>0.095</v>
      </c>
      <c r="Q45" s="191" t="s">
        <v>2578</v>
      </c>
      <c r="R45" s="93" t="s">
        <v>2579</v>
      </c>
      <c r="S45" s="60" t="s">
        <v>96</v>
      </c>
      <c r="T45" s="61"/>
    </row>
    <row r="46" s="34" customFormat="true" ht="115" hidden="false" customHeight="true" outlineLevel="2" collapsed="false">
      <c r="A46" s="51" t="s">
        <v>2580</v>
      </c>
      <c r="B46" s="192"/>
      <c r="C46" s="193"/>
      <c r="D46" s="53" t="s">
        <v>2581</v>
      </c>
      <c r="E46" s="53" t="s">
        <v>89</v>
      </c>
      <c r="F46" s="54" t="n">
        <v>236.49</v>
      </c>
      <c r="G46" s="55"/>
      <c r="H46" s="56" t="str">
        <f aca="false">IF(ISBLANK(G46),"",IF(ISNUMBER(F46),ROUND(F46*G46,2),"Укажите цену"))</f>
        <v/>
      </c>
      <c r="I46" s="57" t="n">
        <v>68</v>
      </c>
      <c r="J46" s="57" t="n">
        <v>11.2</v>
      </c>
      <c r="K46" s="57" t="s">
        <v>2582</v>
      </c>
      <c r="L46" s="57" t="s">
        <v>91</v>
      </c>
      <c r="M46" s="57" t="s">
        <v>92</v>
      </c>
      <c r="N46" s="57" t="n">
        <v>151</v>
      </c>
      <c r="O46" s="57" t="s">
        <v>696</v>
      </c>
      <c r="P46" s="58" t="n">
        <v>0.095</v>
      </c>
      <c r="Q46" s="191" t="s">
        <v>2583</v>
      </c>
      <c r="R46" s="93" t="s">
        <v>2584</v>
      </c>
      <c r="S46" s="60" t="s">
        <v>96</v>
      </c>
      <c r="T46" s="61"/>
    </row>
    <row r="47" s="34" customFormat="true" ht="115" hidden="false" customHeight="true" outlineLevel="2" collapsed="false">
      <c r="A47" s="51" t="s">
        <v>2585</v>
      </c>
      <c r="B47" s="57"/>
      <c r="C47" s="57"/>
      <c r="D47" s="53" t="s">
        <v>2586</v>
      </c>
      <c r="E47" s="53" t="s">
        <v>89</v>
      </c>
      <c r="F47" s="54" t="n">
        <v>228.33</v>
      </c>
      <c r="G47" s="55"/>
      <c r="H47" s="56" t="str">
        <f aca="false">IF(ISBLANK(G47),"",IF(ISNUMBER(F47),ROUND(F47*G47,2),"Укажите цену"))</f>
        <v/>
      </c>
      <c r="I47" s="57" t="n">
        <v>47</v>
      </c>
      <c r="J47" s="57" t="n">
        <v>14.6</v>
      </c>
      <c r="K47" s="57" t="s">
        <v>2587</v>
      </c>
      <c r="L47" s="57" t="n">
        <v>45</v>
      </c>
      <c r="M47" s="57" t="s">
        <v>640</v>
      </c>
      <c r="N47" s="57" t="n">
        <v>270</v>
      </c>
      <c r="O47" s="57" t="s">
        <v>641</v>
      </c>
      <c r="P47" s="58" t="n">
        <v>0.074</v>
      </c>
      <c r="Q47" s="68" t="s">
        <v>2588</v>
      </c>
      <c r="R47" s="93" t="s">
        <v>2589</v>
      </c>
      <c r="S47" s="60" t="s">
        <v>96</v>
      </c>
      <c r="T47" s="61"/>
    </row>
    <row r="48" s="34" customFormat="true" ht="115" hidden="false" customHeight="true" outlineLevel="2" collapsed="false">
      <c r="A48" s="51" t="s">
        <v>2590</v>
      </c>
      <c r="B48" s="57"/>
      <c r="C48" s="57"/>
      <c r="D48" s="53" t="s">
        <v>2591</v>
      </c>
      <c r="E48" s="53" t="s">
        <v>89</v>
      </c>
      <c r="F48" s="54" t="n">
        <v>301.72</v>
      </c>
      <c r="G48" s="55"/>
      <c r="H48" s="56" t="str">
        <f aca="false">IF(ISBLANK(G48),"",IF(ISNUMBER(F48),ROUND(F48*G48,2),"Укажите цену"))</f>
        <v/>
      </c>
      <c r="I48" s="57" t="n">
        <v>86</v>
      </c>
      <c r="J48" s="57" t="n">
        <v>12.2</v>
      </c>
      <c r="K48" s="57" t="s">
        <v>2592</v>
      </c>
      <c r="L48" s="57" t="s">
        <v>91</v>
      </c>
      <c r="M48" s="57" t="s">
        <v>92</v>
      </c>
      <c r="N48" s="57" t="n">
        <v>131</v>
      </c>
      <c r="O48" s="57" t="s">
        <v>696</v>
      </c>
      <c r="P48" s="58" t="n">
        <v>0.095</v>
      </c>
      <c r="Q48" s="92" t="s">
        <v>2593</v>
      </c>
      <c r="R48" s="69" t="s">
        <v>2594</v>
      </c>
      <c r="S48" s="165" t="s">
        <v>96</v>
      </c>
      <c r="T48" s="61"/>
    </row>
    <row r="49" s="70" customFormat="true" ht="115" hidden="false" customHeight="true" outlineLevel="2" collapsed="false">
      <c r="A49" s="51" t="s">
        <v>2595</v>
      </c>
      <c r="B49" s="57"/>
      <c r="C49" s="57"/>
      <c r="D49" s="53" t="s">
        <v>2596</v>
      </c>
      <c r="E49" s="53" t="s">
        <v>89</v>
      </c>
      <c r="F49" s="54" t="n">
        <v>318.03</v>
      </c>
      <c r="G49" s="55"/>
      <c r="H49" s="56" t="str">
        <f aca="false">IF(ISBLANK(G49),"",IF(ISNUMBER(F49),ROUND(F49*G49,2),"Укажите цену"))</f>
        <v/>
      </c>
      <c r="I49" s="57" t="n">
        <v>81</v>
      </c>
      <c r="J49" s="57" t="n">
        <v>11.45</v>
      </c>
      <c r="K49" s="57" t="s">
        <v>2597</v>
      </c>
      <c r="L49" s="57" t="s">
        <v>91</v>
      </c>
      <c r="M49" s="57" t="s">
        <v>92</v>
      </c>
      <c r="N49" s="57" t="n">
        <v>131</v>
      </c>
      <c r="O49" s="57" t="s">
        <v>696</v>
      </c>
      <c r="P49" s="58" t="n">
        <v>0.095</v>
      </c>
      <c r="Q49" s="68" t="s">
        <v>2598</v>
      </c>
      <c r="R49" s="93" t="s">
        <v>2599</v>
      </c>
      <c r="S49" s="60" t="s">
        <v>2600</v>
      </c>
      <c r="T49" s="61"/>
    </row>
    <row r="50" s="70" customFormat="true" ht="115" hidden="false" customHeight="true" outlineLevel="2" collapsed="false">
      <c r="A50" s="51" t="s">
        <v>2601</v>
      </c>
      <c r="B50" s="57"/>
      <c r="C50" s="57"/>
      <c r="D50" s="53" t="s">
        <v>2602</v>
      </c>
      <c r="E50" s="53" t="s">
        <v>89</v>
      </c>
      <c r="F50" s="54" t="n">
        <v>244.64</v>
      </c>
      <c r="G50" s="55"/>
      <c r="H50" s="56" t="str">
        <f aca="false">IF(ISBLANK(G50),"",IF(ISNUMBER(F50),ROUND(F50*G50,2),"Укажите цену"))</f>
        <v/>
      </c>
      <c r="I50" s="57" t="n">
        <v>73</v>
      </c>
      <c r="J50" s="57" t="n">
        <v>10.6</v>
      </c>
      <c r="K50" s="57" t="s">
        <v>2603</v>
      </c>
      <c r="L50" s="57" t="n">
        <v>29</v>
      </c>
      <c r="M50" s="57" t="s">
        <v>284</v>
      </c>
      <c r="N50" s="57" t="n">
        <v>116</v>
      </c>
      <c r="O50" s="57" t="s">
        <v>696</v>
      </c>
      <c r="P50" s="58" t="n">
        <v>0.095</v>
      </c>
      <c r="Q50" s="68" t="s">
        <v>2604</v>
      </c>
      <c r="R50" s="69" t="s">
        <v>2605</v>
      </c>
      <c r="S50" s="60" t="s">
        <v>96</v>
      </c>
      <c r="T50" s="61"/>
    </row>
    <row r="51" s="70" customFormat="true" ht="115" hidden="false" customHeight="true" outlineLevel="2" collapsed="false">
      <c r="A51" s="51" t="s">
        <v>2606</v>
      </c>
      <c r="B51" s="57"/>
      <c r="C51" s="57"/>
      <c r="D51" s="53" t="s">
        <v>2607</v>
      </c>
      <c r="E51" s="53" t="s">
        <v>638</v>
      </c>
      <c r="F51" s="54" t="n">
        <v>244.64</v>
      </c>
      <c r="G51" s="55"/>
      <c r="H51" s="56" t="str">
        <f aca="false">IF(ISBLANK(G51),"",IF(ISNUMBER(F51),ROUND(F51*G51,2),"Укажите цену"))</f>
        <v/>
      </c>
      <c r="I51" s="57" t="n">
        <v>38</v>
      </c>
      <c r="J51" s="57" t="n">
        <v>12.6</v>
      </c>
      <c r="K51" s="57" t="s">
        <v>147</v>
      </c>
      <c r="L51" s="57" t="n">
        <v>69</v>
      </c>
      <c r="M51" s="57" t="s">
        <v>284</v>
      </c>
      <c r="N51" s="57" t="n">
        <v>276</v>
      </c>
      <c r="O51" s="57" t="s">
        <v>696</v>
      </c>
      <c r="P51" s="58" t="n">
        <v>0.107</v>
      </c>
      <c r="Q51" s="68" t="s">
        <v>2608</v>
      </c>
      <c r="R51" s="69" t="s">
        <v>2609</v>
      </c>
      <c r="S51" s="155" t="s">
        <v>96</v>
      </c>
      <c r="T51" s="61"/>
    </row>
    <row r="52" s="70" customFormat="true" ht="115" hidden="false" customHeight="true" outlineLevel="2" collapsed="false">
      <c r="A52" s="51" t="s">
        <v>2610</v>
      </c>
      <c r="B52" s="57"/>
      <c r="C52" s="57"/>
      <c r="D52" s="53" t="s">
        <v>2611</v>
      </c>
      <c r="E52" s="53" t="s">
        <v>89</v>
      </c>
      <c r="F52" s="54" t="n">
        <v>260.95</v>
      </c>
      <c r="G52" s="55"/>
      <c r="H52" s="56" t="str">
        <f aca="false">IF(ISBLANK(G52),"",IF(ISNUMBER(F52),ROUND(F52*G52,2),"Укажите цену"))</f>
        <v/>
      </c>
      <c r="I52" s="57" t="n">
        <v>72</v>
      </c>
      <c r="J52" s="57" t="n">
        <v>14.2</v>
      </c>
      <c r="K52" s="57" t="s">
        <v>2612</v>
      </c>
      <c r="L52" s="57" t="n">
        <v>42</v>
      </c>
      <c r="M52" s="57" t="s">
        <v>284</v>
      </c>
      <c r="N52" s="57" t="n">
        <v>168</v>
      </c>
      <c r="O52" s="57" t="s">
        <v>1215</v>
      </c>
      <c r="P52" s="58" t="n">
        <v>0.107</v>
      </c>
      <c r="Q52" s="68" t="s">
        <v>2613</v>
      </c>
      <c r="R52" s="77" t="s">
        <v>2614</v>
      </c>
      <c r="S52" s="155" t="s">
        <v>96</v>
      </c>
      <c r="T52" s="61"/>
    </row>
    <row r="53" s="62" customFormat="true" ht="115" hidden="false" customHeight="true" outlineLevel="2" collapsed="false">
      <c r="A53" s="51" t="s">
        <v>2615</v>
      </c>
      <c r="B53" s="57"/>
      <c r="C53" s="57"/>
      <c r="D53" s="53" t="s">
        <v>2616</v>
      </c>
      <c r="E53" s="53" t="s">
        <v>89</v>
      </c>
      <c r="F53" s="54" t="n">
        <v>391.43</v>
      </c>
      <c r="G53" s="55"/>
      <c r="H53" s="56" t="str">
        <f aca="false">IF(ISBLANK(G53),"",IF(ISNUMBER(F53),ROUND(F53*G53,2),"Укажите цену"))</f>
        <v/>
      </c>
      <c r="I53" s="57" t="n">
        <v>78</v>
      </c>
      <c r="J53" s="26" t="n">
        <v>9.85</v>
      </c>
      <c r="K53" s="57" t="s">
        <v>2617</v>
      </c>
      <c r="L53" s="57" t="s">
        <v>91</v>
      </c>
      <c r="M53" s="57" t="s">
        <v>92</v>
      </c>
      <c r="N53" s="57" t="n">
        <v>112</v>
      </c>
      <c r="O53" s="57" t="s">
        <v>696</v>
      </c>
      <c r="P53" s="58" t="n">
        <v>0.095</v>
      </c>
      <c r="Q53" s="59" t="s">
        <v>2618</v>
      </c>
      <c r="R53" s="77" t="s">
        <v>2619</v>
      </c>
      <c r="S53" s="73" t="s">
        <v>96</v>
      </c>
      <c r="T53" s="61"/>
      <c r="U53" s="87"/>
      <c r="V53" s="61"/>
      <c r="W53" s="61"/>
      <c r="X53" s="61"/>
      <c r="Y53" s="61"/>
      <c r="Z53" s="61"/>
    </row>
    <row r="54" s="70" customFormat="true" ht="115" hidden="false" customHeight="true" outlineLevel="2" collapsed="false">
      <c r="A54" s="51" t="s">
        <v>2620</v>
      </c>
      <c r="B54" s="57"/>
      <c r="C54" s="57"/>
      <c r="D54" s="53" t="s">
        <v>2621</v>
      </c>
      <c r="E54" s="53" t="s">
        <v>638</v>
      </c>
      <c r="F54" s="54" t="n">
        <v>350.65</v>
      </c>
      <c r="G54" s="55"/>
      <c r="H54" s="56" t="str">
        <f aca="false">IF(ISBLANK(G54),"",IF(ISNUMBER(F54),ROUND(F54*G54,2),"Укажите цену"))</f>
        <v/>
      </c>
      <c r="I54" s="57" t="n">
        <v>54</v>
      </c>
      <c r="J54" s="57" t="n">
        <v>11.3</v>
      </c>
      <c r="K54" s="57" t="s">
        <v>2622</v>
      </c>
      <c r="L54" s="57" t="n">
        <v>42</v>
      </c>
      <c r="M54" s="57" t="s">
        <v>284</v>
      </c>
      <c r="N54" s="57" t="n">
        <v>168</v>
      </c>
      <c r="O54" s="57" t="s">
        <v>696</v>
      </c>
      <c r="P54" s="58" t="n">
        <v>0.095</v>
      </c>
      <c r="Q54" s="68" t="s">
        <v>2623</v>
      </c>
      <c r="R54" s="69" t="s">
        <v>2624</v>
      </c>
      <c r="S54" s="60" t="s">
        <v>96</v>
      </c>
      <c r="T54" s="61"/>
    </row>
    <row r="55" s="70" customFormat="true" ht="115" hidden="false" customHeight="true" outlineLevel="2" collapsed="false">
      <c r="A55" s="51" t="s">
        <v>2625</v>
      </c>
      <c r="B55" s="57"/>
      <c r="C55" s="57"/>
      <c r="D55" s="53" t="s">
        <v>2626</v>
      </c>
      <c r="E55" s="53" t="s">
        <v>89</v>
      </c>
      <c r="F55" s="54" t="n">
        <v>366.96</v>
      </c>
      <c r="G55" s="55"/>
      <c r="H55" s="56" t="str">
        <f aca="false">IF(ISBLANK(G55),"",IF(ISNUMBER(F55),ROUND(F55*G55,2),"Укажите цену"))</f>
        <v/>
      </c>
      <c r="I55" s="57" t="n">
        <v>81</v>
      </c>
      <c r="J55" s="57" t="n">
        <v>11.6</v>
      </c>
      <c r="K55" s="57" t="s">
        <v>2627</v>
      </c>
      <c r="L55" s="57" t="s">
        <v>91</v>
      </c>
      <c r="M55" s="57" t="s">
        <v>92</v>
      </c>
      <c r="N55" s="57" t="n">
        <v>131</v>
      </c>
      <c r="O55" s="57" t="s">
        <v>696</v>
      </c>
      <c r="P55" s="58" t="n">
        <v>0.095</v>
      </c>
      <c r="Q55" s="68" t="s">
        <v>2628</v>
      </c>
      <c r="R55" s="69" t="s">
        <v>2629</v>
      </c>
      <c r="S55" s="155" t="s">
        <v>96</v>
      </c>
      <c r="T55" s="61"/>
    </row>
    <row r="56" s="62" customFormat="true" ht="115" hidden="false" customHeight="true" outlineLevel="2" collapsed="false">
      <c r="A56" s="51" t="s">
        <v>2630</v>
      </c>
      <c r="B56" s="57"/>
      <c r="C56" s="57"/>
      <c r="D56" s="53" t="s">
        <v>2631</v>
      </c>
      <c r="E56" s="53" t="s">
        <v>89</v>
      </c>
      <c r="F56" s="54" t="n">
        <v>309.88</v>
      </c>
      <c r="G56" s="55"/>
      <c r="H56" s="56" t="str">
        <f aca="false">IF(ISBLANK(G56),"",IF(ISNUMBER(F56),ROUND(F56*G56,2),"Укажите цену"))</f>
        <v/>
      </c>
      <c r="I56" s="57" t="n">
        <v>77</v>
      </c>
      <c r="J56" s="26" t="n">
        <v>11.15</v>
      </c>
      <c r="K56" s="57" t="s">
        <v>2592</v>
      </c>
      <c r="L56" s="57" t="s">
        <v>91</v>
      </c>
      <c r="M56" s="57" t="s">
        <v>92</v>
      </c>
      <c r="N56" s="57" t="n">
        <v>131</v>
      </c>
      <c r="O56" s="57" t="s">
        <v>696</v>
      </c>
      <c r="P56" s="58" t="n">
        <v>0.095</v>
      </c>
      <c r="Q56" s="59" t="s">
        <v>2632</v>
      </c>
      <c r="R56" s="77" t="s">
        <v>2633</v>
      </c>
      <c r="S56" s="73" t="s">
        <v>96</v>
      </c>
      <c r="T56" s="61"/>
      <c r="U56" s="87"/>
      <c r="V56" s="61"/>
      <c r="W56" s="61"/>
      <c r="X56" s="61"/>
      <c r="Y56" s="61"/>
      <c r="Z56" s="61"/>
    </row>
    <row r="57" s="62" customFormat="true" ht="115" hidden="false" customHeight="true" outlineLevel="2" collapsed="false">
      <c r="A57" s="51" t="s">
        <v>2634</v>
      </c>
      <c r="B57" s="52"/>
      <c r="C57" s="57"/>
      <c r="D57" s="53" t="s">
        <v>2635</v>
      </c>
      <c r="E57" s="53" t="s">
        <v>89</v>
      </c>
      <c r="F57" s="54" t="n">
        <v>456.66</v>
      </c>
      <c r="G57" s="55"/>
      <c r="H57" s="56" t="str">
        <f aca="false">IF(ISBLANK(G57),"",IF(ISNUMBER(F57),ROUND(F57*G57,2),"Укажите цену"))</f>
        <v/>
      </c>
      <c r="I57" s="57" t="n">
        <v>70</v>
      </c>
      <c r="J57" s="57" t="n">
        <v>10.5</v>
      </c>
      <c r="K57" s="57" t="s">
        <v>2636</v>
      </c>
      <c r="L57" s="57" t="n">
        <v>30</v>
      </c>
      <c r="M57" s="57" t="s">
        <v>284</v>
      </c>
      <c r="N57" s="57" t="n">
        <v>120</v>
      </c>
      <c r="O57" s="57" t="s">
        <v>696</v>
      </c>
      <c r="P57" s="58" t="n">
        <v>0.095</v>
      </c>
      <c r="Q57" s="166" t="s">
        <v>2637</v>
      </c>
      <c r="R57" s="60" t="s">
        <v>2638</v>
      </c>
      <c r="S57" s="73" t="s">
        <v>96</v>
      </c>
      <c r="T57" s="61"/>
      <c r="U57" s="61"/>
      <c r="V57" s="61"/>
      <c r="W57" s="61"/>
      <c r="X57" s="61"/>
      <c r="Y57" s="61"/>
      <c r="Z57" s="61"/>
    </row>
    <row r="58" s="42" customFormat="true" ht="115" hidden="false" customHeight="true" outlineLevel="2" collapsed="false">
      <c r="A58" s="51" t="s">
        <v>2639</v>
      </c>
      <c r="B58" s="57"/>
      <c r="C58" s="57"/>
      <c r="D58" s="53" t="s">
        <v>2640</v>
      </c>
      <c r="E58" s="53" t="s">
        <v>89</v>
      </c>
      <c r="F58" s="54" t="n">
        <v>350.65</v>
      </c>
      <c r="G58" s="55"/>
      <c r="H58" s="56" t="str">
        <f aca="false">IF(ISBLANK(G58),"",IF(ISNUMBER(F58),ROUND(F58*G58,2),"Укажите цену"))</f>
        <v/>
      </c>
      <c r="I58" s="57" t="n">
        <v>59</v>
      </c>
      <c r="J58" s="57" t="n">
        <v>11.4</v>
      </c>
      <c r="K58" s="57" t="s">
        <v>2641</v>
      </c>
      <c r="L58" s="57" t="n">
        <v>40</v>
      </c>
      <c r="M58" s="57" t="s">
        <v>284</v>
      </c>
      <c r="N58" s="57" t="n">
        <v>160</v>
      </c>
      <c r="O58" s="57" t="s">
        <v>696</v>
      </c>
      <c r="P58" s="58" t="n">
        <v>0.095</v>
      </c>
      <c r="Q58" s="68" t="s">
        <v>2642</v>
      </c>
      <c r="R58" s="60" t="s">
        <v>2643</v>
      </c>
      <c r="S58" s="73" t="s">
        <v>96</v>
      </c>
      <c r="T58" s="61"/>
      <c r="U58" s="105"/>
      <c r="V58" s="105"/>
      <c r="W58" s="105"/>
      <c r="X58" s="105"/>
      <c r="Y58" s="105"/>
      <c r="Z58" s="105"/>
    </row>
    <row r="59" customFormat="false" ht="30" hidden="false" customHeight="true" outlineLevel="1" collapsed="false">
      <c r="F59" s="109" t="s">
        <v>633</v>
      </c>
      <c r="G59" s="109"/>
      <c r="H59" s="109" t="n">
        <f aca="false">IF(COUNTIFS(H5:H58,"Укажите цену")&gt;0,"Укажите цены",SUM(H5:H58))</f>
        <v>0</v>
      </c>
    </row>
    <row r="60" customFormat="false" ht="50.1" hidden="false" customHeight="true" outlineLevel="0" collapsed="false">
      <c r="A60" s="110"/>
      <c r="D60" s="53"/>
      <c r="E60" s="53"/>
      <c r="I60" s="41"/>
      <c r="J60" s="171"/>
      <c r="K60" s="41"/>
      <c r="L60" s="34"/>
      <c r="M60" s="34"/>
      <c r="N60" s="34"/>
      <c r="O60" s="34"/>
      <c r="P60" s="169"/>
      <c r="Q60" s="34"/>
      <c r="T60" s="61"/>
    </row>
    <row r="61" customFormat="false" ht="50.1" hidden="false" customHeight="true" outlineLevel="0" collapsed="false">
      <c r="T61" s="61"/>
    </row>
    <row r="62" customFormat="false" ht="50.1" hidden="false" customHeight="true" outlineLevel="0" collapsed="false">
      <c r="T62" s="61"/>
    </row>
    <row r="63" customFormat="false" ht="50.1" hidden="false" customHeight="true" outlineLevel="0" collapsed="false">
      <c r="T63" s="61"/>
    </row>
    <row r="64" customFormat="false" ht="50.1" hidden="false" customHeight="true" outlineLevel="0" collapsed="false">
      <c r="T64" s="61"/>
    </row>
    <row r="65" customFormat="false" ht="50.1" hidden="false" customHeight="true" outlineLevel="0" collapsed="false">
      <c r="T65" s="61"/>
    </row>
    <row r="66" customFormat="false" ht="50.1" hidden="false" customHeight="true" outlineLevel="0" collapsed="false">
      <c r="T66" s="61"/>
    </row>
    <row r="67" customFormat="false" ht="50.1" hidden="false" customHeight="true" outlineLevel="0" collapsed="false">
      <c r="T67" s="61"/>
    </row>
    <row r="68" customFormat="false" ht="50.1" hidden="false" customHeight="true" outlineLevel="0" collapsed="false">
      <c r="T68" s="61"/>
    </row>
    <row r="69" customFormat="false" ht="50.1" hidden="false" customHeight="true" outlineLevel="0" collapsed="false">
      <c r="T69" s="61"/>
    </row>
    <row r="70" customFormat="false" ht="50.1" hidden="false" customHeight="true" outlineLevel="0" collapsed="false">
      <c r="T70" s="61"/>
    </row>
    <row r="71" customFormat="false" ht="50.1" hidden="false" customHeight="true" outlineLevel="0" collapsed="false">
      <c r="T71" s="61"/>
    </row>
    <row r="72" customFormat="false" ht="50.1" hidden="false" customHeight="true" outlineLevel="0" collapsed="false">
      <c r="T72" s="61"/>
    </row>
    <row r="73" customFormat="false" ht="50.1" hidden="false" customHeight="true" outlineLevel="0" collapsed="false">
      <c r="T73" s="61"/>
    </row>
    <row r="74" customFormat="false" ht="50.1" hidden="false" customHeight="true" outlineLevel="0" collapsed="false">
      <c r="T74" s="61"/>
    </row>
    <row r="75" customFormat="false" ht="50.1" hidden="false" customHeight="true" outlineLevel="0" collapsed="false">
      <c r="T75" s="61"/>
    </row>
    <row r="76" customFormat="false" ht="50.1" hidden="false" customHeight="true" outlineLevel="0" collapsed="false">
      <c r="T76" s="61"/>
    </row>
    <row r="77" customFormat="false" ht="50.1" hidden="false" customHeight="true" outlineLevel="0" collapsed="false">
      <c r="T77" s="61"/>
    </row>
    <row r="78" customFormat="false" ht="50.1" hidden="false" customHeight="true" outlineLevel="0" collapsed="false">
      <c r="T78" s="61"/>
    </row>
    <row r="79" customFormat="false" ht="50.1" hidden="false" customHeight="true" outlineLevel="0" collapsed="false">
      <c r="T79" s="61"/>
    </row>
    <row r="80" customFormat="false" ht="50.1" hidden="false" customHeight="true" outlineLevel="0" collapsed="false">
      <c r="T80" s="61"/>
    </row>
    <row r="81" customFormat="false" ht="50.1" hidden="false" customHeight="true" outlineLevel="0" collapsed="false">
      <c r="T81" s="61"/>
    </row>
    <row r="82" customFormat="false" ht="50.1" hidden="false" customHeight="true" outlineLevel="0" collapsed="false">
      <c r="T82" s="61"/>
    </row>
    <row r="83" customFormat="false" ht="50.1" hidden="false" customHeight="true" outlineLevel="0" collapsed="false">
      <c r="T83" s="61"/>
    </row>
    <row r="84" customFormat="false" ht="50.1" hidden="false" customHeight="true" outlineLevel="0" collapsed="false">
      <c r="T84" s="61"/>
    </row>
    <row r="85" customFormat="false" ht="50.1" hidden="false" customHeight="true" outlineLevel="0" collapsed="false">
      <c r="T85" s="61"/>
    </row>
    <row r="86" customFormat="false" ht="50.1" hidden="false" customHeight="true" outlineLevel="0" collapsed="false">
      <c r="T86" s="61"/>
    </row>
    <row r="87" customFormat="false" ht="50.1" hidden="false" customHeight="true" outlineLevel="0" collapsed="false">
      <c r="T87" s="61"/>
    </row>
    <row r="88" customFormat="false" ht="50.1" hidden="false" customHeight="true" outlineLevel="0" collapsed="false">
      <c r="T88" s="61"/>
    </row>
    <row r="89" customFormat="false" ht="50.1" hidden="false" customHeight="true" outlineLevel="0" collapsed="false">
      <c r="T89" s="61"/>
    </row>
    <row r="90" customFormat="false" ht="50.1" hidden="false" customHeight="true" outlineLevel="0" collapsed="false">
      <c r="T90" s="61"/>
    </row>
    <row r="91" customFormat="false" ht="50.1" hidden="false" customHeight="true" outlineLevel="0" collapsed="false">
      <c r="T91" s="61"/>
    </row>
    <row r="92" customFormat="false" ht="50.1" hidden="false" customHeight="true" outlineLevel="0" collapsed="false">
      <c r="T92" s="61"/>
    </row>
    <row r="93" customFormat="false" ht="50.1" hidden="false" customHeight="true" outlineLevel="0" collapsed="false">
      <c r="T93" s="61"/>
    </row>
    <row r="94" customFormat="false" ht="50.1" hidden="false" customHeight="true" outlineLevel="0" collapsed="false">
      <c r="T94" s="61"/>
    </row>
    <row r="95" customFormat="false" ht="50.1" hidden="false" customHeight="true" outlineLevel="0" collapsed="false">
      <c r="T95" s="61"/>
    </row>
    <row r="96" customFormat="false" ht="50.1" hidden="false" customHeight="true" outlineLevel="0" collapsed="false">
      <c r="T96" s="61"/>
    </row>
    <row r="97" customFormat="false" ht="50.1" hidden="false" customHeight="true" outlineLevel="0" collapsed="false">
      <c r="T97" s="61"/>
    </row>
    <row r="98" customFormat="false" ht="50.1" hidden="false" customHeight="true" outlineLevel="0" collapsed="false">
      <c r="T98" s="61"/>
    </row>
    <row r="99" customFormat="false" ht="50.1" hidden="false" customHeight="true" outlineLevel="0" collapsed="false">
      <c r="T99" s="61"/>
    </row>
    <row r="100" customFormat="false" ht="50.1" hidden="false" customHeight="true" outlineLevel="0" collapsed="false">
      <c r="T100" s="61"/>
    </row>
    <row r="101" customFormat="false" ht="50.1" hidden="false" customHeight="true" outlineLevel="0" collapsed="false">
      <c r="T101" s="61"/>
    </row>
    <row r="102" customFormat="false" ht="50.1" hidden="false" customHeight="true" outlineLevel="0" collapsed="false">
      <c r="T102" s="61"/>
    </row>
    <row r="103" customFormat="false" ht="50.1" hidden="false" customHeight="true" outlineLevel="0" collapsed="false">
      <c r="T103" s="61"/>
    </row>
    <row r="104" customFormat="false" ht="50.1" hidden="false" customHeight="true" outlineLevel="0" collapsed="false">
      <c r="T104" s="61"/>
    </row>
    <row r="105" customFormat="false" ht="50.1" hidden="false" customHeight="true" outlineLevel="0" collapsed="false">
      <c r="T105" s="61"/>
    </row>
    <row r="106" customFormat="false" ht="50.1" hidden="false" customHeight="true" outlineLevel="0" collapsed="false">
      <c r="T106" s="61"/>
    </row>
    <row r="107" customFormat="false" ht="50.1" hidden="false" customHeight="true" outlineLevel="0" collapsed="false">
      <c r="T107" s="61"/>
    </row>
    <row r="108" customFormat="false" ht="50.1" hidden="false" customHeight="true" outlineLevel="0" collapsed="false">
      <c r="T108" s="61"/>
    </row>
    <row r="109" customFormat="false" ht="50.1" hidden="false" customHeight="true" outlineLevel="0" collapsed="false">
      <c r="T109" s="61"/>
    </row>
    <row r="110" customFormat="false" ht="50.1" hidden="false" customHeight="true" outlineLevel="0" collapsed="false">
      <c r="T110" s="61"/>
    </row>
    <row r="111" customFormat="false" ht="50.1" hidden="false" customHeight="true" outlineLevel="0" collapsed="false">
      <c r="T111" s="61"/>
    </row>
    <row r="112" customFormat="false" ht="50.1" hidden="false" customHeight="true" outlineLevel="0" collapsed="false">
      <c r="T112" s="61"/>
    </row>
    <row r="113" customFormat="false" ht="50.1" hidden="false" customHeight="true" outlineLevel="0" collapsed="false">
      <c r="T113" s="61"/>
    </row>
    <row r="114" customFormat="false" ht="50.1" hidden="false" customHeight="true" outlineLevel="0" collapsed="false">
      <c r="T114" s="61"/>
    </row>
    <row r="115" customFormat="false" ht="50.1" hidden="false" customHeight="true" outlineLevel="0" collapsed="false">
      <c r="T115" s="61"/>
    </row>
    <row r="116" customFormat="false" ht="50.1" hidden="false" customHeight="true" outlineLevel="0" collapsed="false">
      <c r="T116" s="61"/>
    </row>
    <row r="117" customFormat="false" ht="50.1" hidden="false" customHeight="true" outlineLevel="0" collapsed="false">
      <c r="T117" s="61"/>
    </row>
    <row r="118" customFormat="false" ht="50.1" hidden="false" customHeight="true" outlineLevel="0" collapsed="false">
      <c r="T118" s="61"/>
    </row>
    <row r="119" customFormat="false" ht="50.1" hidden="false" customHeight="true" outlineLevel="0" collapsed="false">
      <c r="T119" s="61"/>
    </row>
    <row r="120" customFormat="false" ht="50.1" hidden="false" customHeight="true" outlineLevel="0" collapsed="false">
      <c r="T120" s="61"/>
    </row>
    <row r="121" customFormat="false" ht="50.1" hidden="false" customHeight="true" outlineLevel="0" collapsed="false">
      <c r="T121" s="61"/>
    </row>
    <row r="122" customFormat="false" ht="50.1" hidden="false" customHeight="true" outlineLevel="0" collapsed="false">
      <c r="T122" s="61"/>
    </row>
    <row r="123" customFormat="false" ht="50.1" hidden="false" customHeight="true" outlineLevel="0" collapsed="false">
      <c r="T123" s="61"/>
    </row>
    <row r="124" customFormat="false" ht="50.1" hidden="false" customHeight="true" outlineLevel="0" collapsed="false">
      <c r="T124" s="61"/>
    </row>
    <row r="125" customFormat="false" ht="50.1" hidden="false" customHeight="true" outlineLevel="0" collapsed="false">
      <c r="T125" s="61"/>
    </row>
    <row r="126" customFormat="false" ht="50.1" hidden="false" customHeight="true" outlineLevel="0" collapsed="false">
      <c r="T126" s="61"/>
    </row>
    <row r="127" customFormat="false" ht="50.1" hidden="false" customHeight="true" outlineLevel="0" collapsed="false">
      <c r="T127" s="61"/>
    </row>
    <row r="128" customFormat="false" ht="50.1" hidden="false" customHeight="true" outlineLevel="0" collapsed="false">
      <c r="T128" s="61"/>
    </row>
    <row r="129" customFormat="false" ht="50.1" hidden="false" customHeight="true" outlineLevel="0" collapsed="false">
      <c r="T129" s="61"/>
    </row>
    <row r="130" customFormat="false" ht="50.1" hidden="false" customHeight="true" outlineLevel="0" collapsed="false">
      <c r="T130" s="61"/>
    </row>
    <row r="131" customFormat="false" ht="50.1" hidden="false" customHeight="true" outlineLevel="0" collapsed="false">
      <c r="T131" s="61"/>
    </row>
    <row r="132" customFormat="false" ht="50.1" hidden="false" customHeight="true" outlineLevel="0" collapsed="false">
      <c r="T132" s="61"/>
    </row>
    <row r="133" customFormat="false" ht="50.1" hidden="false" customHeight="true" outlineLevel="0" collapsed="false">
      <c r="T133" s="61"/>
    </row>
    <row r="134" customFormat="false" ht="50.1" hidden="false" customHeight="true" outlineLevel="0" collapsed="false">
      <c r="T134" s="61"/>
    </row>
    <row r="135" customFormat="false" ht="50.1" hidden="false" customHeight="true" outlineLevel="0" collapsed="false">
      <c r="T135" s="61"/>
    </row>
    <row r="136" customFormat="false" ht="50.1" hidden="false" customHeight="true" outlineLevel="0" collapsed="false">
      <c r="T136" s="61"/>
    </row>
    <row r="137" customFormat="false" ht="50.1" hidden="false" customHeight="true" outlineLevel="0" collapsed="false">
      <c r="T137" s="61"/>
    </row>
    <row r="138" customFormat="false" ht="50.1" hidden="false" customHeight="true" outlineLevel="0" collapsed="false">
      <c r="T138" s="61"/>
    </row>
    <row r="139" customFormat="false" ht="50.1" hidden="false" customHeight="true" outlineLevel="0" collapsed="false">
      <c r="T139" s="61"/>
    </row>
    <row r="140" customFormat="false" ht="50.1" hidden="false" customHeight="true" outlineLevel="0" collapsed="false">
      <c r="T140" s="61"/>
    </row>
    <row r="141" customFormat="false" ht="50.1" hidden="false" customHeight="true" outlineLevel="0" collapsed="false">
      <c r="T141" s="61"/>
    </row>
    <row r="142" customFormat="false" ht="50.1" hidden="false" customHeight="true" outlineLevel="0" collapsed="false">
      <c r="T142" s="61"/>
    </row>
    <row r="143" customFormat="false" ht="50.1" hidden="false" customHeight="true" outlineLevel="0" collapsed="false">
      <c r="T143" s="61"/>
    </row>
    <row r="144" customFormat="false" ht="50.1" hidden="false" customHeight="true" outlineLevel="0" collapsed="false">
      <c r="T144" s="61"/>
    </row>
    <row r="145" customFormat="false" ht="50.1" hidden="false" customHeight="true" outlineLevel="0" collapsed="false">
      <c r="T145" s="61"/>
    </row>
    <row r="146" customFormat="false" ht="50.1" hidden="false" customHeight="true" outlineLevel="0" collapsed="false">
      <c r="T146" s="61"/>
    </row>
    <row r="147" customFormat="false" ht="50.1" hidden="false" customHeight="true" outlineLevel="0" collapsed="false">
      <c r="T147" s="61"/>
    </row>
    <row r="148" customFormat="false" ht="50.1" hidden="false" customHeight="true" outlineLevel="0" collapsed="false">
      <c r="T148" s="61"/>
    </row>
    <row r="149" customFormat="false" ht="50.1" hidden="false" customHeight="true" outlineLevel="0" collapsed="false">
      <c r="T149" s="61"/>
    </row>
    <row r="150" customFormat="false" ht="50.1" hidden="false" customHeight="true" outlineLevel="0" collapsed="false">
      <c r="T150" s="61"/>
    </row>
    <row r="151" customFormat="false" ht="50.1" hidden="false" customHeight="true" outlineLevel="0" collapsed="false">
      <c r="T151" s="61"/>
    </row>
    <row r="152" customFormat="false" ht="50.1" hidden="false" customHeight="true" outlineLevel="0" collapsed="false">
      <c r="T152" s="61"/>
    </row>
    <row r="153" customFormat="false" ht="50.1" hidden="false" customHeight="true" outlineLevel="0" collapsed="false">
      <c r="T153" s="61"/>
    </row>
    <row r="154" customFormat="false" ht="50.1" hidden="false" customHeight="true" outlineLevel="0" collapsed="false">
      <c r="T154" s="61"/>
    </row>
    <row r="155" customFormat="false" ht="50.1" hidden="false" customHeight="true" outlineLevel="0" collapsed="false">
      <c r="T155" s="61"/>
    </row>
    <row r="156" customFormat="false" ht="50.1" hidden="false" customHeight="true" outlineLevel="0" collapsed="false">
      <c r="T156" s="61"/>
    </row>
    <row r="157" customFormat="false" ht="50.1" hidden="false" customHeight="true" outlineLevel="0" collapsed="false">
      <c r="T157" s="61"/>
    </row>
    <row r="158" customFormat="false" ht="50.1" hidden="false" customHeight="true" outlineLevel="0" collapsed="false">
      <c r="T158" s="61"/>
    </row>
    <row r="159" customFormat="false" ht="50.1" hidden="false" customHeight="true" outlineLevel="0" collapsed="false">
      <c r="T159" s="61"/>
    </row>
    <row r="160" customFormat="false" ht="50.1" hidden="false" customHeight="true" outlineLevel="0" collapsed="false">
      <c r="T160" s="61"/>
    </row>
    <row r="161" customFormat="false" ht="50.1" hidden="false" customHeight="true" outlineLevel="0" collapsed="false">
      <c r="T161" s="61"/>
    </row>
    <row r="162" customFormat="false" ht="50.1" hidden="false" customHeight="true" outlineLevel="0" collapsed="false">
      <c r="T162" s="61"/>
    </row>
    <row r="163" customFormat="false" ht="50.1" hidden="false" customHeight="true" outlineLevel="0" collapsed="false">
      <c r="T163" s="61"/>
    </row>
    <row r="164" customFormat="false" ht="50.1" hidden="false" customHeight="true" outlineLevel="0" collapsed="false">
      <c r="T164" s="61"/>
    </row>
    <row r="165" customFormat="false" ht="50.1" hidden="false" customHeight="true" outlineLevel="0" collapsed="false">
      <c r="T165" s="61"/>
    </row>
    <row r="166" customFormat="false" ht="50.1" hidden="false" customHeight="true" outlineLevel="0" collapsed="false">
      <c r="T166" s="61"/>
    </row>
    <row r="167" customFormat="false" ht="50.1" hidden="false" customHeight="true" outlineLevel="0" collapsed="false">
      <c r="T167" s="61"/>
    </row>
    <row r="168" customFormat="false" ht="50.1" hidden="false" customHeight="true" outlineLevel="0" collapsed="false">
      <c r="T168" s="61"/>
    </row>
    <row r="169" customFormat="false" ht="50.1" hidden="false" customHeight="true" outlineLevel="0" collapsed="false">
      <c r="T169" s="61"/>
    </row>
    <row r="170" customFormat="false" ht="50.1" hidden="false" customHeight="true" outlineLevel="0" collapsed="false">
      <c r="T170" s="61"/>
    </row>
    <row r="171" customFormat="false" ht="50.1" hidden="false" customHeight="true" outlineLevel="0" collapsed="false">
      <c r="T171" s="61"/>
    </row>
    <row r="172" customFormat="false" ht="50.1" hidden="false" customHeight="true" outlineLevel="0" collapsed="false">
      <c r="T172" s="61"/>
    </row>
    <row r="173" customFormat="false" ht="50.1" hidden="false" customHeight="true" outlineLevel="0" collapsed="false">
      <c r="T173" s="61"/>
    </row>
    <row r="174" customFormat="false" ht="50.1" hidden="false" customHeight="true" outlineLevel="0" collapsed="false">
      <c r="T174" s="61"/>
    </row>
    <row r="175" customFormat="false" ht="50.1" hidden="false" customHeight="true" outlineLevel="0" collapsed="false">
      <c r="T175" s="61"/>
    </row>
    <row r="176" customFormat="false" ht="50.1" hidden="false" customHeight="true" outlineLevel="0" collapsed="false">
      <c r="T176" s="61"/>
    </row>
    <row r="177" customFormat="false" ht="50.1" hidden="false" customHeight="true" outlineLevel="0" collapsed="false">
      <c r="T177" s="61"/>
    </row>
    <row r="178" customFormat="false" ht="50.1" hidden="false" customHeight="true" outlineLevel="0" collapsed="false">
      <c r="T178" s="61"/>
    </row>
    <row r="179" customFormat="false" ht="50.1" hidden="false" customHeight="true" outlineLevel="0" collapsed="false">
      <c r="T179" s="61"/>
    </row>
    <row r="180" customFormat="false" ht="50.1" hidden="false" customHeight="true" outlineLevel="0" collapsed="false">
      <c r="T180" s="61"/>
    </row>
    <row r="181" customFormat="false" ht="50.1" hidden="false" customHeight="true" outlineLevel="0" collapsed="false">
      <c r="T181" s="61"/>
    </row>
    <row r="182" customFormat="false" ht="50.1" hidden="false" customHeight="true" outlineLevel="0" collapsed="false">
      <c r="T182" s="61"/>
    </row>
    <row r="183" customFormat="false" ht="50.1" hidden="false" customHeight="true" outlineLevel="0" collapsed="false">
      <c r="T183" s="61"/>
    </row>
    <row r="184" customFormat="false" ht="50.1" hidden="false" customHeight="true" outlineLevel="0" collapsed="false">
      <c r="T184" s="61"/>
    </row>
    <row r="185" customFormat="false" ht="50.1" hidden="false" customHeight="true" outlineLevel="0" collapsed="false">
      <c r="T185" s="61"/>
    </row>
    <row r="186" customFormat="false" ht="50.1" hidden="false" customHeight="true" outlineLevel="0" collapsed="false">
      <c r="T186" s="61"/>
    </row>
    <row r="187" customFormat="false" ht="50.1" hidden="false" customHeight="true" outlineLevel="0" collapsed="false">
      <c r="T187" s="61"/>
    </row>
    <row r="188" customFormat="false" ht="50.1" hidden="false" customHeight="true" outlineLevel="0" collapsed="false">
      <c r="T188" s="61"/>
    </row>
    <row r="189" customFormat="false" ht="50.1" hidden="false" customHeight="true" outlineLevel="0" collapsed="false">
      <c r="T189" s="61"/>
    </row>
    <row r="190" customFormat="false" ht="50.1" hidden="false" customHeight="true" outlineLevel="0" collapsed="false">
      <c r="T190" s="61"/>
    </row>
    <row r="191" customFormat="false" ht="50.1" hidden="false" customHeight="true" outlineLevel="0" collapsed="false">
      <c r="T191" s="61"/>
    </row>
    <row r="192" customFormat="false" ht="50.1" hidden="false" customHeight="true" outlineLevel="0" collapsed="false">
      <c r="T192" s="61"/>
    </row>
    <row r="193" customFormat="false" ht="50.1" hidden="false" customHeight="true" outlineLevel="0" collapsed="false">
      <c r="T193" s="61"/>
    </row>
    <row r="194" customFormat="false" ht="50.1" hidden="false" customHeight="true" outlineLevel="0" collapsed="false">
      <c r="T194" s="61"/>
    </row>
    <row r="195" customFormat="false" ht="50.1" hidden="false" customHeight="true" outlineLevel="0" collapsed="false">
      <c r="T195" s="61"/>
    </row>
    <row r="196" customFormat="false" ht="50.1" hidden="false" customHeight="true" outlineLevel="0" collapsed="false">
      <c r="T196" s="61"/>
    </row>
    <row r="197" customFormat="false" ht="50.1" hidden="false" customHeight="true" outlineLevel="0" collapsed="false">
      <c r="T197" s="61"/>
    </row>
    <row r="198" customFormat="false" ht="50.1" hidden="false" customHeight="true" outlineLevel="0" collapsed="false">
      <c r="T198" s="61"/>
    </row>
    <row r="199" customFormat="false" ht="50.1" hidden="false" customHeight="true" outlineLevel="0" collapsed="false">
      <c r="T199" s="61"/>
    </row>
    <row r="200" customFormat="false" ht="50.1" hidden="false" customHeight="true" outlineLevel="0" collapsed="false">
      <c r="T200" s="61"/>
    </row>
    <row r="201" customFormat="false" ht="50.1" hidden="false" customHeight="true" outlineLevel="0" collapsed="false">
      <c r="T201" s="61"/>
    </row>
    <row r="202" customFormat="false" ht="50.1" hidden="false" customHeight="true" outlineLevel="0" collapsed="false">
      <c r="T202" s="61"/>
    </row>
    <row r="203" customFormat="false" ht="50.1" hidden="false" customHeight="true" outlineLevel="0" collapsed="false">
      <c r="T203" s="61"/>
    </row>
    <row r="204" customFormat="false" ht="50.1" hidden="false" customHeight="true" outlineLevel="0" collapsed="false">
      <c r="T204" s="61"/>
    </row>
    <row r="205" customFormat="false" ht="50.1" hidden="false" customHeight="true" outlineLevel="0" collapsed="false">
      <c r="T205" s="61"/>
    </row>
    <row r="206" customFormat="false" ht="50.1" hidden="false" customHeight="true" outlineLevel="0" collapsed="false">
      <c r="T206" s="61"/>
    </row>
    <row r="207" customFormat="false" ht="50.1" hidden="false" customHeight="true" outlineLevel="0" collapsed="false">
      <c r="T207" s="61"/>
    </row>
    <row r="208" customFormat="false" ht="50.1" hidden="false" customHeight="true" outlineLevel="0" collapsed="false">
      <c r="T208" s="61"/>
    </row>
    <row r="209" customFormat="false" ht="50.1" hidden="false" customHeight="true" outlineLevel="0" collapsed="false">
      <c r="T209" s="61"/>
    </row>
    <row r="210" customFormat="false" ht="50.1" hidden="false" customHeight="true" outlineLevel="0" collapsed="false">
      <c r="T210" s="61"/>
    </row>
    <row r="211" customFormat="false" ht="50.1" hidden="false" customHeight="true" outlineLevel="0" collapsed="false">
      <c r="T211" s="61"/>
    </row>
    <row r="212" customFormat="false" ht="50.1" hidden="false" customHeight="true" outlineLevel="0" collapsed="false">
      <c r="T212" s="61"/>
    </row>
    <row r="213" customFormat="false" ht="50.1" hidden="false" customHeight="true" outlineLevel="0" collapsed="false">
      <c r="T213" s="61"/>
    </row>
    <row r="214" customFormat="false" ht="50.1" hidden="false" customHeight="true" outlineLevel="0" collapsed="false">
      <c r="T214" s="61"/>
    </row>
    <row r="215" customFormat="false" ht="50.1" hidden="false" customHeight="true" outlineLevel="0" collapsed="false">
      <c r="T215" s="61"/>
    </row>
    <row r="216" customFormat="false" ht="50.1" hidden="false" customHeight="true" outlineLevel="0" collapsed="false">
      <c r="T216" s="61"/>
    </row>
    <row r="217" customFormat="false" ht="50.1" hidden="false" customHeight="true" outlineLevel="0" collapsed="false">
      <c r="T217" s="61"/>
    </row>
    <row r="218" customFormat="false" ht="50.1" hidden="false" customHeight="true" outlineLevel="0" collapsed="false">
      <c r="T218" s="61"/>
    </row>
    <row r="219" customFormat="false" ht="50.1" hidden="false" customHeight="true" outlineLevel="0" collapsed="false">
      <c r="T219" s="61"/>
    </row>
    <row r="220" customFormat="false" ht="50.1" hidden="false" customHeight="true" outlineLevel="0" collapsed="false">
      <c r="T220" s="61"/>
    </row>
    <row r="221" customFormat="false" ht="50.1" hidden="false" customHeight="true" outlineLevel="0" collapsed="false">
      <c r="T221" s="61"/>
    </row>
    <row r="222" customFormat="false" ht="50.1" hidden="false" customHeight="true" outlineLevel="0" collapsed="false">
      <c r="T222" s="61"/>
    </row>
    <row r="223" customFormat="false" ht="50.1" hidden="false" customHeight="true" outlineLevel="0" collapsed="false">
      <c r="T223" s="61"/>
    </row>
    <row r="224" customFormat="false" ht="50.1" hidden="false" customHeight="true" outlineLevel="0" collapsed="false">
      <c r="T224" s="61"/>
    </row>
    <row r="225" customFormat="false" ht="50.1" hidden="false" customHeight="true" outlineLevel="0" collapsed="false">
      <c r="T225" s="61"/>
    </row>
    <row r="226" customFormat="false" ht="50.1" hidden="false" customHeight="true" outlineLevel="0" collapsed="false">
      <c r="T226" s="61"/>
    </row>
    <row r="227" customFormat="false" ht="50.1" hidden="false" customHeight="true" outlineLevel="0" collapsed="false">
      <c r="T227" s="61"/>
    </row>
    <row r="228" customFormat="false" ht="50.1" hidden="false" customHeight="true" outlineLevel="0" collapsed="false">
      <c r="T228" s="61"/>
    </row>
    <row r="229" customFormat="false" ht="50.1" hidden="false" customHeight="true" outlineLevel="0" collapsed="false">
      <c r="T229" s="61"/>
    </row>
    <row r="230" customFormat="false" ht="50.1" hidden="false" customHeight="true" outlineLevel="0" collapsed="false">
      <c r="T230" s="61"/>
    </row>
    <row r="231" customFormat="false" ht="50.1" hidden="false" customHeight="true" outlineLevel="0" collapsed="false">
      <c r="T231" s="61"/>
    </row>
    <row r="232" customFormat="false" ht="50.1" hidden="false" customHeight="true" outlineLevel="0" collapsed="false">
      <c r="T232" s="61"/>
    </row>
    <row r="233" customFormat="false" ht="50.1" hidden="false" customHeight="true" outlineLevel="0" collapsed="false">
      <c r="T233" s="61"/>
    </row>
    <row r="234" customFormat="false" ht="50.1" hidden="false" customHeight="true" outlineLevel="0" collapsed="false">
      <c r="T234" s="61"/>
    </row>
    <row r="235" customFormat="false" ht="50.1" hidden="false" customHeight="true" outlineLevel="0" collapsed="false">
      <c r="T235" s="61"/>
    </row>
    <row r="236" customFormat="false" ht="50.1" hidden="false" customHeight="true" outlineLevel="0" collapsed="false">
      <c r="T236" s="61"/>
    </row>
    <row r="237" customFormat="false" ht="50.1" hidden="false" customHeight="true" outlineLevel="0" collapsed="false">
      <c r="T237" s="61"/>
    </row>
    <row r="238" customFormat="false" ht="50.1" hidden="false" customHeight="true" outlineLevel="0" collapsed="false">
      <c r="T238" s="61"/>
    </row>
    <row r="239" customFormat="false" ht="50.1" hidden="false" customHeight="true" outlineLevel="0" collapsed="false">
      <c r="T239" s="61"/>
    </row>
    <row r="240" customFormat="false" ht="50.1" hidden="false" customHeight="true" outlineLevel="0" collapsed="false">
      <c r="T240" s="61"/>
    </row>
    <row r="241" customFormat="false" ht="50.1" hidden="false" customHeight="true" outlineLevel="0" collapsed="false">
      <c r="T241" s="61"/>
    </row>
    <row r="242" customFormat="false" ht="50.1" hidden="false" customHeight="true" outlineLevel="0" collapsed="false">
      <c r="T242" s="61"/>
    </row>
    <row r="243" customFormat="false" ht="50.1" hidden="false" customHeight="true" outlineLevel="0" collapsed="false">
      <c r="T243" s="61"/>
    </row>
    <row r="244" customFormat="false" ht="50.1" hidden="false" customHeight="true" outlineLevel="0" collapsed="false">
      <c r="T244" s="61"/>
    </row>
    <row r="245" customFormat="false" ht="50.1" hidden="false" customHeight="true" outlineLevel="0" collapsed="false">
      <c r="T245" s="61"/>
    </row>
    <row r="246" customFormat="false" ht="50.1" hidden="false" customHeight="true" outlineLevel="0" collapsed="false">
      <c r="T246" s="61"/>
    </row>
    <row r="247" customFormat="false" ht="50.1" hidden="false" customHeight="true" outlineLevel="0" collapsed="false">
      <c r="T247" s="61"/>
    </row>
    <row r="248" customFormat="false" ht="50.1" hidden="false" customHeight="true" outlineLevel="0" collapsed="false">
      <c r="T248" s="61"/>
    </row>
    <row r="249" customFormat="false" ht="50.1" hidden="false" customHeight="true" outlineLevel="0" collapsed="false">
      <c r="T249" s="61"/>
    </row>
    <row r="250" customFormat="false" ht="50.1" hidden="false" customHeight="true" outlineLevel="0" collapsed="false">
      <c r="T250" s="61"/>
    </row>
    <row r="251" customFormat="false" ht="50.1" hidden="false" customHeight="true" outlineLevel="0" collapsed="false">
      <c r="T251" s="61"/>
    </row>
    <row r="252" customFormat="false" ht="50.1" hidden="false" customHeight="true" outlineLevel="0" collapsed="false">
      <c r="T252" s="61"/>
    </row>
    <row r="253" customFormat="false" ht="50.1" hidden="false" customHeight="true" outlineLevel="0" collapsed="false">
      <c r="T253" s="61"/>
    </row>
    <row r="254" customFormat="false" ht="50.1" hidden="false" customHeight="true" outlineLevel="0" collapsed="false">
      <c r="T254" s="61"/>
    </row>
    <row r="255" customFormat="false" ht="50.1" hidden="false" customHeight="true" outlineLevel="0" collapsed="false">
      <c r="T255" s="61"/>
    </row>
    <row r="256" customFormat="false" ht="50.1" hidden="false" customHeight="true" outlineLevel="0" collapsed="false">
      <c r="T256" s="61"/>
    </row>
    <row r="257" customFormat="false" ht="50.1" hidden="false" customHeight="true" outlineLevel="0" collapsed="false">
      <c r="T257" s="61"/>
    </row>
    <row r="258" customFormat="false" ht="50.1" hidden="false" customHeight="true" outlineLevel="0" collapsed="false">
      <c r="T258" s="61"/>
    </row>
    <row r="259" customFormat="false" ht="50.1" hidden="false" customHeight="true" outlineLevel="0" collapsed="false">
      <c r="T259" s="61"/>
    </row>
    <row r="260" customFormat="false" ht="50.1" hidden="false" customHeight="true" outlineLevel="0" collapsed="false">
      <c r="T260" s="61"/>
    </row>
    <row r="261" customFormat="false" ht="50.1" hidden="false" customHeight="true" outlineLevel="0" collapsed="false">
      <c r="T261" s="61"/>
    </row>
    <row r="262" customFormat="false" ht="50.1" hidden="false" customHeight="true" outlineLevel="0" collapsed="false">
      <c r="T262" s="61"/>
    </row>
    <row r="263" customFormat="false" ht="50.1" hidden="false" customHeight="true" outlineLevel="0" collapsed="false">
      <c r="T263" s="61"/>
    </row>
    <row r="264" customFormat="false" ht="50.1" hidden="false" customHeight="true" outlineLevel="0" collapsed="false">
      <c r="T264" s="61"/>
    </row>
    <row r="265" customFormat="false" ht="50.1" hidden="false" customHeight="true" outlineLevel="0" collapsed="false">
      <c r="T265" s="61"/>
    </row>
  </sheetData>
  <mergeCells count="81">
    <mergeCell ref="A1:R1"/>
    <mergeCell ref="A2:H2"/>
    <mergeCell ref="A4:H4"/>
    <mergeCell ref="A10:R10"/>
    <mergeCell ref="A11:H11"/>
    <mergeCell ref="A16:A17"/>
    <mergeCell ref="B16:B17"/>
    <mergeCell ref="C16:C17"/>
    <mergeCell ref="I16:I17"/>
    <mergeCell ref="J16:J17"/>
    <mergeCell ref="K16:K17"/>
    <mergeCell ref="L16:L17"/>
    <mergeCell ref="M16:M17"/>
    <mergeCell ref="N16:N17"/>
    <mergeCell ref="O16:O17"/>
    <mergeCell ref="P16:P17"/>
    <mergeCell ref="Q16:Q17"/>
    <mergeCell ref="R16:R17"/>
    <mergeCell ref="S16:S17"/>
    <mergeCell ref="A18:A19"/>
    <mergeCell ref="B18:B19"/>
    <mergeCell ref="C18:C19"/>
    <mergeCell ref="I18:I19"/>
    <mergeCell ref="J18:J19"/>
    <mergeCell ref="K18:K19"/>
    <mergeCell ref="L18:L19"/>
    <mergeCell ref="M18:M19"/>
    <mergeCell ref="N18:N19"/>
    <mergeCell ref="O18:O19"/>
    <mergeCell ref="P18:P19"/>
    <mergeCell ref="Q18:Q19"/>
    <mergeCell ref="R18:R19"/>
    <mergeCell ref="S18:S19"/>
    <mergeCell ref="A25:A26"/>
    <mergeCell ref="B25:B26"/>
    <mergeCell ref="C25:C26"/>
    <mergeCell ref="I25:I26"/>
    <mergeCell ref="J25:J26"/>
    <mergeCell ref="K25:K26"/>
    <mergeCell ref="L25:L26"/>
    <mergeCell ref="M25:M26"/>
    <mergeCell ref="N25:N26"/>
    <mergeCell ref="O25:O26"/>
    <mergeCell ref="P25:P26"/>
    <mergeCell ref="Q25:Q26"/>
    <mergeCell ref="R25:R26"/>
    <mergeCell ref="S25:S26"/>
    <mergeCell ref="A27:A28"/>
    <mergeCell ref="B27:B28"/>
    <mergeCell ref="C27:C28"/>
    <mergeCell ref="I27:I28"/>
    <mergeCell ref="J27:J28"/>
    <mergeCell ref="K27:K28"/>
    <mergeCell ref="L27:L28"/>
    <mergeCell ref="M27:M28"/>
    <mergeCell ref="N27:N28"/>
    <mergeCell ref="O27:O28"/>
    <mergeCell ref="P27:P28"/>
    <mergeCell ref="Q27:Q28"/>
    <mergeCell ref="R27:R28"/>
    <mergeCell ref="S27:S28"/>
    <mergeCell ref="A29:A30"/>
    <mergeCell ref="B29:B30"/>
    <mergeCell ref="C29:C30"/>
    <mergeCell ref="I29:I30"/>
    <mergeCell ref="J29:J30"/>
    <mergeCell ref="K29:K30"/>
    <mergeCell ref="L29:L30"/>
    <mergeCell ref="M29:M30"/>
    <mergeCell ref="N29:N30"/>
    <mergeCell ref="O29:O30"/>
    <mergeCell ref="P29:P30"/>
    <mergeCell ref="Q29:Q30"/>
    <mergeCell ref="R29:R30"/>
    <mergeCell ref="S29:S30"/>
    <mergeCell ref="A33:R33"/>
    <mergeCell ref="A34:H34"/>
    <mergeCell ref="A37:R37"/>
    <mergeCell ref="A38:H38"/>
    <mergeCell ref="A43:H43"/>
    <mergeCell ref="F59:G59"/>
  </mergeCells>
  <hyperlinks>
    <hyperlink ref="R5" r:id="rId1" display="http://gofile.me/649X4/J9l5Bmgyr"/>
    <hyperlink ref="R6" r:id="rId2" display="http://gofile.me/649X4/45UvGo9Cp"/>
    <hyperlink ref="R7" r:id="rId3" display="http://gofile.me/649X4/5n0fF3qzX"/>
    <hyperlink ref="R8" r:id="rId4" display="http://gofile.me/649X4/XejNAB5rL"/>
    <hyperlink ref="R9" r:id="rId5" display="http://gofile.me/649X4/Pli7l5M39"/>
    <hyperlink ref="R12" r:id="rId6" display="http://gofile.me/649X4/smvNsbzqL"/>
    <hyperlink ref="R13" r:id="rId7" display="http://gofile.me/649X4/EDN66G3Gp"/>
    <hyperlink ref="R14" r:id="rId8" display="http://gofile.me/649X4/19dMBAjfU"/>
    <hyperlink ref="R15" r:id="rId9" display="http://gofile.me/649X4/JIfWZo6iU"/>
    <hyperlink ref="R16" r:id="rId10" display="http://gofile.me/649X4/i4g71yIyb"/>
    <hyperlink ref="R18" r:id="rId11" display="http://gofile.me/649X4/8EuGtLAWZ"/>
    <hyperlink ref="R20" r:id="rId12" display="http://gofile.me/649X4/tVllRweya"/>
    <hyperlink ref="R21" r:id="rId13" display="http://gofile.me/649X4/gHAuUmAVv"/>
    <hyperlink ref="R22" r:id="rId14" display="http://gofile.me/649X4/a0mEHYzLs"/>
    <hyperlink ref="R23" r:id="rId15" display="http://gofile.me/649X4/H7xgo1cvZ"/>
    <hyperlink ref="R24" r:id="rId16" display="http://gofile.me/649X4/eeC7ULkvk"/>
    <hyperlink ref="R25" r:id="rId17" display="http://gofile.me/649X4/NVLY8nXK0"/>
    <hyperlink ref="R27" r:id="rId18" display="http://gofile.me/649X4/p5SGgakA3"/>
    <hyperlink ref="R29" r:id="rId19" display="http://gofile.me/649X4/RdBVaFUxT"/>
    <hyperlink ref="R31" r:id="rId20" display="http://gofile.me/649X4/sOSdkDjsT"/>
    <hyperlink ref="R32" r:id="rId21" display="http://hoco.i234.me:8000/sharing/hKxp2oESH"/>
    <hyperlink ref="R35" r:id="rId22" display="http://gofile.me/649X4/YKKd63MR8"/>
    <hyperlink ref="R36" r:id="rId23" display="http://gofile.me/649X4/SFQLSAkf4"/>
    <hyperlink ref="R39" r:id="rId24" display="http://gofile.me/649X4/tyw7lWhWp"/>
    <hyperlink ref="R40" r:id="rId25" display="http://gofile.me/649X4/4hK2Fr5jU"/>
    <hyperlink ref="R41" r:id="rId26" display="http://gofile.me/649X4/7xCjQO86t"/>
    <hyperlink ref="R44" r:id="rId27" display="http://gofile.me/649X4/NRhLkDJCH"/>
    <hyperlink ref="R45" r:id="rId28" display="http://gofile.me/649X4/Nnh5I4BKy"/>
    <hyperlink ref="R46" r:id="rId29" display="http://gofile.me/649X4/28glJGEGf"/>
    <hyperlink ref="R47" r:id="rId30" display="http://gofile.me/649X4/GnLxX4uvW"/>
    <hyperlink ref="R48" r:id="rId31" display="https://gofile.me/649X4/xNDqPW2HJ"/>
    <hyperlink ref="R49" r:id="rId32" display="http://gofile.me/649X4/CNYDf2mwP"/>
    <hyperlink ref="S49" r:id="rId33" display="http://gofile.me/649X4/njtFHloCB"/>
    <hyperlink ref="R50" r:id="rId34" display="http://gofile.me/649X4/6ATHYBKsT"/>
    <hyperlink ref="R51" r:id="rId35" display="http://gofile.me/649X4/vLKwtZXMH"/>
    <hyperlink ref="R52" r:id="rId36" display="http://gofile.me/649X4/sCSuGEylU"/>
    <hyperlink ref="R54" r:id="rId37" display="http://gofile.me/649X4/3kIxiY183"/>
    <hyperlink ref="R55" r:id="rId38" display="http://gofile.me/649X4/F9NPP880G"/>
    <hyperlink ref="R56" r:id="rId39" display="http://gofile.me/649X4/bZwRCaUfW"/>
    <hyperlink ref="R57" r:id="rId40" display="http://hoco.i234.me:8000/sharing/g0Ccgctin"/>
    <hyperlink ref="R58" r:id="rId41" display="http://hoco.i234.me:8000/sharing/ug02ySvzP"/>
  </hyperlinks>
  <printOptions headings="false" gridLines="false" gridLinesSet="true" horizontalCentered="false" verticalCentered="false"/>
  <pageMargins left="0.309722222222222" right="0.240277777777778" top="0.390277777777778"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2" manualBreakCount="2">
    <brk id="15" man="true" max="16383" min="0"/>
    <brk id="35" man="true" max="16383" min="0"/>
  </rowBreaks>
  <drawing r:id="rId4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284"/>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114" width="46"/>
    <col collapsed="false" customWidth="true" hidden="false" outlineLevel="0" max="3" min="2" style="34" width="18"/>
    <col collapsed="false" customWidth="true" hidden="false" outlineLevel="0" max="4" min="4" style="39" width="20"/>
    <col collapsed="false" customWidth="true" hidden="false" outlineLevel="0" max="5" min="5" style="115"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10" min="9" style="115" width="7.42"/>
    <col collapsed="false" customWidth="true" hidden="false" outlineLevel="0" max="11" min="11" style="39" width="11.2"/>
    <col collapsed="false" customWidth="true" hidden="false" outlineLevel="0" max="12" min="12" style="39" width="7.63"/>
    <col collapsed="false" customWidth="true" hidden="false" outlineLevel="0" max="13" min="13" style="39" width="10.7"/>
    <col collapsed="false" customWidth="true" hidden="false" outlineLevel="0" max="14" min="14" style="39" width="7.63"/>
    <col collapsed="false" customWidth="true" hidden="false" outlineLevel="0" max="15" min="15" style="39" width="10.7"/>
    <col collapsed="false" customWidth="true" hidden="false" outlineLevel="0" max="16" min="16" style="116" width="7.63"/>
    <col collapsed="false" customWidth="true" hidden="false" outlineLevel="0" max="17" min="17" style="39" width="70"/>
    <col collapsed="false" customWidth="true" hidden="false" outlineLevel="0" max="19" min="18" style="34" width="10.13"/>
    <col collapsed="false" customWidth="true" hidden="false" outlineLevel="0" max="20" min="20" style="42" width="7.37"/>
    <col collapsed="false" customWidth="true" hidden="false" outlineLevel="0" max="28" min="21" style="34" width="9"/>
    <col collapsed="false" customWidth="false" hidden="false" outlineLevel="0" max="98" min="29"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2644</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c r="T3" s="48"/>
    </row>
    <row r="4" s="50" customFormat="true" ht="27" hidden="false" customHeight="true" outlineLevel="1" collapsed="false">
      <c r="A4" s="49" t="s">
        <v>49</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150" customFormat="true" ht="60" hidden="false" customHeight="true" outlineLevel="2" collapsed="false">
      <c r="A5" s="63" t="s">
        <v>2645</v>
      </c>
      <c r="B5" s="57"/>
      <c r="C5" s="57"/>
      <c r="D5" s="53" t="s">
        <v>2646</v>
      </c>
      <c r="E5" s="53" t="s">
        <v>217</v>
      </c>
      <c r="F5" s="54" t="n">
        <v>228.33</v>
      </c>
      <c r="G5" s="55"/>
      <c r="H5" s="56" t="str">
        <f aca="false">IF(ISBLANK(G5),"",IF(ISNUMBER(F5),ROUND(F5*G5,2),"Укажите цену"))</f>
        <v/>
      </c>
      <c r="I5" s="57" t="n">
        <v>91</v>
      </c>
      <c r="J5" s="57" t="n">
        <v>9.5</v>
      </c>
      <c r="K5" s="57" t="s">
        <v>2647</v>
      </c>
      <c r="L5" s="57" t="n">
        <v>20</v>
      </c>
      <c r="M5" s="57" t="s">
        <v>284</v>
      </c>
      <c r="N5" s="57" t="n">
        <v>80</v>
      </c>
      <c r="O5" s="57" t="s">
        <v>696</v>
      </c>
      <c r="P5" s="58" t="n">
        <v>0.10677394</v>
      </c>
      <c r="Q5" s="92" t="s">
        <v>2648</v>
      </c>
      <c r="R5" s="69" t="s">
        <v>2649</v>
      </c>
      <c r="S5" s="148" t="s">
        <v>96</v>
      </c>
      <c r="T5" s="149"/>
      <c r="U5" s="149"/>
    </row>
    <row r="6" s="150" customFormat="true" ht="60" hidden="false" customHeight="true" outlineLevel="2" collapsed="false">
      <c r="A6" s="63"/>
      <c r="B6" s="57"/>
      <c r="C6" s="57"/>
      <c r="D6" s="53" t="s">
        <v>2650</v>
      </c>
      <c r="E6" s="53" t="s">
        <v>103</v>
      </c>
      <c r="F6" s="54" t="n">
        <v>228.33</v>
      </c>
      <c r="G6" s="55"/>
      <c r="H6" s="56" t="str">
        <f aca="false">IF(ISBLANK(G6),"",IF(ISNUMBER(F6),ROUND(F6*G6,2),"Укажите цену"))</f>
        <v/>
      </c>
      <c r="I6" s="57"/>
      <c r="J6" s="57"/>
      <c r="K6" s="57"/>
      <c r="L6" s="57"/>
      <c r="M6" s="57"/>
      <c r="N6" s="57"/>
      <c r="O6" s="57"/>
      <c r="P6" s="58"/>
      <c r="Q6" s="92"/>
      <c r="R6" s="69"/>
      <c r="S6" s="148"/>
      <c r="T6" s="149"/>
      <c r="U6" s="149"/>
    </row>
    <row r="7" s="34" customFormat="true" ht="115" hidden="false" customHeight="true" outlineLevel="2" collapsed="false">
      <c r="A7" s="51" t="s">
        <v>2651</v>
      </c>
      <c r="B7" s="57"/>
      <c r="C7" s="57"/>
      <c r="D7" s="53" t="s">
        <v>2652</v>
      </c>
      <c r="E7" s="53" t="s">
        <v>217</v>
      </c>
      <c r="F7" s="54" t="n">
        <v>342.5</v>
      </c>
      <c r="G7" s="55"/>
      <c r="H7" s="56" t="str">
        <f aca="false">IF(ISBLANK(G7),"",IF(ISNUMBER(F7),ROUND(F7*G7,2),"Укажите цену"))</f>
        <v/>
      </c>
      <c r="I7" s="57" t="n">
        <v>537</v>
      </c>
      <c r="J7" s="57" t="n">
        <v>17.1</v>
      </c>
      <c r="K7" s="57" t="s">
        <v>2653</v>
      </c>
      <c r="L7" s="57" t="s">
        <v>1658</v>
      </c>
      <c r="M7" s="57" t="s">
        <v>1659</v>
      </c>
      <c r="N7" s="57" t="n">
        <v>30</v>
      </c>
      <c r="O7" s="57" t="s">
        <v>2654</v>
      </c>
      <c r="P7" s="58" t="n">
        <v>0.086</v>
      </c>
      <c r="Q7" s="68" t="s">
        <v>2655</v>
      </c>
      <c r="R7" s="91" t="s">
        <v>2656</v>
      </c>
      <c r="S7" s="60" t="s">
        <v>96</v>
      </c>
      <c r="T7" s="149"/>
    </row>
    <row r="8" s="34" customFormat="true" ht="115" hidden="false" customHeight="true" outlineLevel="2" collapsed="false">
      <c r="A8" s="51" t="s">
        <v>2657</v>
      </c>
      <c r="B8" s="57"/>
      <c r="C8" s="57"/>
      <c r="D8" s="53" t="s">
        <v>2658</v>
      </c>
      <c r="E8" s="53" t="s">
        <v>217</v>
      </c>
      <c r="F8" s="54" t="n">
        <v>342.5</v>
      </c>
      <c r="G8" s="55"/>
      <c r="H8" s="56" t="str">
        <f aca="false">IF(ISBLANK(G8),"",IF(ISNUMBER(F8),ROUND(F8*G8,2),"Укажите цену"))</f>
        <v/>
      </c>
      <c r="I8" s="57" t="n">
        <v>536</v>
      </c>
      <c r="J8" s="57" t="n">
        <v>17.1</v>
      </c>
      <c r="K8" s="57" t="s">
        <v>2653</v>
      </c>
      <c r="L8" s="57" t="s">
        <v>1658</v>
      </c>
      <c r="M8" s="57" t="s">
        <v>1659</v>
      </c>
      <c r="N8" s="57" t="n">
        <v>30</v>
      </c>
      <c r="O8" s="57" t="s">
        <v>2654</v>
      </c>
      <c r="P8" s="58" t="n">
        <v>0.086</v>
      </c>
      <c r="Q8" s="68"/>
      <c r="R8" s="91" t="s">
        <v>2659</v>
      </c>
      <c r="S8" s="60" t="s">
        <v>96</v>
      </c>
      <c r="T8" s="149"/>
    </row>
    <row r="9" s="70" customFormat="true" ht="115" hidden="false" customHeight="true" outlineLevel="2" collapsed="false">
      <c r="A9" s="51" t="s">
        <v>2660</v>
      </c>
      <c r="B9" s="57"/>
      <c r="C9" s="57"/>
      <c r="D9" s="53" t="s">
        <v>2661</v>
      </c>
      <c r="E9" s="53" t="s">
        <v>103</v>
      </c>
      <c r="F9" s="54" t="n">
        <v>521.9</v>
      </c>
      <c r="G9" s="55"/>
      <c r="H9" s="56" t="str">
        <f aca="false">IF(ISBLANK(G9),"",IF(ISNUMBER(F9),ROUND(F9*G9,2),"Укажите цену"))</f>
        <v/>
      </c>
      <c r="I9" s="57" t="n">
        <v>73</v>
      </c>
      <c r="J9" s="57" t="n">
        <v>19.9</v>
      </c>
      <c r="K9" s="57" t="s">
        <v>2662</v>
      </c>
      <c r="L9" s="57" t="n">
        <v>60</v>
      </c>
      <c r="M9" s="57" t="s">
        <v>284</v>
      </c>
      <c r="N9" s="57" t="n">
        <v>240</v>
      </c>
      <c r="O9" s="57" t="s">
        <v>696</v>
      </c>
      <c r="P9" s="58" t="n">
        <v>0.095</v>
      </c>
      <c r="Q9" s="68" t="s">
        <v>2663</v>
      </c>
      <c r="R9" s="69" t="s">
        <v>2664</v>
      </c>
      <c r="S9" s="60" t="s">
        <v>96</v>
      </c>
      <c r="T9" s="61"/>
    </row>
    <row r="10" s="70" customFormat="true" ht="115" hidden="false" customHeight="true" outlineLevel="2" collapsed="false">
      <c r="A10" s="51" t="s">
        <v>2665</v>
      </c>
      <c r="B10" s="57"/>
      <c r="C10" s="57"/>
      <c r="D10" s="53" t="s">
        <v>2666</v>
      </c>
      <c r="E10" s="53" t="s">
        <v>217</v>
      </c>
      <c r="F10" s="54" t="n">
        <v>521.9</v>
      </c>
      <c r="G10" s="55"/>
      <c r="H10" s="56" t="str">
        <f aca="false">IF(ISBLANK(G10),"",IF(ISNUMBER(F10),ROUND(F10*G10,2),"Укажите цену"))</f>
        <v/>
      </c>
      <c r="I10" s="57" t="n">
        <v>73</v>
      </c>
      <c r="J10" s="57" t="n">
        <v>19.9</v>
      </c>
      <c r="K10" s="57" t="s">
        <v>2662</v>
      </c>
      <c r="L10" s="57" t="n">
        <v>60</v>
      </c>
      <c r="M10" s="57" t="s">
        <v>284</v>
      </c>
      <c r="N10" s="57" t="n">
        <v>240</v>
      </c>
      <c r="O10" s="57" t="s">
        <v>696</v>
      </c>
      <c r="P10" s="58" t="n">
        <v>0.095</v>
      </c>
      <c r="Q10" s="68" t="s">
        <v>2667</v>
      </c>
      <c r="R10" s="69" t="s">
        <v>2668</v>
      </c>
      <c r="S10" s="60" t="s">
        <v>96</v>
      </c>
      <c r="T10" s="61"/>
    </row>
    <row r="11" s="34" customFormat="true" ht="60" hidden="false" customHeight="true" outlineLevel="2" collapsed="false">
      <c r="A11" s="63" t="s">
        <v>2669</v>
      </c>
      <c r="B11" s="57"/>
      <c r="C11" s="57"/>
      <c r="D11" s="53" t="s">
        <v>2670</v>
      </c>
      <c r="E11" s="53" t="s">
        <v>217</v>
      </c>
      <c r="F11" s="54" t="n">
        <v>117.43</v>
      </c>
      <c r="G11" s="55"/>
      <c r="H11" s="56" t="str">
        <f aca="false">IF(ISBLANK(G11),"",IF(ISNUMBER(F11),ROUND(F11*G11,2),"Укажите цену"))</f>
        <v/>
      </c>
      <c r="I11" s="57" t="n">
        <v>82</v>
      </c>
      <c r="J11" s="57" t="n">
        <v>13.2</v>
      </c>
      <c r="K11" s="57" t="s">
        <v>2671</v>
      </c>
      <c r="L11" s="57" t="s">
        <v>91</v>
      </c>
      <c r="M11" s="57" t="s">
        <v>92</v>
      </c>
      <c r="N11" s="57" t="n">
        <v>148</v>
      </c>
      <c r="O11" s="57" t="s">
        <v>641</v>
      </c>
      <c r="P11" s="58" t="n">
        <v>0.074</v>
      </c>
      <c r="Q11" s="68" t="s">
        <v>2672</v>
      </c>
      <c r="R11" s="91" t="s">
        <v>2673</v>
      </c>
      <c r="S11" s="60" t="s">
        <v>96</v>
      </c>
      <c r="T11" s="173"/>
    </row>
    <row r="12" s="34" customFormat="true" ht="60" hidden="false" customHeight="true" outlineLevel="2" collapsed="false">
      <c r="A12" s="63"/>
      <c r="B12" s="57"/>
      <c r="C12" s="57"/>
      <c r="D12" s="53" t="s">
        <v>2674</v>
      </c>
      <c r="E12" s="53" t="s">
        <v>103</v>
      </c>
      <c r="F12" s="54" t="n">
        <v>117.43</v>
      </c>
      <c r="G12" s="55"/>
      <c r="H12" s="56" t="str">
        <f aca="false">IF(ISBLANK(G12),"",IF(ISNUMBER(F12),ROUND(F12*G12,2),"Укажите цену"))</f>
        <v/>
      </c>
      <c r="I12" s="57"/>
      <c r="J12" s="57"/>
      <c r="K12" s="57"/>
      <c r="L12" s="57"/>
      <c r="M12" s="57"/>
      <c r="N12" s="57"/>
      <c r="O12" s="57"/>
      <c r="P12" s="58"/>
      <c r="Q12" s="68"/>
      <c r="R12" s="91"/>
      <c r="S12" s="60"/>
      <c r="T12" s="173"/>
    </row>
    <row r="13" s="150" customFormat="true" ht="60" hidden="false" customHeight="true" outlineLevel="2" collapsed="false">
      <c r="A13" s="63" t="s">
        <v>2675</v>
      </c>
      <c r="B13" s="57"/>
      <c r="C13" s="57"/>
      <c r="D13" s="53" t="s">
        <v>2676</v>
      </c>
      <c r="E13" s="53" t="s">
        <v>217</v>
      </c>
      <c r="F13" s="54" t="n">
        <v>318.03</v>
      </c>
      <c r="G13" s="55"/>
      <c r="H13" s="56" t="str">
        <f aca="false">IF(ISBLANK(G13),"",IF(ISNUMBER(F13),ROUND(F13*G13,2),"Укажите цену"))</f>
        <v/>
      </c>
      <c r="I13" s="57" t="n">
        <v>129</v>
      </c>
      <c r="J13" s="57" t="n">
        <v>16.2</v>
      </c>
      <c r="K13" s="57" t="s">
        <v>2677</v>
      </c>
      <c r="L13" s="57" t="s">
        <v>91</v>
      </c>
      <c r="M13" s="57" t="s">
        <v>92</v>
      </c>
      <c r="N13" s="57" t="n">
        <v>118</v>
      </c>
      <c r="O13" s="57" t="s">
        <v>641</v>
      </c>
      <c r="P13" s="58" t="n">
        <v>0.0744208</v>
      </c>
      <c r="Q13" s="92" t="s">
        <v>2678</v>
      </c>
      <c r="R13" s="69" t="s">
        <v>2679</v>
      </c>
      <c r="S13" s="148" t="s">
        <v>96</v>
      </c>
      <c r="T13" s="149"/>
      <c r="U13" s="149"/>
    </row>
    <row r="14" s="150" customFormat="true" ht="60" hidden="false" customHeight="true" outlineLevel="2" collapsed="false">
      <c r="A14" s="63"/>
      <c r="B14" s="57"/>
      <c r="C14" s="57"/>
      <c r="D14" s="53" t="s">
        <v>2680</v>
      </c>
      <c r="E14" s="53" t="s">
        <v>2681</v>
      </c>
      <c r="F14" s="54" t="n">
        <v>318.03</v>
      </c>
      <c r="G14" s="55"/>
      <c r="H14" s="56" t="str">
        <f aca="false">IF(ISBLANK(G14),"",IF(ISNUMBER(F14),ROUND(F14*G14,2),"Укажите цену"))</f>
        <v/>
      </c>
      <c r="I14" s="57"/>
      <c r="J14" s="57"/>
      <c r="K14" s="57"/>
      <c r="L14" s="57"/>
      <c r="M14" s="57"/>
      <c r="N14" s="57"/>
      <c r="O14" s="57"/>
      <c r="P14" s="58"/>
      <c r="Q14" s="92"/>
      <c r="R14" s="69"/>
      <c r="S14" s="148"/>
      <c r="T14" s="149"/>
      <c r="U14" s="149"/>
    </row>
    <row r="15" s="70" customFormat="true" ht="115" hidden="false" customHeight="true" outlineLevel="2" collapsed="false">
      <c r="A15" s="51" t="s">
        <v>2682</v>
      </c>
      <c r="B15" s="57"/>
      <c r="C15" s="57"/>
      <c r="D15" s="53" t="s">
        <v>2683</v>
      </c>
      <c r="E15" s="53" t="s">
        <v>217</v>
      </c>
      <c r="F15" s="54" t="n">
        <v>187.56</v>
      </c>
      <c r="G15" s="55"/>
      <c r="H15" s="56" t="str">
        <f aca="false">IF(ISBLANK(G15),"",IF(ISNUMBER(F15),ROUND(F15*G15,2),"Укажите цену"))</f>
        <v/>
      </c>
      <c r="I15" s="57" t="n">
        <v>122</v>
      </c>
      <c r="J15" s="57" t="n">
        <v>10.7</v>
      </c>
      <c r="K15" s="57" t="s">
        <v>2684</v>
      </c>
      <c r="L15" s="57" t="s">
        <v>91</v>
      </c>
      <c r="M15" s="57" t="s">
        <v>92</v>
      </c>
      <c r="N15" s="57" t="n">
        <v>80</v>
      </c>
      <c r="O15" s="57" t="s">
        <v>641</v>
      </c>
      <c r="P15" s="58" t="n">
        <v>0.074</v>
      </c>
      <c r="Q15" s="68" t="s">
        <v>2685</v>
      </c>
      <c r="R15" s="69" t="s">
        <v>2686</v>
      </c>
      <c r="S15" s="60" t="s">
        <v>96</v>
      </c>
      <c r="T15" s="61"/>
    </row>
    <row r="16" s="70" customFormat="true" ht="115" hidden="false" customHeight="true" outlineLevel="2" collapsed="false">
      <c r="A16" s="51" t="s">
        <v>2687</v>
      </c>
      <c r="B16" s="57"/>
      <c r="C16" s="57"/>
      <c r="D16" s="53" t="s">
        <v>2688</v>
      </c>
      <c r="E16" s="53" t="s">
        <v>217</v>
      </c>
      <c r="F16" s="54" t="n">
        <v>415.89</v>
      </c>
      <c r="G16" s="55"/>
      <c r="H16" s="56" t="str">
        <f aca="false">IF(ISBLANK(G16),"",IF(ISNUMBER(F16),ROUND(F16*G16,2),"Укажите цену"))</f>
        <v/>
      </c>
      <c r="I16" s="57" t="n">
        <v>111</v>
      </c>
      <c r="J16" s="57" t="n">
        <v>12.9</v>
      </c>
      <c r="K16" s="57" t="s">
        <v>2689</v>
      </c>
      <c r="L16" s="57" t="n">
        <v>16</v>
      </c>
      <c r="M16" s="57" t="s">
        <v>640</v>
      </c>
      <c r="N16" s="57" t="n">
        <v>96</v>
      </c>
      <c r="O16" s="57" t="s">
        <v>641</v>
      </c>
      <c r="P16" s="58" t="n">
        <v>0.074</v>
      </c>
      <c r="Q16" s="68" t="s">
        <v>2690</v>
      </c>
      <c r="R16" s="69" t="s">
        <v>2691</v>
      </c>
      <c r="S16" s="60" t="s">
        <v>96</v>
      </c>
      <c r="T16" s="61"/>
    </row>
    <row r="17" s="70" customFormat="true" ht="60" hidden="false" customHeight="true" outlineLevel="2" collapsed="false">
      <c r="A17" s="63" t="s">
        <v>2692</v>
      </c>
      <c r="B17" s="57"/>
      <c r="C17" s="57"/>
      <c r="D17" s="53" t="s">
        <v>2693</v>
      </c>
      <c r="E17" s="53" t="s">
        <v>89</v>
      </c>
      <c r="F17" s="54" t="n">
        <v>195.71</v>
      </c>
      <c r="G17" s="55"/>
      <c r="H17" s="56" t="str">
        <f aca="false">IF(ISBLANK(G17),"",IF(ISNUMBER(F17),ROUND(F17*G17,2),"Укажите цену"))</f>
        <v/>
      </c>
      <c r="I17" s="57" t="n">
        <v>73</v>
      </c>
      <c r="J17" s="57" t="n">
        <v>8.2</v>
      </c>
      <c r="K17" s="57" t="s">
        <v>2694</v>
      </c>
      <c r="L17" s="57" t="n">
        <v>20</v>
      </c>
      <c r="M17" s="57" t="s">
        <v>284</v>
      </c>
      <c r="N17" s="57" t="n">
        <v>80</v>
      </c>
      <c r="O17" s="57" t="s">
        <v>696</v>
      </c>
      <c r="P17" s="58" t="n">
        <v>0.10677394</v>
      </c>
      <c r="Q17" s="68" t="s">
        <v>2695</v>
      </c>
      <c r="R17" s="69" t="s">
        <v>2696</v>
      </c>
      <c r="S17" s="60" t="s">
        <v>96</v>
      </c>
      <c r="T17" s="61"/>
    </row>
    <row r="18" s="70" customFormat="true" ht="60" hidden="false" customHeight="true" outlineLevel="2" collapsed="false">
      <c r="A18" s="63"/>
      <c r="B18" s="57"/>
      <c r="C18" s="57"/>
      <c r="D18" s="53" t="s">
        <v>2697</v>
      </c>
      <c r="E18" s="53" t="s">
        <v>103</v>
      </c>
      <c r="F18" s="54" t="n">
        <v>195.71</v>
      </c>
      <c r="G18" s="55"/>
      <c r="H18" s="56" t="str">
        <f aca="false">IF(ISBLANK(G18),"",IF(ISNUMBER(F18),ROUND(F18*G18,2),"Укажите цену"))</f>
        <v/>
      </c>
      <c r="I18" s="57"/>
      <c r="J18" s="57"/>
      <c r="K18" s="57"/>
      <c r="L18" s="57"/>
      <c r="M18" s="57"/>
      <c r="N18" s="57"/>
      <c r="O18" s="57"/>
      <c r="P18" s="58"/>
      <c r="Q18" s="68"/>
      <c r="R18" s="69"/>
      <c r="S18" s="60"/>
      <c r="T18" s="61"/>
    </row>
    <row r="19" s="70" customFormat="true" ht="115" hidden="false" customHeight="true" outlineLevel="2" collapsed="false">
      <c r="A19" s="51" t="s">
        <v>2698</v>
      </c>
      <c r="B19" s="57"/>
      <c r="C19" s="57"/>
      <c r="D19" s="53" t="s">
        <v>2699</v>
      </c>
      <c r="E19" s="53" t="s">
        <v>1724</v>
      </c>
      <c r="F19" s="54" t="n">
        <v>285.41</v>
      </c>
      <c r="G19" s="55"/>
      <c r="H19" s="56" t="str">
        <f aca="false">IF(ISBLANK(G19),"",IF(ISNUMBER(F19),ROUND(F19*G19,2),"Укажите цену"))</f>
        <v/>
      </c>
      <c r="I19" s="57" t="n">
        <v>94</v>
      </c>
      <c r="J19" s="57" t="n">
        <v>9.7</v>
      </c>
      <c r="K19" s="57" t="s">
        <v>2700</v>
      </c>
      <c r="L19" s="57" t="n">
        <v>20</v>
      </c>
      <c r="M19" s="57" t="s">
        <v>284</v>
      </c>
      <c r="N19" s="57" t="n">
        <v>80</v>
      </c>
      <c r="O19" s="57" t="s">
        <v>1215</v>
      </c>
      <c r="P19" s="58" t="n">
        <v>0.095</v>
      </c>
      <c r="Q19" s="68" t="s">
        <v>2701</v>
      </c>
      <c r="R19" s="77" t="s">
        <v>2702</v>
      </c>
      <c r="S19" s="165" t="s">
        <v>96</v>
      </c>
      <c r="T19" s="61"/>
    </row>
    <row r="20" s="62" customFormat="true" ht="115" hidden="false" customHeight="true" outlineLevel="2" collapsed="false">
      <c r="A20" s="51" t="s">
        <v>2703</v>
      </c>
      <c r="B20" s="57"/>
      <c r="C20" s="57"/>
      <c r="D20" s="53" t="s">
        <v>2704</v>
      </c>
      <c r="E20" s="53" t="s">
        <v>2705</v>
      </c>
      <c r="F20" s="54" t="n">
        <v>40.77</v>
      </c>
      <c r="G20" s="55"/>
      <c r="H20" s="56" t="str">
        <f aca="false">IF(ISBLANK(G20),"",IF(ISNUMBER(F20),ROUND(F20*G20,2),"Укажите цену"))</f>
        <v/>
      </c>
      <c r="I20" s="57" t="n">
        <v>84</v>
      </c>
      <c r="J20" s="26" t="n">
        <v>19.6</v>
      </c>
      <c r="K20" s="57" t="s">
        <v>2706</v>
      </c>
      <c r="L20" s="57" t="s">
        <v>91</v>
      </c>
      <c r="M20" s="57" t="s">
        <v>92</v>
      </c>
      <c r="N20" s="57" t="n">
        <v>230</v>
      </c>
      <c r="O20" s="57" t="s">
        <v>2707</v>
      </c>
      <c r="P20" s="58" t="n">
        <v>0.034</v>
      </c>
      <c r="Q20" s="59" t="s">
        <v>2708</v>
      </c>
      <c r="R20" s="77" t="s">
        <v>2709</v>
      </c>
      <c r="S20" s="73" t="s">
        <v>96</v>
      </c>
      <c r="T20" s="61"/>
      <c r="U20" s="87"/>
      <c r="V20" s="61"/>
      <c r="W20" s="61"/>
      <c r="X20" s="61"/>
      <c r="Y20" s="61"/>
      <c r="Z20" s="61"/>
    </row>
    <row r="21" s="62" customFormat="true" ht="115" hidden="false" customHeight="true" outlineLevel="2" collapsed="false">
      <c r="A21" s="51" t="s">
        <v>2710</v>
      </c>
      <c r="B21" s="57"/>
      <c r="C21" s="57"/>
      <c r="D21" s="53" t="s">
        <v>2711</v>
      </c>
      <c r="E21" s="53" t="s">
        <v>2705</v>
      </c>
      <c r="F21" s="54" t="n">
        <v>163.09</v>
      </c>
      <c r="G21" s="55"/>
      <c r="H21" s="56" t="str">
        <f aca="false">IF(ISBLANK(G21),"",IF(ISNUMBER(F21),ROUND(F21*G21,2),"Укажите цену"))</f>
        <v/>
      </c>
      <c r="I21" s="57" t="n">
        <v>403</v>
      </c>
      <c r="J21" s="26" t="n">
        <v>16.2</v>
      </c>
      <c r="K21" s="57" t="s">
        <v>2712</v>
      </c>
      <c r="L21" s="57" t="s">
        <v>91</v>
      </c>
      <c r="M21" s="57" t="s">
        <v>92</v>
      </c>
      <c r="N21" s="57" t="n">
        <v>40</v>
      </c>
      <c r="O21" s="57" t="s">
        <v>2713</v>
      </c>
      <c r="P21" s="58" t="n">
        <v>0.043</v>
      </c>
      <c r="Q21" s="59" t="s">
        <v>2714</v>
      </c>
      <c r="R21" s="77" t="s">
        <v>2709</v>
      </c>
      <c r="S21" s="73" t="s">
        <v>96</v>
      </c>
      <c r="T21" s="61"/>
      <c r="U21" s="87"/>
      <c r="V21" s="61"/>
      <c r="W21" s="61"/>
      <c r="X21" s="61"/>
      <c r="Y21" s="61"/>
      <c r="Z21" s="61"/>
    </row>
    <row r="22" s="61" customFormat="true" ht="115" hidden="false" customHeight="true" outlineLevel="2" collapsed="false">
      <c r="A22" s="51" t="s">
        <v>2715</v>
      </c>
      <c r="B22" s="57"/>
      <c r="C22" s="57"/>
      <c r="D22" s="53" t="s">
        <v>2716</v>
      </c>
      <c r="E22" s="53" t="s">
        <v>89</v>
      </c>
      <c r="F22" s="54" t="n">
        <v>187.56</v>
      </c>
      <c r="G22" s="55"/>
      <c r="H22" s="56" t="str">
        <f aca="false">IF(ISBLANK(G22),"",IF(ISNUMBER(F22),ROUND(F22*G22,2),"Укажите цену"))</f>
        <v/>
      </c>
      <c r="I22" s="57" t="n">
        <v>116</v>
      </c>
      <c r="J22" s="26" t="n">
        <v>11.3</v>
      </c>
      <c r="K22" s="57" t="s">
        <v>2717</v>
      </c>
      <c r="L22" s="57" t="n">
        <v>20</v>
      </c>
      <c r="M22" s="57" t="s">
        <v>284</v>
      </c>
      <c r="N22" s="57" t="n">
        <v>80</v>
      </c>
      <c r="O22" s="57" t="s">
        <v>696</v>
      </c>
      <c r="P22" s="58" t="n">
        <v>0.095</v>
      </c>
      <c r="Q22" s="194" t="s">
        <v>2718</v>
      </c>
      <c r="R22" s="77" t="s">
        <v>2719</v>
      </c>
      <c r="S22" s="73" t="s">
        <v>96</v>
      </c>
      <c r="U22" s="87"/>
    </row>
    <row r="23" s="62" customFormat="true" ht="115" hidden="false" customHeight="true" outlineLevel="2" collapsed="false">
      <c r="A23" s="51" t="s">
        <v>2720</v>
      </c>
      <c r="B23" s="57"/>
      <c r="C23" s="57"/>
      <c r="D23" s="53" t="s">
        <v>2721</v>
      </c>
      <c r="E23" s="53" t="s">
        <v>89</v>
      </c>
      <c r="F23" s="54" t="n">
        <v>40.77</v>
      </c>
      <c r="G23" s="55"/>
      <c r="H23" s="56" t="str">
        <f aca="false">IF(ISBLANK(G23),"",IF(ISNUMBER(F23),ROUND(F23*G23,2),"Укажите цену"))</f>
        <v/>
      </c>
      <c r="I23" s="57" t="n">
        <v>80</v>
      </c>
      <c r="J23" s="26" t="n">
        <v>19.2</v>
      </c>
      <c r="K23" s="57" t="s">
        <v>2722</v>
      </c>
      <c r="L23" s="57" t="s">
        <v>91</v>
      </c>
      <c r="M23" s="57" t="s">
        <v>92</v>
      </c>
      <c r="N23" s="57" t="n">
        <v>230</v>
      </c>
      <c r="O23" s="57" t="s">
        <v>2707</v>
      </c>
      <c r="P23" s="58" t="n">
        <v>0.034</v>
      </c>
      <c r="Q23" s="194" t="s">
        <v>2723</v>
      </c>
      <c r="R23" s="77" t="s">
        <v>2724</v>
      </c>
      <c r="S23" s="73" t="s">
        <v>96</v>
      </c>
      <c r="T23" s="61"/>
      <c r="U23" s="87"/>
      <c r="V23" s="61"/>
      <c r="W23" s="61"/>
      <c r="X23" s="61"/>
      <c r="Y23" s="61"/>
      <c r="Z23" s="61"/>
    </row>
    <row r="24" s="62" customFormat="true" ht="115" hidden="false" customHeight="true" outlineLevel="2" collapsed="false">
      <c r="A24" s="51" t="s">
        <v>2725</v>
      </c>
      <c r="B24" s="57"/>
      <c r="C24" s="57"/>
      <c r="D24" s="53" t="s">
        <v>2726</v>
      </c>
      <c r="E24" s="53" t="s">
        <v>89</v>
      </c>
      <c r="F24" s="54" t="n">
        <v>293.57</v>
      </c>
      <c r="G24" s="55"/>
      <c r="H24" s="56" t="str">
        <f aca="false">IF(ISBLANK(G24),"",IF(ISNUMBER(F24),ROUND(F24*G24,2),"Укажите цену"))</f>
        <v/>
      </c>
      <c r="I24" s="57" t="n">
        <v>107</v>
      </c>
      <c r="J24" s="26" t="n">
        <v>11.65</v>
      </c>
      <c r="K24" s="57" t="s">
        <v>2727</v>
      </c>
      <c r="L24" s="185" t="n">
        <v>22</v>
      </c>
      <c r="M24" s="185" t="s">
        <v>284</v>
      </c>
      <c r="N24" s="185" t="n">
        <v>88</v>
      </c>
      <c r="O24" s="185" t="s">
        <v>696</v>
      </c>
      <c r="P24" s="99" t="n">
        <v>0.095</v>
      </c>
      <c r="Q24" s="59" t="s">
        <v>2728</v>
      </c>
      <c r="R24" s="77" t="s">
        <v>2729</v>
      </c>
      <c r="S24" s="73" t="s">
        <v>96</v>
      </c>
      <c r="T24" s="61"/>
      <c r="U24" s="87"/>
      <c r="V24" s="61"/>
      <c r="W24" s="61"/>
      <c r="X24" s="61"/>
      <c r="Y24" s="61"/>
      <c r="Z24" s="61"/>
    </row>
    <row r="25" s="42" customFormat="true" ht="115" hidden="false" customHeight="true" outlineLevel="2" collapsed="false">
      <c r="A25" s="51" t="s">
        <v>2730</v>
      </c>
      <c r="B25" s="57"/>
      <c r="C25" s="57"/>
      <c r="D25" s="53" t="s">
        <v>2731</v>
      </c>
      <c r="E25" s="53" t="s">
        <v>89</v>
      </c>
      <c r="F25" s="54" t="n">
        <v>274</v>
      </c>
      <c r="G25" s="55"/>
      <c r="H25" s="56" t="str">
        <f aca="false">IF(ISBLANK(G25),"",IF(ISNUMBER(F25),ROUND(F25*G25,2),"Укажите цену"))</f>
        <v/>
      </c>
      <c r="I25" s="57" t="n">
        <v>101</v>
      </c>
      <c r="J25" s="26" t="n">
        <v>10.9</v>
      </c>
      <c r="K25" s="57" t="s">
        <v>2732</v>
      </c>
      <c r="L25" s="57" t="n">
        <v>22</v>
      </c>
      <c r="M25" s="57" t="s">
        <v>284</v>
      </c>
      <c r="N25" s="57" t="n">
        <v>88</v>
      </c>
      <c r="O25" s="57" t="s">
        <v>696</v>
      </c>
      <c r="P25" s="58" t="n">
        <v>0.095</v>
      </c>
      <c r="Q25" s="59" t="s">
        <v>2733</v>
      </c>
      <c r="R25" s="60" t="s">
        <v>2734</v>
      </c>
      <c r="S25" s="73" t="s">
        <v>96</v>
      </c>
      <c r="T25" s="61"/>
      <c r="U25" s="105"/>
      <c r="V25" s="105"/>
      <c r="W25" s="105"/>
      <c r="X25" s="105"/>
      <c r="Y25" s="105"/>
      <c r="Z25" s="105"/>
    </row>
    <row r="26" s="42" customFormat="true" ht="115" hidden="false" customHeight="true" outlineLevel="2" collapsed="false">
      <c r="A26" s="51" t="s">
        <v>2735</v>
      </c>
      <c r="B26" s="57"/>
      <c r="C26" s="57"/>
      <c r="D26" s="53" t="s">
        <v>2736</v>
      </c>
      <c r="E26" s="53" t="s">
        <v>89</v>
      </c>
      <c r="F26" s="54" t="n">
        <v>195.71</v>
      </c>
      <c r="G26" s="55"/>
      <c r="H26" s="56" t="str">
        <f aca="false">IF(ISBLANK(G26),"",IF(ISNUMBER(F26),ROUND(F26*G26,2),"Укажите цену"))</f>
        <v/>
      </c>
      <c r="I26" s="57" t="n">
        <v>126</v>
      </c>
      <c r="J26" s="26" t="n">
        <v>12.9</v>
      </c>
      <c r="K26" s="57" t="s">
        <v>2737</v>
      </c>
      <c r="L26" s="57" t="n">
        <v>22</v>
      </c>
      <c r="M26" s="57" t="s">
        <v>284</v>
      </c>
      <c r="N26" s="57" t="n">
        <v>88</v>
      </c>
      <c r="O26" s="57" t="s">
        <v>696</v>
      </c>
      <c r="P26" s="58" t="n">
        <v>0.095</v>
      </c>
      <c r="Q26" s="59" t="s">
        <v>2738</v>
      </c>
      <c r="R26" s="60" t="s">
        <v>2739</v>
      </c>
      <c r="S26" s="73" t="s">
        <v>96</v>
      </c>
      <c r="T26" s="61"/>
      <c r="U26" s="105"/>
      <c r="V26" s="105"/>
      <c r="W26" s="105"/>
      <c r="X26" s="105"/>
      <c r="Y26" s="105"/>
      <c r="Z26" s="105"/>
    </row>
    <row r="27" s="39" customFormat="true" ht="115" hidden="false" customHeight="true" outlineLevel="2" collapsed="false">
      <c r="A27" s="51" t="s">
        <v>2740</v>
      </c>
      <c r="B27" s="57"/>
      <c r="C27" s="57"/>
      <c r="D27" s="53" t="s">
        <v>2741</v>
      </c>
      <c r="E27" s="53" t="s">
        <v>89</v>
      </c>
      <c r="F27" s="54" t="n">
        <v>260.95</v>
      </c>
      <c r="G27" s="55"/>
      <c r="H27" s="56" t="str">
        <f aca="false">IF(ISBLANK(G27),"",IF(ISNUMBER(F27),ROUND(F27*G27,2),"Укажите цену"))</f>
        <v/>
      </c>
      <c r="I27" s="101" t="n">
        <v>179</v>
      </c>
      <c r="J27" s="76" t="n">
        <v>13.9</v>
      </c>
      <c r="K27" s="102" t="s">
        <v>2742</v>
      </c>
      <c r="L27" s="101" t="s">
        <v>91</v>
      </c>
      <c r="M27" s="57" t="s">
        <v>92</v>
      </c>
      <c r="N27" s="57" t="n">
        <v>72</v>
      </c>
      <c r="O27" s="57" t="s">
        <v>2743</v>
      </c>
      <c r="P27" s="58" t="n">
        <v>0.106</v>
      </c>
      <c r="Q27" s="68" t="s">
        <v>2744</v>
      </c>
      <c r="R27" s="60" t="s">
        <v>2745</v>
      </c>
      <c r="S27" s="73" t="s">
        <v>96</v>
      </c>
      <c r="T27" s="61"/>
      <c r="U27" s="34"/>
      <c r="V27" s="34"/>
      <c r="W27" s="34"/>
      <c r="X27" s="34"/>
      <c r="Y27" s="34"/>
      <c r="Z27" s="34"/>
    </row>
    <row r="28" s="39" customFormat="true" ht="115" hidden="false" customHeight="true" outlineLevel="2" collapsed="false">
      <c r="A28" s="51" t="s">
        <v>2746</v>
      </c>
      <c r="B28" s="57"/>
      <c r="C28" s="57"/>
      <c r="D28" s="53" t="s">
        <v>2747</v>
      </c>
      <c r="E28" s="53" t="s">
        <v>2748</v>
      </c>
      <c r="F28" s="54" t="n">
        <v>163.09</v>
      </c>
      <c r="G28" s="55"/>
      <c r="H28" s="56" t="str">
        <f aca="false">IF(ISBLANK(G28),"",IF(ISNUMBER(F28),ROUND(F28*G28,2),"Укажите цену"))</f>
        <v/>
      </c>
      <c r="I28" s="101" t="n">
        <v>35</v>
      </c>
      <c r="J28" s="76" t="n">
        <v>9.9</v>
      </c>
      <c r="K28" s="102" t="s">
        <v>2091</v>
      </c>
      <c r="L28" s="101" t="n">
        <v>60</v>
      </c>
      <c r="M28" s="57" t="s">
        <v>284</v>
      </c>
      <c r="N28" s="57" t="n">
        <v>240</v>
      </c>
      <c r="O28" s="57" t="s">
        <v>696</v>
      </c>
      <c r="P28" s="58" t="n">
        <v>0.095</v>
      </c>
      <c r="Q28" s="68" t="s">
        <v>2749</v>
      </c>
      <c r="R28" s="60" t="s">
        <v>2750</v>
      </c>
      <c r="S28" s="73" t="s">
        <v>96</v>
      </c>
      <c r="T28" s="61"/>
      <c r="U28" s="34"/>
      <c r="V28" s="34"/>
      <c r="W28" s="34"/>
      <c r="X28" s="34"/>
      <c r="Y28" s="34"/>
      <c r="Z28" s="34"/>
      <c r="AA28" s="34"/>
      <c r="AB28" s="34"/>
    </row>
    <row r="29" s="39" customFormat="true" ht="115" hidden="false" customHeight="true" outlineLevel="2" collapsed="false">
      <c r="A29" s="51" t="s">
        <v>2751</v>
      </c>
      <c r="B29" s="57"/>
      <c r="C29" s="57"/>
      <c r="D29" s="53" t="s">
        <v>2752</v>
      </c>
      <c r="E29" s="53" t="s">
        <v>89</v>
      </c>
      <c r="F29" s="54" t="n">
        <v>22.83</v>
      </c>
      <c r="G29" s="55"/>
      <c r="H29" s="56" t="str">
        <f aca="false">IF(ISBLANK(G29),"",IF(ISNUMBER(F29),ROUND(F29*G29,2),"Укажите цену"))</f>
        <v/>
      </c>
      <c r="I29" s="101" t="n">
        <v>3.5</v>
      </c>
      <c r="J29" s="76" t="n">
        <v>8.9</v>
      </c>
      <c r="K29" s="102" t="s">
        <v>2753</v>
      </c>
      <c r="L29" s="101" t="n">
        <v>300</v>
      </c>
      <c r="M29" s="57" t="s">
        <v>640</v>
      </c>
      <c r="N29" s="57" t="n">
        <v>1800</v>
      </c>
      <c r="O29" s="57" t="s">
        <v>641</v>
      </c>
      <c r="P29" s="58" t="n">
        <v>0.074</v>
      </c>
      <c r="Q29" s="68" t="s">
        <v>2754</v>
      </c>
      <c r="R29" s="60" t="s">
        <v>2755</v>
      </c>
      <c r="S29" s="72" t="s">
        <v>2756</v>
      </c>
      <c r="T29" s="61"/>
      <c r="U29" s="34"/>
      <c r="V29" s="34"/>
      <c r="W29" s="34"/>
      <c r="X29" s="34"/>
      <c r="Y29" s="34"/>
      <c r="Z29" s="34"/>
      <c r="AA29" s="34"/>
      <c r="AB29" s="34"/>
    </row>
    <row r="30" customFormat="false" ht="30" hidden="false" customHeight="true" outlineLevel="1" collapsed="false">
      <c r="F30" s="109" t="s">
        <v>633</v>
      </c>
      <c r="G30" s="109"/>
      <c r="H30" s="109" t="n">
        <f aca="false">IF(COUNTIFS(H5:H29,"Укажите цену")&gt;0,"Укажите цены",SUM(H5:H29))</f>
        <v>0</v>
      </c>
    </row>
    <row r="31" s="4" customFormat="true" ht="5.25" hidden="false" customHeight="true" outlineLevel="0" collapsed="false">
      <c r="A31" s="135"/>
      <c r="B31" s="135"/>
      <c r="C31" s="135"/>
      <c r="D31" s="135"/>
      <c r="E31" s="135"/>
      <c r="F31" s="135"/>
      <c r="G31" s="135"/>
      <c r="H31" s="135"/>
      <c r="I31" s="135"/>
      <c r="J31" s="135"/>
      <c r="K31" s="135"/>
      <c r="L31" s="135"/>
      <c r="M31" s="135"/>
      <c r="N31" s="135"/>
      <c r="O31" s="135"/>
      <c r="P31" s="135"/>
      <c r="Q31" s="135"/>
      <c r="R31" s="135"/>
      <c r="S31" s="136"/>
      <c r="T31" s="61"/>
    </row>
    <row r="32" customFormat="false" ht="50.1" hidden="false" customHeight="true" outlineLevel="0" collapsed="false">
      <c r="T32" s="61"/>
    </row>
    <row r="33" customFormat="false" ht="50.1" hidden="false" customHeight="true" outlineLevel="0" collapsed="false">
      <c r="T33" s="61"/>
    </row>
    <row r="34" customFormat="false" ht="50.1" hidden="false" customHeight="true" outlineLevel="0" collapsed="false">
      <c r="T34" s="61"/>
    </row>
    <row r="35" customFormat="false" ht="50.1" hidden="false" customHeight="true" outlineLevel="0" collapsed="false">
      <c r="T35" s="61"/>
    </row>
    <row r="36" customFormat="false" ht="50.1" hidden="false" customHeight="true" outlineLevel="0" collapsed="false">
      <c r="T36" s="61"/>
    </row>
    <row r="37" customFormat="false" ht="50.1" hidden="false" customHeight="true" outlineLevel="0" collapsed="false">
      <c r="T37" s="61"/>
    </row>
    <row r="38" customFormat="false" ht="50.1" hidden="false" customHeight="true" outlineLevel="0" collapsed="false">
      <c r="T38" s="61"/>
    </row>
    <row r="39" customFormat="false" ht="50.1" hidden="false" customHeight="true" outlineLevel="0" collapsed="false">
      <c r="T39" s="61"/>
    </row>
    <row r="40" customFormat="false" ht="50.1" hidden="false" customHeight="true" outlineLevel="0" collapsed="false">
      <c r="T40" s="61"/>
    </row>
    <row r="41" customFormat="false" ht="50.1" hidden="false" customHeight="true" outlineLevel="0" collapsed="false">
      <c r="T41" s="61"/>
    </row>
    <row r="42" customFormat="false" ht="50.1" hidden="false" customHeight="true" outlineLevel="0" collapsed="false">
      <c r="T42" s="61"/>
    </row>
    <row r="43" customFormat="false" ht="50.1" hidden="false" customHeight="true" outlineLevel="0" collapsed="false">
      <c r="T43" s="61"/>
    </row>
    <row r="44" customFormat="false" ht="50.1" hidden="false" customHeight="true" outlineLevel="0" collapsed="false">
      <c r="T44" s="61"/>
    </row>
    <row r="45" customFormat="false" ht="50.1" hidden="false" customHeight="true" outlineLevel="0" collapsed="false">
      <c r="T45" s="61"/>
    </row>
    <row r="46" customFormat="false" ht="50.1" hidden="false" customHeight="true" outlineLevel="0" collapsed="false">
      <c r="T46" s="61"/>
    </row>
    <row r="47" customFormat="false" ht="50.1" hidden="false" customHeight="true" outlineLevel="0" collapsed="false">
      <c r="T47" s="61"/>
    </row>
    <row r="48" customFormat="false" ht="50.1" hidden="false" customHeight="true" outlineLevel="0" collapsed="false">
      <c r="T48" s="61"/>
    </row>
    <row r="49" customFormat="false" ht="50.1" hidden="false" customHeight="true" outlineLevel="0" collapsed="false">
      <c r="T49" s="61"/>
    </row>
    <row r="50" customFormat="false" ht="50.1" hidden="false" customHeight="true" outlineLevel="0" collapsed="false">
      <c r="T50" s="61"/>
    </row>
    <row r="51" customFormat="false" ht="50.1" hidden="false" customHeight="true" outlineLevel="0" collapsed="false">
      <c r="T51" s="61"/>
    </row>
    <row r="52" customFormat="false" ht="50.1" hidden="false" customHeight="true" outlineLevel="0" collapsed="false">
      <c r="T52" s="61"/>
    </row>
    <row r="53" customFormat="false" ht="50.1" hidden="false" customHeight="true" outlineLevel="0" collapsed="false">
      <c r="T53" s="61"/>
    </row>
    <row r="54" customFormat="false" ht="50.1" hidden="false" customHeight="true" outlineLevel="0" collapsed="false">
      <c r="T54" s="61"/>
    </row>
    <row r="55" customFormat="false" ht="50.1" hidden="false" customHeight="true" outlineLevel="0" collapsed="false">
      <c r="T55" s="61"/>
    </row>
    <row r="56" customFormat="false" ht="50.1" hidden="false" customHeight="true" outlineLevel="0" collapsed="false">
      <c r="T56" s="61"/>
    </row>
    <row r="57" customFormat="false" ht="50.1" hidden="false" customHeight="true" outlineLevel="0" collapsed="false">
      <c r="T57" s="61"/>
    </row>
    <row r="58" customFormat="false" ht="50.1" hidden="false" customHeight="true" outlineLevel="0" collapsed="false">
      <c r="T58" s="61"/>
    </row>
    <row r="59" customFormat="false" ht="50.1" hidden="false" customHeight="true" outlineLevel="0" collapsed="false">
      <c r="T59" s="61"/>
    </row>
    <row r="60" customFormat="false" ht="50.1" hidden="false" customHeight="true" outlineLevel="0" collapsed="false">
      <c r="T60" s="61"/>
    </row>
    <row r="61" customFormat="false" ht="50.1" hidden="false" customHeight="true" outlineLevel="0" collapsed="false">
      <c r="T61" s="61"/>
    </row>
    <row r="62" customFormat="false" ht="50.1" hidden="false" customHeight="true" outlineLevel="0" collapsed="false">
      <c r="T62" s="61"/>
    </row>
    <row r="63" customFormat="false" ht="50.1" hidden="false" customHeight="true" outlineLevel="0" collapsed="false">
      <c r="T63" s="61"/>
    </row>
    <row r="64" customFormat="false" ht="50.1" hidden="false" customHeight="true" outlineLevel="0" collapsed="false">
      <c r="T64" s="61"/>
    </row>
    <row r="65" customFormat="false" ht="50.1" hidden="false" customHeight="true" outlineLevel="0" collapsed="false">
      <c r="T65" s="61"/>
    </row>
    <row r="66" customFormat="false" ht="50.1" hidden="false" customHeight="true" outlineLevel="0" collapsed="false">
      <c r="T66" s="61"/>
    </row>
    <row r="67" customFormat="false" ht="50.1" hidden="false" customHeight="true" outlineLevel="0" collapsed="false">
      <c r="T67" s="61"/>
    </row>
    <row r="68" customFormat="false" ht="50.1" hidden="false" customHeight="true" outlineLevel="0" collapsed="false">
      <c r="T68" s="61"/>
    </row>
    <row r="69" customFormat="false" ht="50.1" hidden="false" customHeight="true" outlineLevel="0" collapsed="false">
      <c r="T69" s="61"/>
    </row>
    <row r="70" customFormat="false" ht="50.1" hidden="false" customHeight="true" outlineLevel="0" collapsed="false">
      <c r="T70" s="61"/>
    </row>
    <row r="71" customFormat="false" ht="50.1" hidden="false" customHeight="true" outlineLevel="0" collapsed="false">
      <c r="T71" s="61"/>
    </row>
    <row r="72" customFormat="false" ht="50.1" hidden="false" customHeight="true" outlineLevel="0" collapsed="false">
      <c r="T72" s="61"/>
    </row>
    <row r="73" customFormat="false" ht="50.1" hidden="false" customHeight="true" outlineLevel="0" collapsed="false">
      <c r="T73" s="61"/>
    </row>
    <row r="74" customFormat="false" ht="50.1" hidden="false" customHeight="true" outlineLevel="0" collapsed="false">
      <c r="T74" s="61"/>
    </row>
    <row r="75" customFormat="false" ht="50.1" hidden="false" customHeight="true" outlineLevel="0" collapsed="false">
      <c r="T75" s="61"/>
    </row>
    <row r="76" customFormat="false" ht="50.1" hidden="false" customHeight="true" outlineLevel="0" collapsed="false">
      <c r="T76" s="61"/>
    </row>
    <row r="77" customFormat="false" ht="50.1" hidden="false" customHeight="true" outlineLevel="0" collapsed="false">
      <c r="T77" s="61"/>
    </row>
    <row r="78" customFormat="false" ht="50.1" hidden="false" customHeight="true" outlineLevel="0" collapsed="false">
      <c r="T78" s="61"/>
    </row>
    <row r="79" customFormat="false" ht="50.1" hidden="false" customHeight="true" outlineLevel="0" collapsed="false">
      <c r="T79" s="61"/>
    </row>
    <row r="80" customFormat="false" ht="50.1" hidden="false" customHeight="true" outlineLevel="0" collapsed="false">
      <c r="T80" s="61"/>
    </row>
    <row r="81" customFormat="false" ht="50.1" hidden="false" customHeight="true" outlineLevel="0" collapsed="false">
      <c r="T81" s="61"/>
    </row>
    <row r="82" customFormat="false" ht="50.1" hidden="false" customHeight="true" outlineLevel="0" collapsed="false">
      <c r="T82" s="61"/>
    </row>
    <row r="83" customFormat="false" ht="50.1" hidden="false" customHeight="true" outlineLevel="0" collapsed="false">
      <c r="T83" s="61"/>
    </row>
    <row r="84" customFormat="false" ht="50.1" hidden="false" customHeight="true" outlineLevel="0" collapsed="false">
      <c r="T84" s="61"/>
    </row>
    <row r="85" customFormat="false" ht="50.1" hidden="false" customHeight="true" outlineLevel="0" collapsed="false">
      <c r="T85" s="61"/>
    </row>
    <row r="86" customFormat="false" ht="50.1" hidden="false" customHeight="true" outlineLevel="0" collapsed="false">
      <c r="T86" s="61"/>
    </row>
    <row r="87" customFormat="false" ht="50.1" hidden="false" customHeight="true" outlineLevel="0" collapsed="false">
      <c r="T87" s="61"/>
    </row>
    <row r="88" customFormat="false" ht="50.1" hidden="false" customHeight="true" outlineLevel="0" collapsed="false">
      <c r="T88" s="61"/>
    </row>
    <row r="89" customFormat="false" ht="50.1" hidden="false" customHeight="true" outlineLevel="0" collapsed="false">
      <c r="T89" s="61"/>
    </row>
    <row r="90" customFormat="false" ht="50.1" hidden="false" customHeight="true" outlineLevel="0" collapsed="false">
      <c r="T90" s="61"/>
    </row>
    <row r="91" customFormat="false" ht="50.1" hidden="false" customHeight="true" outlineLevel="0" collapsed="false">
      <c r="T91" s="61"/>
    </row>
    <row r="92" customFormat="false" ht="50.1" hidden="false" customHeight="true" outlineLevel="0" collapsed="false">
      <c r="T92" s="61"/>
    </row>
    <row r="93" customFormat="false" ht="50.1" hidden="false" customHeight="true" outlineLevel="0" collapsed="false">
      <c r="T93" s="61"/>
    </row>
    <row r="94" customFormat="false" ht="50.1" hidden="false" customHeight="true" outlineLevel="0" collapsed="false">
      <c r="T94" s="61"/>
    </row>
    <row r="95" customFormat="false" ht="50.1" hidden="false" customHeight="true" outlineLevel="0" collapsed="false">
      <c r="T95" s="61"/>
    </row>
    <row r="96" customFormat="false" ht="50.1" hidden="false" customHeight="true" outlineLevel="0" collapsed="false">
      <c r="T96" s="61"/>
    </row>
    <row r="97" customFormat="false" ht="50.1" hidden="false" customHeight="true" outlineLevel="0" collapsed="false">
      <c r="T97" s="61"/>
    </row>
    <row r="98" customFormat="false" ht="50.1" hidden="false" customHeight="true" outlineLevel="0" collapsed="false">
      <c r="T98" s="61"/>
    </row>
    <row r="99" customFormat="false" ht="50.1" hidden="false" customHeight="true" outlineLevel="0" collapsed="false">
      <c r="T99" s="61"/>
    </row>
    <row r="100" customFormat="false" ht="50.1" hidden="false" customHeight="true" outlineLevel="0" collapsed="false">
      <c r="T100" s="61"/>
    </row>
    <row r="101" customFormat="false" ht="50.1" hidden="false" customHeight="true" outlineLevel="0" collapsed="false">
      <c r="T101" s="61"/>
    </row>
    <row r="102" customFormat="false" ht="50.1" hidden="false" customHeight="true" outlineLevel="0" collapsed="false">
      <c r="T102" s="61"/>
    </row>
    <row r="103" customFormat="false" ht="50.1" hidden="false" customHeight="true" outlineLevel="0" collapsed="false">
      <c r="T103" s="61"/>
    </row>
    <row r="104" customFormat="false" ht="50.1" hidden="false" customHeight="true" outlineLevel="0" collapsed="false">
      <c r="T104" s="61"/>
    </row>
    <row r="105" customFormat="false" ht="50.1" hidden="false" customHeight="true" outlineLevel="0" collapsed="false">
      <c r="T105" s="61"/>
    </row>
    <row r="106" customFormat="false" ht="50.1" hidden="false" customHeight="true" outlineLevel="0" collapsed="false">
      <c r="T106" s="61"/>
    </row>
    <row r="107" customFormat="false" ht="50.1" hidden="false" customHeight="true" outlineLevel="0" collapsed="false">
      <c r="T107" s="61"/>
    </row>
    <row r="108" customFormat="false" ht="50.1" hidden="false" customHeight="true" outlineLevel="0" collapsed="false">
      <c r="T108" s="61"/>
    </row>
    <row r="109" customFormat="false" ht="50.1" hidden="false" customHeight="true" outlineLevel="0" collapsed="false">
      <c r="T109" s="61"/>
    </row>
    <row r="110" customFormat="false" ht="50.1" hidden="false" customHeight="true" outlineLevel="0" collapsed="false">
      <c r="T110" s="61"/>
    </row>
    <row r="111" customFormat="false" ht="50.1" hidden="false" customHeight="true" outlineLevel="0" collapsed="false">
      <c r="T111" s="61"/>
    </row>
    <row r="112" customFormat="false" ht="50.1" hidden="false" customHeight="true" outlineLevel="0" collapsed="false">
      <c r="T112" s="61"/>
    </row>
    <row r="113" customFormat="false" ht="50.1" hidden="false" customHeight="true" outlineLevel="0" collapsed="false">
      <c r="T113" s="61"/>
    </row>
    <row r="114" customFormat="false" ht="50.1" hidden="false" customHeight="true" outlineLevel="0" collapsed="false">
      <c r="T114" s="61"/>
    </row>
    <row r="115" customFormat="false" ht="50.1" hidden="false" customHeight="true" outlineLevel="0" collapsed="false">
      <c r="T115" s="61"/>
    </row>
    <row r="116" customFormat="false" ht="50.1" hidden="false" customHeight="true" outlineLevel="0" collapsed="false">
      <c r="T116" s="61"/>
    </row>
    <row r="117" customFormat="false" ht="50.1" hidden="false" customHeight="true" outlineLevel="0" collapsed="false">
      <c r="T117" s="61"/>
    </row>
    <row r="118" customFormat="false" ht="50.1" hidden="false" customHeight="true" outlineLevel="0" collapsed="false">
      <c r="T118" s="61"/>
    </row>
    <row r="119" customFormat="false" ht="50.1" hidden="false" customHeight="true" outlineLevel="0" collapsed="false">
      <c r="T119" s="61"/>
    </row>
    <row r="120" customFormat="false" ht="50.1" hidden="false" customHeight="true" outlineLevel="0" collapsed="false">
      <c r="T120" s="61"/>
    </row>
    <row r="121" customFormat="false" ht="50.1" hidden="false" customHeight="true" outlineLevel="0" collapsed="false">
      <c r="T121" s="61"/>
    </row>
    <row r="122" customFormat="false" ht="50.1" hidden="false" customHeight="true" outlineLevel="0" collapsed="false">
      <c r="T122" s="61"/>
    </row>
    <row r="123" customFormat="false" ht="50.1" hidden="false" customHeight="true" outlineLevel="0" collapsed="false">
      <c r="T123" s="61"/>
    </row>
    <row r="124" customFormat="false" ht="50.1" hidden="false" customHeight="true" outlineLevel="0" collapsed="false">
      <c r="T124" s="61"/>
    </row>
    <row r="125" customFormat="false" ht="50.1" hidden="false" customHeight="true" outlineLevel="0" collapsed="false">
      <c r="T125" s="61"/>
    </row>
    <row r="126" customFormat="false" ht="50.1" hidden="false" customHeight="true" outlineLevel="0" collapsed="false">
      <c r="T126" s="61"/>
    </row>
    <row r="127" customFormat="false" ht="50.1" hidden="false" customHeight="true" outlineLevel="0" collapsed="false">
      <c r="T127" s="61"/>
    </row>
    <row r="128" customFormat="false" ht="50.1" hidden="false" customHeight="true" outlineLevel="0" collapsed="false">
      <c r="T128" s="61"/>
    </row>
    <row r="129" customFormat="false" ht="50.1" hidden="false" customHeight="true" outlineLevel="0" collapsed="false">
      <c r="T129" s="61"/>
    </row>
    <row r="130" customFormat="false" ht="50.1" hidden="false" customHeight="true" outlineLevel="0" collapsed="false">
      <c r="T130" s="61"/>
    </row>
    <row r="131" customFormat="false" ht="50.1" hidden="false" customHeight="true" outlineLevel="0" collapsed="false">
      <c r="T131" s="61"/>
    </row>
    <row r="132" customFormat="false" ht="50.1" hidden="false" customHeight="true" outlineLevel="0" collapsed="false">
      <c r="T132" s="61"/>
    </row>
    <row r="133" customFormat="false" ht="50.1" hidden="false" customHeight="true" outlineLevel="0" collapsed="false">
      <c r="T133" s="61"/>
    </row>
    <row r="134" customFormat="false" ht="50.1" hidden="false" customHeight="true" outlineLevel="0" collapsed="false">
      <c r="T134" s="61"/>
    </row>
    <row r="135" customFormat="false" ht="50.1" hidden="false" customHeight="true" outlineLevel="0" collapsed="false">
      <c r="T135" s="61"/>
    </row>
    <row r="136" customFormat="false" ht="50.1" hidden="false" customHeight="true" outlineLevel="0" collapsed="false">
      <c r="T136" s="61"/>
    </row>
    <row r="137" customFormat="false" ht="50.1" hidden="false" customHeight="true" outlineLevel="0" collapsed="false">
      <c r="T137" s="61"/>
    </row>
    <row r="138" customFormat="false" ht="50.1" hidden="false" customHeight="true" outlineLevel="0" collapsed="false">
      <c r="T138" s="61"/>
    </row>
    <row r="139" customFormat="false" ht="50.1" hidden="false" customHeight="true" outlineLevel="0" collapsed="false">
      <c r="T139" s="61"/>
    </row>
    <row r="140" customFormat="false" ht="50.1" hidden="false" customHeight="true" outlineLevel="0" collapsed="false">
      <c r="T140" s="61"/>
    </row>
    <row r="141" customFormat="false" ht="50.1" hidden="false" customHeight="true" outlineLevel="0" collapsed="false">
      <c r="T141" s="61"/>
    </row>
    <row r="142" customFormat="false" ht="50.1" hidden="false" customHeight="true" outlineLevel="0" collapsed="false">
      <c r="T142" s="61"/>
    </row>
    <row r="143" customFormat="false" ht="50.1" hidden="false" customHeight="true" outlineLevel="0" collapsed="false">
      <c r="T143" s="61"/>
    </row>
    <row r="144" customFormat="false" ht="50.1" hidden="false" customHeight="true" outlineLevel="0" collapsed="false">
      <c r="T144" s="61"/>
    </row>
    <row r="145" customFormat="false" ht="50.1" hidden="false" customHeight="true" outlineLevel="0" collapsed="false">
      <c r="T145" s="61"/>
    </row>
    <row r="146" customFormat="false" ht="50.1" hidden="false" customHeight="true" outlineLevel="0" collapsed="false">
      <c r="T146" s="61"/>
    </row>
    <row r="147" customFormat="false" ht="50.1" hidden="false" customHeight="true" outlineLevel="0" collapsed="false">
      <c r="T147" s="61"/>
    </row>
    <row r="148" customFormat="false" ht="50.1" hidden="false" customHeight="true" outlineLevel="0" collapsed="false">
      <c r="T148" s="61"/>
    </row>
    <row r="149" customFormat="false" ht="50.1" hidden="false" customHeight="true" outlineLevel="0" collapsed="false">
      <c r="T149" s="61"/>
    </row>
    <row r="150" customFormat="false" ht="50.1" hidden="false" customHeight="true" outlineLevel="0" collapsed="false">
      <c r="T150" s="61"/>
    </row>
    <row r="151" customFormat="false" ht="50.1" hidden="false" customHeight="true" outlineLevel="0" collapsed="false">
      <c r="T151" s="61"/>
    </row>
    <row r="152" customFormat="false" ht="50.1" hidden="false" customHeight="true" outlineLevel="0" collapsed="false">
      <c r="T152" s="61"/>
    </row>
    <row r="153" customFormat="false" ht="50.1" hidden="false" customHeight="true" outlineLevel="0" collapsed="false">
      <c r="T153" s="61"/>
    </row>
    <row r="154" customFormat="false" ht="50.1" hidden="false" customHeight="true" outlineLevel="0" collapsed="false">
      <c r="T154" s="61"/>
    </row>
    <row r="155" customFormat="false" ht="50.1" hidden="false" customHeight="true" outlineLevel="0" collapsed="false">
      <c r="T155" s="61"/>
    </row>
    <row r="156" customFormat="false" ht="50.1" hidden="false" customHeight="true" outlineLevel="0" collapsed="false">
      <c r="T156" s="61"/>
    </row>
    <row r="157" customFormat="false" ht="50.1" hidden="false" customHeight="true" outlineLevel="0" collapsed="false">
      <c r="T157" s="61"/>
    </row>
    <row r="158" customFormat="false" ht="50.1" hidden="false" customHeight="true" outlineLevel="0" collapsed="false">
      <c r="T158" s="61"/>
    </row>
    <row r="159" customFormat="false" ht="50.1" hidden="false" customHeight="true" outlineLevel="0" collapsed="false">
      <c r="T159" s="61"/>
    </row>
    <row r="160" customFormat="false" ht="50.1" hidden="false" customHeight="true" outlineLevel="0" collapsed="false">
      <c r="T160" s="61"/>
    </row>
    <row r="161" customFormat="false" ht="50.1" hidden="false" customHeight="true" outlineLevel="0" collapsed="false">
      <c r="T161" s="61"/>
    </row>
    <row r="162" customFormat="false" ht="50.1" hidden="false" customHeight="true" outlineLevel="0" collapsed="false">
      <c r="T162" s="61"/>
    </row>
    <row r="163" customFormat="false" ht="50.1" hidden="false" customHeight="true" outlineLevel="0" collapsed="false">
      <c r="T163" s="61"/>
    </row>
    <row r="164" customFormat="false" ht="50.1" hidden="false" customHeight="true" outlineLevel="0" collapsed="false">
      <c r="T164" s="61"/>
    </row>
    <row r="165" customFormat="false" ht="50.1" hidden="false" customHeight="true" outlineLevel="0" collapsed="false">
      <c r="T165" s="61"/>
    </row>
    <row r="166" customFormat="false" ht="50.1" hidden="false" customHeight="true" outlineLevel="0" collapsed="false">
      <c r="T166" s="61"/>
    </row>
    <row r="167" customFormat="false" ht="50.1" hidden="false" customHeight="true" outlineLevel="0" collapsed="false">
      <c r="T167" s="61"/>
    </row>
    <row r="168" customFormat="false" ht="50.1" hidden="false" customHeight="true" outlineLevel="0" collapsed="false">
      <c r="T168" s="61"/>
    </row>
    <row r="169" customFormat="false" ht="50.1" hidden="false" customHeight="true" outlineLevel="0" collapsed="false">
      <c r="T169" s="61"/>
    </row>
    <row r="170" customFormat="false" ht="50.1" hidden="false" customHeight="true" outlineLevel="0" collapsed="false">
      <c r="T170" s="61"/>
    </row>
    <row r="171" customFormat="false" ht="50.1" hidden="false" customHeight="true" outlineLevel="0" collapsed="false">
      <c r="T171" s="61"/>
    </row>
    <row r="172" customFormat="false" ht="50.1" hidden="false" customHeight="true" outlineLevel="0" collapsed="false">
      <c r="T172" s="61"/>
    </row>
    <row r="173" customFormat="false" ht="50.1" hidden="false" customHeight="true" outlineLevel="0" collapsed="false">
      <c r="T173" s="61"/>
    </row>
    <row r="174" customFormat="false" ht="50.1" hidden="false" customHeight="true" outlineLevel="0" collapsed="false">
      <c r="T174" s="61"/>
    </row>
    <row r="175" customFormat="false" ht="50.1" hidden="false" customHeight="true" outlineLevel="0" collapsed="false">
      <c r="T175" s="61"/>
    </row>
    <row r="176" customFormat="false" ht="50.1" hidden="false" customHeight="true" outlineLevel="0" collapsed="false">
      <c r="T176" s="61"/>
    </row>
    <row r="177" customFormat="false" ht="50.1" hidden="false" customHeight="true" outlineLevel="0" collapsed="false">
      <c r="T177" s="61"/>
    </row>
    <row r="178" customFormat="false" ht="50.1" hidden="false" customHeight="true" outlineLevel="0" collapsed="false">
      <c r="T178" s="61"/>
    </row>
    <row r="179" customFormat="false" ht="50.1" hidden="false" customHeight="true" outlineLevel="0" collapsed="false">
      <c r="T179" s="61"/>
    </row>
    <row r="180" customFormat="false" ht="50.1" hidden="false" customHeight="true" outlineLevel="0" collapsed="false">
      <c r="T180" s="61"/>
    </row>
    <row r="181" customFormat="false" ht="50.1" hidden="false" customHeight="true" outlineLevel="0" collapsed="false">
      <c r="T181" s="61"/>
    </row>
    <row r="182" customFormat="false" ht="50.1" hidden="false" customHeight="true" outlineLevel="0" collapsed="false">
      <c r="T182" s="61"/>
    </row>
    <row r="183" customFormat="false" ht="50.1" hidden="false" customHeight="true" outlineLevel="0" collapsed="false">
      <c r="T183" s="61"/>
    </row>
    <row r="184" customFormat="false" ht="50.1" hidden="false" customHeight="true" outlineLevel="0" collapsed="false">
      <c r="T184" s="61"/>
    </row>
    <row r="185" customFormat="false" ht="50.1" hidden="false" customHeight="true" outlineLevel="0" collapsed="false">
      <c r="T185" s="61"/>
    </row>
    <row r="186" customFormat="false" ht="50.1" hidden="false" customHeight="true" outlineLevel="0" collapsed="false">
      <c r="T186" s="61"/>
    </row>
    <row r="187" customFormat="false" ht="50.1" hidden="false" customHeight="true" outlineLevel="0" collapsed="false">
      <c r="T187" s="61"/>
    </row>
    <row r="188" customFormat="false" ht="50.1" hidden="false" customHeight="true" outlineLevel="0" collapsed="false">
      <c r="T188" s="61"/>
    </row>
    <row r="189" customFormat="false" ht="50.1" hidden="false" customHeight="true" outlineLevel="0" collapsed="false">
      <c r="T189" s="61"/>
    </row>
    <row r="190" customFormat="false" ht="50.1" hidden="false" customHeight="true" outlineLevel="0" collapsed="false">
      <c r="T190" s="61"/>
    </row>
    <row r="191" customFormat="false" ht="50.1" hidden="false" customHeight="true" outlineLevel="0" collapsed="false">
      <c r="T191" s="61"/>
    </row>
    <row r="192" customFormat="false" ht="50.1" hidden="false" customHeight="true" outlineLevel="0" collapsed="false">
      <c r="T192" s="61"/>
    </row>
    <row r="193" customFormat="false" ht="50.1" hidden="false" customHeight="true" outlineLevel="0" collapsed="false">
      <c r="T193" s="61"/>
    </row>
    <row r="194" customFormat="false" ht="50.1" hidden="false" customHeight="true" outlineLevel="0" collapsed="false">
      <c r="T194" s="61"/>
    </row>
    <row r="195" customFormat="false" ht="50.1" hidden="false" customHeight="true" outlineLevel="0" collapsed="false">
      <c r="T195" s="61"/>
    </row>
    <row r="196" customFormat="false" ht="50.1" hidden="false" customHeight="true" outlineLevel="0" collapsed="false">
      <c r="T196" s="61"/>
    </row>
    <row r="197" customFormat="false" ht="50.1" hidden="false" customHeight="true" outlineLevel="0" collapsed="false">
      <c r="T197" s="61"/>
    </row>
    <row r="198" customFormat="false" ht="50.1" hidden="false" customHeight="true" outlineLevel="0" collapsed="false">
      <c r="T198" s="61"/>
    </row>
    <row r="199" customFormat="false" ht="50.1" hidden="false" customHeight="true" outlineLevel="0" collapsed="false">
      <c r="T199" s="61"/>
    </row>
    <row r="200" customFormat="false" ht="50.1" hidden="false" customHeight="true" outlineLevel="0" collapsed="false">
      <c r="T200" s="61"/>
    </row>
    <row r="201" customFormat="false" ht="50.1" hidden="false" customHeight="true" outlineLevel="0" collapsed="false">
      <c r="T201" s="61"/>
    </row>
    <row r="202" customFormat="false" ht="50.1" hidden="false" customHeight="true" outlineLevel="0" collapsed="false">
      <c r="T202" s="61"/>
    </row>
    <row r="203" customFormat="false" ht="50.1" hidden="false" customHeight="true" outlineLevel="0" collapsed="false">
      <c r="T203" s="61"/>
    </row>
    <row r="204" customFormat="false" ht="50.1" hidden="false" customHeight="true" outlineLevel="0" collapsed="false">
      <c r="T204" s="61"/>
    </row>
    <row r="205" customFormat="false" ht="50.1" hidden="false" customHeight="true" outlineLevel="0" collapsed="false">
      <c r="T205" s="61"/>
    </row>
    <row r="206" customFormat="false" ht="50.1" hidden="false" customHeight="true" outlineLevel="0" collapsed="false">
      <c r="T206" s="61"/>
    </row>
    <row r="207" customFormat="false" ht="50.1" hidden="false" customHeight="true" outlineLevel="0" collapsed="false">
      <c r="T207" s="61"/>
    </row>
    <row r="208" customFormat="false" ht="50.1" hidden="false" customHeight="true" outlineLevel="0" collapsed="false">
      <c r="T208" s="61"/>
    </row>
    <row r="209" customFormat="false" ht="50.1" hidden="false" customHeight="true" outlineLevel="0" collapsed="false">
      <c r="T209" s="61"/>
    </row>
    <row r="210" customFormat="false" ht="50.1" hidden="false" customHeight="true" outlineLevel="0" collapsed="false">
      <c r="T210" s="61"/>
    </row>
    <row r="211" customFormat="false" ht="50.1" hidden="false" customHeight="true" outlineLevel="0" collapsed="false">
      <c r="T211" s="61"/>
    </row>
    <row r="212" customFormat="false" ht="50.1" hidden="false" customHeight="true" outlineLevel="0" collapsed="false">
      <c r="T212" s="61"/>
    </row>
    <row r="213" customFormat="false" ht="50.1" hidden="false" customHeight="true" outlineLevel="0" collapsed="false">
      <c r="T213" s="61"/>
    </row>
    <row r="214" customFormat="false" ht="50.1" hidden="false" customHeight="true" outlineLevel="0" collapsed="false">
      <c r="T214" s="61"/>
    </row>
    <row r="215" customFormat="false" ht="50.1" hidden="false" customHeight="true" outlineLevel="0" collapsed="false">
      <c r="T215" s="61"/>
    </row>
    <row r="216" customFormat="false" ht="50.1" hidden="false" customHeight="true" outlineLevel="0" collapsed="false">
      <c r="T216" s="61"/>
    </row>
    <row r="217" customFormat="false" ht="50.1" hidden="false" customHeight="true" outlineLevel="0" collapsed="false">
      <c r="T217" s="61"/>
    </row>
    <row r="218" customFormat="false" ht="50.1" hidden="false" customHeight="true" outlineLevel="0" collapsed="false">
      <c r="T218" s="61"/>
    </row>
    <row r="219" customFormat="false" ht="50.1" hidden="false" customHeight="true" outlineLevel="0" collapsed="false">
      <c r="T219" s="61"/>
    </row>
    <row r="220" customFormat="false" ht="50.1" hidden="false" customHeight="true" outlineLevel="0" collapsed="false">
      <c r="T220" s="61"/>
    </row>
    <row r="221" customFormat="false" ht="50.1" hidden="false" customHeight="true" outlineLevel="0" collapsed="false">
      <c r="T221" s="61"/>
    </row>
    <row r="222" customFormat="false" ht="50.1" hidden="false" customHeight="true" outlineLevel="0" collapsed="false">
      <c r="T222" s="61"/>
    </row>
    <row r="223" customFormat="false" ht="50.1" hidden="false" customHeight="true" outlineLevel="0" collapsed="false">
      <c r="T223" s="61"/>
    </row>
    <row r="224" customFormat="false" ht="50.1" hidden="false" customHeight="true" outlineLevel="0" collapsed="false">
      <c r="T224" s="61"/>
    </row>
    <row r="225" customFormat="false" ht="50.1" hidden="false" customHeight="true" outlineLevel="0" collapsed="false">
      <c r="T225" s="61"/>
    </row>
    <row r="226" customFormat="false" ht="50.1" hidden="false" customHeight="true" outlineLevel="0" collapsed="false">
      <c r="T226" s="61"/>
    </row>
    <row r="227" customFormat="false" ht="50.1" hidden="false" customHeight="true" outlineLevel="0" collapsed="false">
      <c r="T227" s="61"/>
    </row>
    <row r="228" customFormat="false" ht="50.1" hidden="false" customHeight="true" outlineLevel="0" collapsed="false">
      <c r="T228" s="61"/>
    </row>
    <row r="229" customFormat="false" ht="50.1" hidden="false" customHeight="true" outlineLevel="0" collapsed="false">
      <c r="T229" s="61"/>
    </row>
    <row r="230" customFormat="false" ht="50.1" hidden="false" customHeight="true" outlineLevel="0" collapsed="false">
      <c r="T230" s="61"/>
    </row>
    <row r="231" customFormat="false" ht="50.1" hidden="false" customHeight="true" outlineLevel="0" collapsed="false">
      <c r="T231" s="61"/>
    </row>
    <row r="232" customFormat="false" ht="50.1" hidden="false" customHeight="true" outlineLevel="0" collapsed="false">
      <c r="T232" s="61"/>
    </row>
    <row r="233" customFormat="false" ht="50.1" hidden="false" customHeight="true" outlineLevel="0" collapsed="false">
      <c r="T233" s="61"/>
    </row>
    <row r="234" customFormat="false" ht="50.1" hidden="false" customHeight="true" outlineLevel="0" collapsed="false">
      <c r="T234" s="61"/>
    </row>
    <row r="235" customFormat="false" ht="50.1" hidden="false" customHeight="true" outlineLevel="0" collapsed="false">
      <c r="T235" s="61"/>
    </row>
    <row r="236" customFormat="false" ht="50.1" hidden="false" customHeight="true" outlineLevel="0" collapsed="false">
      <c r="T236" s="61"/>
    </row>
    <row r="237" customFormat="false" ht="50.1" hidden="false" customHeight="true" outlineLevel="0" collapsed="false">
      <c r="T237" s="61"/>
    </row>
    <row r="238" customFormat="false" ht="50.1" hidden="false" customHeight="true" outlineLevel="0" collapsed="false">
      <c r="T238" s="61"/>
    </row>
    <row r="239" customFormat="false" ht="50.1" hidden="false" customHeight="true" outlineLevel="0" collapsed="false">
      <c r="T239" s="61"/>
    </row>
    <row r="240" customFormat="false" ht="50.1" hidden="false" customHeight="true" outlineLevel="0" collapsed="false">
      <c r="T240" s="61"/>
    </row>
    <row r="241" customFormat="false" ht="50.1" hidden="false" customHeight="true" outlineLevel="0" collapsed="false">
      <c r="T241" s="61"/>
    </row>
    <row r="242" customFormat="false" ht="50.1" hidden="false" customHeight="true" outlineLevel="0" collapsed="false">
      <c r="T242" s="61"/>
    </row>
    <row r="243" customFormat="false" ht="50.1" hidden="false" customHeight="true" outlineLevel="0" collapsed="false">
      <c r="T243" s="61"/>
    </row>
    <row r="244" customFormat="false" ht="50.1" hidden="false" customHeight="true" outlineLevel="0" collapsed="false">
      <c r="T244" s="61"/>
    </row>
    <row r="245" customFormat="false" ht="50.1" hidden="false" customHeight="true" outlineLevel="0" collapsed="false">
      <c r="T245" s="61"/>
    </row>
    <row r="246" customFormat="false" ht="50.1" hidden="false" customHeight="true" outlineLevel="0" collapsed="false">
      <c r="T246" s="61"/>
    </row>
    <row r="247" customFormat="false" ht="50.1" hidden="false" customHeight="true" outlineLevel="0" collapsed="false">
      <c r="T247" s="61"/>
    </row>
    <row r="248" customFormat="false" ht="50.1" hidden="false" customHeight="true" outlineLevel="0" collapsed="false">
      <c r="T248" s="61"/>
    </row>
    <row r="249" customFormat="false" ht="50.1" hidden="false" customHeight="true" outlineLevel="0" collapsed="false">
      <c r="T249" s="61"/>
    </row>
    <row r="250" customFormat="false" ht="50.1" hidden="false" customHeight="true" outlineLevel="0" collapsed="false">
      <c r="T250" s="61"/>
    </row>
    <row r="251" customFormat="false" ht="50.1" hidden="false" customHeight="true" outlineLevel="0" collapsed="false">
      <c r="T251" s="61"/>
    </row>
    <row r="252" customFormat="false" ht="50.1" hidden="false" customHeight="true" outlineLevel="0" collapsed="false">
      <c r="T252" s="61"/>
    </row>
    <row r="253" customFormat="false" ht="50.1" hidden="false" customHeight="true" outlineLevel="0" collapsed="false">
      <c r="T253" s="61"/>
    </row>
    <row r="254" customFormat="false" ht="50.1" hidden="false" customHeight="true" outlineLevel="0" collapsed="false">
      <c r="T254" s="61"/>
    </row>
    <row r="255" customFormat="false" ht="50.1" hidden="false" customHeight="true" outlineLevel="0" collapsed="false">
      <c r="T255" s="61"/>
    </row>
    <row r="256" customFormat="false" ht="50.1" hidden="false" customHeight="true" outlineLevel="0" collapsed="false">
      <c r="T256" s="61"/>
    </row>
    <row r="257" customFormat="false" ht="50.1" hidden="false" customHeight="true" outlineLevel="0" collapsed="false">
      <c r="T257" s="61"/>
    </row>
    <row r="258" customFormat="false" ht="50.1" hidden="false" customHeight="true" outlineLevel="0" collapsed="false">
      <c r="T258" s="61"/>
    </row>
    <row r="259" customFormat="false" ht="50.1" hidden="false" customHeight="true" outlineLevel="0" collapsed="false">
      <c r="T259" s="61"/>
    </row>
    <row r="260" customFormat="false" ht="50.1" hidden="false" customHeight="true" outlineLevel="0" collapsed="false">
      <c r="T260" s="61"/>
    </row>
    <row r="261" customFormat="false" ht="50.1" hidden="false" customHeight="true" outlineLevel="0" collapsed="false">
      <c r="T261" s="61"/>
    </row>
    <row r="262" customFormat="false" ht="50.1" hidden="false" customHeight="true" outlineLevel="0" collapsed="false">
      <c r="T262" s="61"/>
    </row>
    <row r="263" customFormat="false" ht="50.1" hidden="false" customHeight="true" outlineLevel="0" collapsed="false">
      <c r="T263" s="61"/>
    </row>
    <row r="264" customFormat="false" ht="50.1" hidden="false" customHeight="true" outlineLevel="0" collapsed="false">
      <c r="T264" s="61"/>
    </row>
    <row r="265" customFormat="false" ht="50.1" hidden="false" customHeight="true" outlineLevel="0" collapsed="false">
      <c r="T265" s="61"/>
    </row>
    <row r="266" customFormat="false" ht="50.1" hidden="false" customHeight="true" outlineLevel="0" collapsed="false">
      <c r="T266" s="61"/>
    </row>
    <row r="267" customFormat="false" ht="50.1" hidden="false" customHeight="true" outlineLevel="0" collapsed="false">
      <c r="T267" s="61"/>
    </row>
    <row r="268" customFormat="false" ht="50.1" hidden="false" customHeight="true" outlineLevel="0" collapsed="false">
      <c r="T268" s="61"/>
    </row>
    <row r="269" customFormat="false" ht="50.1" hidden="false" customHeight="true" outlineLevel="0" collapsed="false">
      <c r="T269" s="61"/>
    </row>
    <row r="270" customFormat="false" ht="50.1" hidden="false" customHeight="true" outlineLevel="0" collapsed="false">
      <c r="T270" s="61"/>
    </row>
    <row r="271" customFormat="false" ht="50.1" hidden="false" customHeight="true" outlineLevel="0" collapsed="false">
      <c r="T271" s="61"/>
    </row>
    <row r="272" customFormat="false" ht="50.1" hidden="false" customHeight="true" outlineLevel="0" collapsed="false">
      <c r="T272" s="61"/>
    </row>
    <row r="273" customFormat="false" ht="50.1" hidden="false" customHeight="true" outlineLevel="0" collapsed="false">
      <c r="T273" s="61"/>
    </row>
    <row r="274" customFormat="false" ht="50.1" hidden="false" customHeight="true" outlineLevel="0" collapsed="false">
      <c r="T274" s="61"/>
    </row>
    <row r="275" customFormat="false" ht="50.1" hidden="false" customHeight="true" outlineLevel="0" collapsed="false">
      <c r="T275" s="61"/>
    </row>
    <row r="276" customFormat="false" ht="50.1" hidden="false" customHeight="true" outlineLevel="0" collapsed="false">
      <c r="T276" s="61"/>
    </row>
    <row r="277" customFormat="false" ht="50.1" hidden="false" customHeight="true" outlineLevel="0" collapsed="false">
      <c r="T277" s="61"/>
    </row>
    <row r="278" customFormat="false" ht="50.1" hidden="false" customHeight="true" outlineLevel="0" collapsed="false">
      <c r="T278" s="61"/>
    </row>
    <row r="279" customFormat="false" ht="50.1" hidden="false" customHeight="true" outlineLevel="0" collapsed="false">
      <c r="T279" s="61"/>
    </row>
    <row r="280" customFormat="false" ht="50.1" hidden="false" customHeight="true" outlineLevel="0" collapsed="false">
      <c r="T280" s="61"/>
    </row>
    <row r="281" customFormat="false" ht="50.1" hidden="false" customHeight="true" outlineLevel="0" collapsed="false">
      <c r="T281" s="61"/>
    </row>
    <row r="282" customFormat="false" ht="50.1" hidden="false" customHeight="true" outlineLevel="0" collapsed="false">
      <c r="T282" s="61"/>
    </row>
    <row r="283" customFormat="false" ht="50.1" hidden="false" customHeight="true" outlineLevel="0" collapsed="false">
      <c r="T283" s="61"/>
    </row>
    <row r="284" customFormat="false" ht="50.1" hidden="false" customHeight="true" outlineLevel="0" collapsed="false">
      <c r="T284" s="61"/>
    </row>
  </sheetData>
  <mergeCells count="62">
    <mergeCell ref="A1:R1"/>
    <mergeCell ref="A2:H2"/>
    <mergeCell ref="A4:H4"/>
    <mergeCell ref="A5:A6"/>
    <mergeCell ref="B5:B6"/>
    <mergeCell ref="C5:C6"/>
    <mergeCell ref="I5:I6"/>
    <mergeCell ref="J5:J6"/>
    <mergeCell ref="K5:K6"/>
    <mergeCell ref="L5:L6"/>
    <mergeCell ref="M5:M6"/>
    <mergeCell ref="N5:N6"/>
    <mergeCell ref="O5:O6"/>
    <mergeCell ref="P5:P6"/>
    <mergeCell ref="Q5:Q6"/>
    <mergeCell ref="R5:R6"/>
    <mergeCell ref="S5:S6"/>
    <mergeCell ref="Q7:Q8"/>
    <mergeCell ref="A11:A12"/>
    <mergeCell ref="B11:B12"/>
    <mergeCell ref="C11:C12"/>
    <mergeCell ref="I11:I12"/>
    <mergeCell ref="J11:J12"/>
    <mergeCell ref="K11:K12"/>
    <mergeCell ref="L11:L12"/>
    <mergeCell ref="M11:M12"/>
    <mergeCell ref="N11:N12"/>
    <mergeCell ref="O11:O12"/>
    <mergeCell ref="P11:P12"/>
    <mergeCell ref="Q11:Q12"/>
    <mergeCell ref="R11:R12"/>
    <mergeCell ref="S11:S12"/>
    <mergeCell ref="A13:A14"/>
    <mergeCell ref="B13:B14"/>
    <mergeCell ref="C13:C14"/>
    <mergeCell ref="I13:I14"/>
    <mergeCell ref="J13:J14"/>
    <mergeCell ref="K13:K14"/>
    <mergeCell ref="L13:L14"/>
    <mergeCell ref="M13:M14"/>
    <mergeCell ref="N13:N14"/>
    <mergeCell ref="O13:O14"/>
    <mergeCell ref="P13:P14"/>
    <mergeCell ref="Q13:Q14"/>
    <mergeCell ref="R13:R14"/>
    <mergeCell ref="S13:S14"/>
    <mergeCell ref="A17:A18"/>
    <mergeCell ref="B17:B18"/>
    <mergeCell ref="C17:C18"/>
    <mergeCell ref="I17:I18"/>
    <mergeCell ref="J17:J18"/>
    <mergeCell ref="K17:K18"/>
    <mergeCell ref="L17:L18"/>
    <mergeCell ref="M17:M18"/>
    <mergeCell ref="N17:N18"/>
    <mergeCell ref="O17:O18"/>
    <mergeCell ref="P17:P18"/>
    <mergeCell ref="Q17:Q18"/>
    <mergeCell ref="R17:R18"/>
    <mergeCell ref="S17:S18"/>
    <mergeCell ref="F30:G30"/>
    <mergeCell ref="A31:R31"/>
  </mergeCells>
  <hyperlinks>
    <hyperlink ref="R5" r:id="rId1" display="http://gofile.me/649X4/OeiHl4OmS"/>
    <hyperlink ref="R7" r:id="rId2" display="http://gofile.me/649X4/McIzvwVJO"/>
    <hyperlink ref="R8" r:id="rId3" display="http://gofile.me/649X4/bdQQL6wdU"/>
    <hyperlink ref="R9" r:id="rId4" display="http://gofile.me/649X4/wBLxSb5Xr"/>
    <hyperlink ref="R10" r:id="rId5" display="http://gofile.me/649X4/oVBEbHt5x"/>
    <hyperlink ref="R11" r:id="rId6" display="http://gofile.me/649X4/zmCVJ6NPi"/>
    <hyperlink ref="R13" r:id="rId7" display="http://gofile.me/649X4/9FS7Krvyz"/>
    <hyperlink ref="R15" r:id="rId8" display="http://gofile.me/649X4/OGhVzVN7E"/>
    <hyperlink ref="R16" r:id="rId9" display="http://gofile.me/649X4/m2wqXK11h"/>
    <hyperlink ref="R17" r:id="rId10" display="http://gofile.me/649X4/6w9RQcSJP"/>
    <hyperlink ref="R19" r:id="rId11" display="http://gofile.me/649X4/aHSMgVp2T"/>
    <hyperlink ref="R20" r:id="rId12" display="http://gofile.me/649X4/qCnKRev0f"/>
    <hyperlink ref="R21" r:id="rId13" display="http://gofile.me/649X4/qCnKRev0f"/>
    <hyperlink ref="R22" r:id="rId14" display="http://gofile.me/649X4/Nd4wwCFyp"/>
    <hyperlink ref="R23" r:id="rId15" display="http://gofile.me/649X4/4ZROHHRwH"/>
    <hyperlink ref="R24" r:id="rId16" display="http://gofile.me/649X4/TKbOBrBHs"/>
    <hyperlink ref="R25" r:id="rId17" display="http://hoco.i234.me:8000/sharing/gHcI8PLIT"/>
    <hyperlink ref="R26" r:id="rId18" display="http://hoco.i234.me:8000/sharing/r3YRDjhId"/>
    <hyperlink ref="R27" r:id="rId19" display="http://hoco.i234.me:8000/sharing/OVEuqRaPJ"/>
    <hyperlink ref="R28" r:id="rId20" display="http://hoco.i234.me:8000/sharing/9qTwE8O0z"/>
    <hyperlink ref="R29" r:id="rId21" display="http://hoco.i234.me:8000/sharing/dP9kDLeSQ"/>
    <hyperlink ref="S29" r:id="rId22" display="http://gofile.me/649X4/lgAAbTDsQ"/>
  </hyperlinks>
  <printOptions headings="false" gridLines="false" gridLinesSet="true" horizontalCentered="false" verticalCentered="false"/>
  <pageMargins left="0.35" right="0.240277777777778" top="0.309722222222222"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2" manualBreakCount="2">
    <brk id="12" man="true" max="16383" min="0"/>
    <brk id="30" man="true" max="16383" min="0"/>
  </rowBreaks>
  <drawing r:id="rId2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Y19"/>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114" width="46"/>
    <col collapsed="false" customWidth="true" hidden="false" outlineLevel="0" max="3" min="2" style="34" width="18"/>
    <col collapsed="false" customWidth="true" hidden="false" outlineLevel="0" max="4" min="4" style="39" width="20"/>
    <col collapsed="false" customWidth="true" hidden="false" outlineLevel="0" max="5" min="5" style="39"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10" min="9" style="39" width="7.42"/>
    <col collapsed="false" customWidth="true" hidden="false" outlineLevel="0" max="11" min="11" style="39" width="9.7"/>
    <col collapsed="false" customWidth="true" hidden="false" outlineLevel="0" max="12" min="12" style="39" width="7.63"/>
    <col collapsed="false" customWidth="true" hidden="false" outlineLevel="0" max="13" min="13" style="39" width="10.7"/>
    <col collapsed="false" customWidth="true" hidden="false" outlineLevel="0" max="14" min="14" style="39" width="7.63"/>
    <col collapsed="false" customWidth="true" hidden="false" outlineLevel="0" max="15" min="15" style="39" width="10.7"/>
    <col collapsed="false" customWidth="true" hidden="false" outlineLevel="0" max="16" min="16" style="115" width="6.88"/>
    <col collapsed="false" customWidth="true" hidden="false" outlineLevel="0" max="17" min="17" style="39" width="70"/>
    <col collapsed="false" customWidth="true" hidden="false" outlineLevel="0" max="19" min="18" style="41" width="10.13"/>
    <col collapsed="false" customWidth="true" hidden="false" outlineLevel="0" max="28" min="20" style="34" width="9"/>
    <col collapsed="false" customWidth="false" hidden="false" outlineLevel="0" max="98" min="29"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2757</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2245</v>
      </c>
      <c r="J3" s="47" t="s">
        <v>2246</v>
      </c>
      <c r="K3" s="47" t="s">
        <v>78</v>
      </c>
      <c r="L3" s="47" t="s">
        <v>79</v>
      </c>
      <c r="M3" s="47" t="s">
        <v>80</v>
      </c>
      <c r="N3" s="47" t="s">
        <v>81</v>
      </c>
      <c r="O3" s="47" t="s">
        <v>82</v>
      </c>
      <c r="P3" s="47" t="s">
        <v>83</v>
      </c>
      <c r="Q3" s="47" t="s">
        <v>84</v>
      </c>
      <c r="R3" s="47" t="s">
        <v>85</v>
      </c>
      <c r="S3" s="47" t="s">
        <v>86</v>
      </c>
    </row>
    <row r="4" s="34" customFormat="true" ht="60" hidden="false" customHeight="true" outlineLevel="2" collapsed="false">
      <c r="A4" s="63" t="s">
        <v>2758</v>
      </c>
      <c r="B4" s="57"/>
      <c r="C4" s="57"/>
      <c r="D4" s="53" t="s">
        <v>2759</v>
      </c>
      <c r="E4" s="53" t="s">
        <v>217</v>
      </c>
      <c r="F4" s="54" t="n">
        <v>660.53</v>
      </c>
      <c r="G4" s="55"/>
      <c r="H4" s="56" t="str">
        <f aca="false">IF(ISBLANK(G4),"",IF(ISNUMBER(F4),ROUND(F4*G4,2),"Укажите цену"))</f>
        <v/>
      </c>
      <c r="I4" s="57" t="n">
        <v>102</v>
      </c>
      <c r="J4" s="57" t="n">
        <v>5.73</v>
      </c>
      <c r="K4" s="57" t="s">
        <v>2760</v>
      </c>
      <c r="L4" s="57" t="s">
        <v>91</v>
      </c>
      <c r="M4" s="57" t="s">
        <v>92</v>
      </c>
      <c r="N4" s="57" t="n">
        <v>50</v>
      </c>
      <c r="O4" s="57" t="s">
        <v>2761</v>
      </c>
      <c r="P4" s="58" t="n">
        <v>0.029</v>
      </c>
      <c r="Q4" s="124" t="s">
        <v>2762</v>
      </c>
      <c r="R4" s="195" t="s">
        <v>2763</v>
      </c>
      <c r="S4" s="60" t="s">
        <v>96</v>
      </c>
      <c r="T4" s="173"/>
    </row>
    <row r="5" s="34" customFormat="true" ht="60" hidden="false" customHeight="true" outlineLevel="2" collapsed="false">
      <c r="A5" s="63"/>
      <c r="B5" s="57"/>
      <c r="C5" s="57"/>
      <c r="D5" s="53" t="s">
        <v>2764</v>
      </c>
      <c r="E5" s="53" t="s">
        <v>689</v>
      </c>
      <c r="F5" s="54" t="n">
        <v>660.53</v>
      </c>
      <c r="G5" s="55"/>
      <c r="H5" s="56" t="str">
        <f aca="false">IF(ISBLANK(G5),"",IF(ISNUMBER(F5),ROUND(F5*G5,2),"Укажите цену"))</f>
        <v/>
      </c>
      <c r="I5" s="57"/>
      <c r="J5" s="57"/>
      <c r="K5" s="57"/>
      <c r="L5" s="57"/>
      <c r="M5" s="57"/>
      <c r="N5" s="57"/>
      <c r="O5" s="57"/>
      <c r="P5" s="58"/>
      <c r="Q5" s="124"/>
      <c r="R5" s="195"/>
      <c r="S5" s="60"/>
      <c r="T5" s="173"/>
    </row>
    <row r="6" s="34" customFormat="true" ht="60" hidden="false" customHeight="true" outlineLevel="2" collapsed="false">
      <c r="A6" s="63" t="s">
        <v>2765</v>
      </c>
      <c r="B6" s="57"/>
      <c r="C6" s="57"/>
      <c r="D6" s="53" t="s">
        <v>2766</v>
      </c>
      <c r="E6" s="53" t="s">
        <v>217</v>
      </c>
      <c r="F6" s="54" t="n">
        <v>685</v>
      </c>
      <c r="G6" s="55"/>
      <c r="H6" s="56" t="str">
        <f aca="false">IF(ISBLANK(G6),"",IF(ISNUMBER(F6),ROUND(F6*G6,2),"Укажите цену"))</f>
        <v/>
      </c>
      <c r="I6" s="57" t="n">
        <v>108</v>
      </c>
      <c r="J6" s="57" t="n">
        <v>6.02</v>
      </c>
      <c r="K6" s="57" t="s">
        <v>2767</v>
      </c>
      <c r="L6" s="57" t="s">
        <v>91</v>
      </c>
      <c r="M6" s="57" t="s">
        <v>92</v>
      </c>
      <c r="N6" s="57" t="n">
        <v>50</v>
      </c>
      <c r="O6" s="57" t="s">
        <v>2761</v>
      </c>
      <c r="P6" s="58" t="n">
        <v>0.02886</v>
      </c>
      <c r="Q6" s="68" t="s">
        <v>2768</v>
      </c>
      <c r="R6" s="195" t="s">
        <v>2769</v>
      </c>
      <c r="S6" s="60" t="s">
        <v>96</v>
      </c>
      <c r="T6" s="173"/>
    </row>
    <row r="7" s="34" customFormat="true" ht="60" hidden="false" customHeight="true" outlineLevel="2" collapsed="false">
      <c r="A7" s="63"/>
      <c r="B7" s="57"/>
      <c r="C7" s="57"/>
      <c r="D7" s="53" t="s">
        <v>2770</v>
      </c>
      <c r="E7" s="53" t="s">
        <v>2771</v>
      </c>
      <c r="F7" s="54" t="n">
        <v>685</v>
      </c>
      <c r="G7" s="55"/>
      <c r="H7" s="56" t="str">
        <f aca="false">IF(ISBLANK(G7),"",IF(ISNUMBER(F7),ROUND(F7*G7,2),"Укажите цену"))</f>
        <v/>
      </c>
      <c r="I7" s="57"/>
      <c r="J7" s="57"/>
      <c r="K7" s="57"/>
      <c r="L7" s="57"/>
      <c r="M7" s="57"/>
      <c r="N7" s="57"/>
      <c r="O7" s="57"/>
      <c r="P7" s="58"/>
      <c r="Q7" s="68"/>
      <c r="R7" s="195"/>
      <c r="S7" s="60"/>
      <c r="T7" s="173"/>
    </row>
    <row r="8" s="150" customFormat="true" ht="115" hidden="false" customHeight="true" outlineLevel="2" collapsed="false">
      <c r="A8" s="51" t="s">
        <v>2772</v>
      </c>
      <c r="B8" s="57"/>
      <c r="C8" s="57"/>
      <c r="D8" s="53" t="s">
        <v>2773</v>
      </c>
      <c r="E8" s="53" t="s">
        <v>2774</v>
      </c>
      <c r="F8" s="54" t="n">
        <v>1043.8</v>
      </c>
      <c r="G8" s="55"/>
      <c r="H8" s="56" t="str">
        <f aca="false">IF(ISBLANK(G8),"",IF(ISNUMBER(F8),ROUND(F8*G8,2),"Укажите цену"))</f>
        <v/>
      </c>
      <c r="I8" s="57" t="n">
        <v>101</v>
      </c>
      <c r="J8" s="57" t="n">
        <v>5.6</v>
      </c>
      <c r="K8" s="57" t="s">
        <v>2775</v>
      </c>
      <c r="L8" s="57" t="s">
        <v>91</v>
      </c>
      <c r="M8" s="57" t="s">
        <v>92</v>
      </c>
      <c r="N8" s="57" t="n">
        <v>50</v>
      </c>
      <c r="O8" s="57" t="s">
        <v>2776</v>
      </c>
      <c r="P8" s="58" t="n">
        <v>0.029</v>
      </c>
      <c r="Q8" s="119" t="s">
        <v>2777</v>
      </c>
      <c r="R8" s="196" t="s">
        <v>2778</v>
      </c>
      <c r="S8" s="148" t="s">
        <v>96</v>
      </c>
      <c r="T8" s="149"/>
      <c r="U8" s="149"/>
    </row>
    <row r="9" s="150" customFormat="true" ht="60" hidden="false" customHeight="true" outlineLevel="2" collapsed="false">
      <c r="A9" s="63" t="s">
        <v>2779</v>
      </c>
      <c r="B9" s="57"/>
      <c r="C9" s="57"/>
      <c r="D9" s="53" t="s">
        <v>2780</v>
      </c>
      <c r="E9" s="53" t="s">
        <v>89</v>
      </c>
      <c r="F9" s="54" t="n">
        <v>954.1</v>
      </c>
      <c r="G9" s="55"/>
      <c r="H9" s="56" t="str">
        <f aca="false">IF(ISBLANK(G9),"",IF(ISNUMBER(F9),ROUND(F9*G9,2),"Укажите цену"))</f>
        <v/>
      </c>
      <c r="I9" s="57" t="n">
        <v>78</v>
      </c>
      <c r="J9" s="57" t="n">
        <v>4.5</v>
      </c>
      <c r="K9" s="57" t="s">
        <v>2781</v>
      </c>
      <c r="L9" s="57" t="s">
        <v>91</v>
      </c>
      <c r="M9" s="57" t="s">
        <v>92</v>
      </c>
      <c r="N9" s="57" t="n">
        <v>50</v>
      </c>
      <c r="O9" s="57" t="s">
        <v>2776</v>
      </c>
      <c r="P9" s="58" t="n">
        <v>0.029</v>
      </c>
      <c r="Q9" s="119" t="s">
        <v>2782</v>
      </c>
      <c r="R9" s="196" t="s">
        <v>2783</v>
      </c>
      <c r="S9" s="148" t="s">
        <v>96</v>
      </c>
      <c r="T9" s="149"/>
      <c r="U9" s="149"/>
    </row>
    <row r="10" s="150" customFormat="true" ht="60" hidden="false" customHeight="true" outlineLevel="2" collapsed="false">
      <c r="A10" s="63"/>
      <c r="B10" s="57"/>
      <c r="C10" s="57"/>
      <c r="D10" s="53" t="s">
        <v>2784</v>
      </c>
      <c r="E10" s="53" t="s">
        <v>689</v>
      </c>
      <c r="F10" s="54" t="n">
        <v>954.1</v>
      </c>
      <c r="G10" s="55"/>
      <c r="H10" s="56" t="str">
        <f aca="false">IF(ISBLANK(G10),"",IF(ISNUMBER(F10),ROUND(F10*G10,2),"Укажите цену"))</f>
        <v/>
      </c>
      <c r="I10" s="57"/>
      <c r="J10" s="57"/>
      <c r="K10" s="57"/>
      <c r="L10" s="57"/>
      <c r="M10" s="57"/>
      <c r="N10" s="57"/>
      <c r="O10" s="57"/>
      <c r="P10" s="58"/>
      <c r="Q10" s="119"/>
      <c r="R10" s="196"/>
      <c r="S10" s="148"/>
      <c r="T10" s="149"/>
      <c r="U10" s="149"/>
    </row>
    <row r="11" s="150" customFormat="true" ht="60" hidden="false" customHeight="true" outlineLevel="2" collapsed="false">
      <c r="A11" s="63" t="s">
        <v>2785</v>
      </c>
      <c r="B11" s="57"/>
      <c r="C11" s="57"/>
      <c r="D11" s="53" t="s">
        <v>2786</v>
      </c>
      <c r="E11" s="53" t="s">
        <v>217</v>
      </c>
      <c r="F11" s="54" t="n">
        <v>945.95</v>
      </c>
      <c r="G11" s="55"/>
      <c r="H11" s="56" t="str">
        <f aca="false">IF(ISBLANK(G11),"",IF(ISNUMBER(F11),ROUND(F11*G11,2),"Укажите цену"))</f>
        <v/>
      </c>
      <c r="I11" s="57" t="n">
        <v>89</v>
      </c>
      <c r="J11" s="57" t="n">
        <v>5.04</v>
      </c>
      <c r="K11" s="57" t="s">
        <v>2787</v>
      </c>
      <c r="L11" s="57" t="s">
        <v>91</v>
      </c>
      <c r="M11" s="57" t="s">
        <v>92</v>
      </c>
      <c r="N11" s="57" t="n">
        <v>50</v>
      </c>
      <c r="O11" s="57" t="s">
        <v>2776</v>
      </c>
      <c r="P11" s="58" t="n">
        <v>0.029</v>
      </c>
      <c r="Q11" s="119" t="s">
        <v>2788</v>
      </c>
      <c r="R11" s="196" t="s">
        <v>2789</v>
      </c>
      <c r="S11" s="148" t="s">
        <v>96</v>
      </c>
      <c r="T11" s="149"/>
      <c r="U11" s="149"/>
    </row>
    <row r="12" s="150" customFormat="true" ht="60" hidden="false" customHeight="true" outlineLevel="2" collapsed="false">
      <c r="A12" s="63"/>
      <c r="B12" s="57"/>
      <c r="C12" s="57"/>
      <c r="D12" s="53" t="s">
        <v>2790</v>
      </c>
      <c r="E12" s="53" t="s">
        <v>689</v>
      </c>
      <c r="F12" s="54" t="n">
        <v>945.95</v>
      </c>
      <c r="G12" s="55"/>
      <c r="H12" s="56" t="str">
        <f aca="false">IF(ISBLANK(G12),"",IF(ISNUMBER(F12),ROUND(F12*G12,2),"Укажите цену"))</f>
        <v/>
      </c>
      <c r="I12" s="57"/>
      <c r="J12" s="57"/>
      <c r="K12" s="57"/>
      <c r="L12" s="57"/>
      <c r="M12" s="57"/>
      <c r="N12" s="57"/>
      <c r="O12" s="57"/>
      <c r="P12" s="58"/>
      <c r="Q12" s="119"/>
      <c r="R12" s="196"/>
      <c r="S12" s="148"/>
      <c r="T12" s="149"/>
      <c r="U12" s="149"/>
    </row>
    <row r="13" s="150" customFormat="true" ht="115" hidden="false" customHeight="true" outlineLevel="2" collapsed="false">
      <c r="A13" s="51" t="s">
        <v>2791</v>
      </c>
      <c r="B13" s="57"/>
      <c r="C13" s="57"/>
      <c r="D13" s="53" t="s">
        <v>2792</v>
      </c>
      <c r="E13" s="53" t="s">
        <v>217</v>
      </c>
      <c r="F13" s="54" t="n">
        <v>864.4</v>
      </c>
      <c r="G13" s="55"/>
      <c r="H13" s="56" t="str">
        <f aca="false">IF(ISBLANK(G13),"",IF(ISNUMBER(F13),ROUND(F13*G13,2),"Укажите цену"))</f>
        <v/>
      </c>
      <c r="I13" s="57" t="n">
        <v>112</v>
      </c>
      <c r="J13" s="57" t="n">
        <v>6.3</v>
      </c>
      <c r="K13" s="57" t="s">
        <v>2793</v>
      </c>
      <c r="L13" s="57" t="s">
        <v>91</v>
      </c>
      <c r="M13" s="57" t="s">
        <v>92</v>
      </c>
      <c r="N13" s="57" t="n">
        <v>50</v>
      </c>
      <c r="O13" s="57" t="s">
        <v>2794</v>
      </c>
      <c r="P13" s="58" t="n">
        <v>0.03</v>
      </c>
      <c r="Q13" s="119" t="s">
        <v>2795</v>
      </c>
      <c r="R13" s="196" t="s">
        <v>2796</v>
      </c>
      <c r="S13" s="148" t="s">
        <v>96</v>
      </c>
      <c r="T13" s="149"/>
      <c r="U13" s="149"/>
    </row>
    <row r="14" s="4" customFormat="true" ht="5.25" hidden="false" customHeight="true" outlineLevel="2" collapsed="false">
      <c r="A14" s="197"/>
      <c r="B14" s="197"/>
      <c r="C14" s="197"/>
      <c r="D14" s="197"/>
      <c r="E14" s="197"/>
      <c r="F14" s="197"/>
      <c r="G14" s="197"/>
      <c r="H14" s="197"/>
      <c r="I14" s="197"/>
      <c r="J14" s="197"/>
      <c r="K14" s="197"/>
      <c r="L14" s="197"/>
      <c r="M14" s="197"/>
      <c r="N14" s="197"/>
      <c r="O14" s="197"/>
      <c r="P14" s="197"/>
      <c r="Q14" s="197"/>
      <c r="R14" s="198"/>
      <c r="S14" s="61"/>
    </row>
    <row r="15" s="118" customFormat="true" ht="27" hidden="false" customHeight="true" outlineLevel="1" collapsed="false">
      <c r="A15" s="49" t="s">
        <v>2797</v>
      </c>
      <c r="B15" s="49"/>
      <c r="C15" s="49"/>
      <c r="D15" s="49"/>
      <c r="E15" s="49"/>
      <c r="F15" s="49"/>
      <c r="G15" s="49"/>
      <c r="H15" s="49"/>
      <c r="I15" s="49"/>
      <c r="J15" s="49"/>
      <c r="K15" s="49"/>
      <c r="L15" s="49"/>
      <c r="M15" s="49"/>
      <c r="N15" s="49"/>
      <c r="O15" s="49"/>
      <c r="P15" s="49"/>
      <c r="Q15" s="49"/>
      <c r="R15" s="49"/>
      <c r="S15" s="49"/>
    </row>
    <row r="16" s="62" customFormat="true" ht="115" hidden="false" customHeight="true" outlineLevel="2" collapsed="false">
      <c r="A16" s="51" t="s">
        <v>2798</v>
      </c>
      <c r="B16" s="52"/>
      <c r="C16" s="57"/>
      <c r="D16" s="53" t="s">
        <v>2799</v>
      </c>
      <c r="E16" s="53" t="s">
        <v>103</v>
      </c>
      <c r="F16" s="54" t="n">
        <v>40.77</v>
      </c>
      <c r="G16" s="55"/>
      <c r="H16" s="56" t="str">
        <f aca="false">IF(ISBLANK(G16),"",IF(ISNUMBER(F16),ROUND(F16*G16,2),"Укажите цену"))</f>
        <v/>
      </c>
      <c r="I16" s="57" t="s">
        <v>936</v>
      </c>
      <c r="J16" s="26" t="s">
        <v>936</v>
      </c>
      <c r="K16" s="57" t="s">
        <v>936</v>
      </c>
      <c r="L16" s="57" t="s">
        <v>91</v>
      </c>
      <c r="M16" s="57" t="s">
        <v>92</v>
      </c>
      <c r="N16" s="57" t="n">
        <v>480</v>
      </c>
      <c r="O16" s="57" t="s">
        <v>936</v>
      </c>
      <c r="P16" s="57" t="s">
        <v>936</v>
      </c>
      <c r="Q16" s="68" t="s">
        <v>2800</v>
      </c>
      <c r="R16" s="195" t="s">
        <v>2801</v>
      </c>
      <c r="S16" s="148" t="s">
        <v>96</v>
      </c>
      <c r="T16" s="149"/>
      <c r="U16" s="61"/>
      <c r="V16" s="61"/>
      <c r="W16" s="61"/>
      <c r="X16" s="61"/>
      <c r="Y16" s="61"/>
    </row>
    <row r="17" s="62" customFormat="true" ht="115" hidden="false" customHeight="true" outlineLevel="2" collapsed="false">
      <c r="A17" s="51" t="s">
        <v>2802</v>
      </c>
      <c r="B17" s="52"/>
      <c r="C17" s="57"/>
      <c r="D17" s="53" t="s">
        <v>2803</v>
      </c>
      <c r="E17" s="53" t="s">
        <v>89</v>
      </c>
      <c r="F17" s="54" t="n">
        <v>55.45</v>
      </c>
      <c r="G17" s="55"/>
      <c r="H17" s="56" t="str">
        <f aca="false">IF(ISBLANK(G17),"",IF(ISNUMBER(F17),ROUND(F17*G17,2),"Укажите цену"))</f>
        <v/>
      </c>
      <c r="I17" s="57" t="s">
        <v>936</v>
      </c>
      <c r="J17" s="57" t="s">
        <v>936</v>
      </c>
      <c r="K17" s="57" t="s">
        <v>936</v>
      </c>
      <c r="L17" s="57" t="s">
        <v>91</v>
      </c>
      <c r="M17" s="57" t="s">
        <v>92</v>
      </c>
      <c r="N17" s="57" t="n">
        <v>480</v>
      </c>
      <c r="O17" s="57" t="s">
        <v>936</v>
      </c>
      <c r="P17" s="57" t="s">
        <v>936</v>
      </c>
      <c r="Q17" s="68" t="s">
        <v>2804</v>
      </c>
      <c r="R17" s="196" t="s">
        <v>2805</v>
      </c>
      <c r="S17" s="148" t="s">
        <v>96</v>
      </c>
      <c r="T17" s="149"/>
      <c r="U17" s="61"/>
      <c r="V17" s="61"/>
      <c r="W17" s="61"/>
      <c r="X17" s="61"/>
      <c r="Y17" s="61"/>
    </row>
    <row r="18" s="62" customFormat="true" ht="115" hidden="false" customHeight="true" outlineLevel="2" collapsed="false">
      <c r="A18" s="51" t="s">
        <v>2806</v>
      </c>
      <c r="B18" s="52"/>
      <c r="C18" s="57"/>
      <c r="D18" s="53" t="s">
        <v>2807</v>
      </c>
      <c r="E18" s="53" t="s">
        <v>217</v>
      </c>
      <c r="F18" s="54" t="n">
        <v>60.34</v>
      </c>
      <c r="G18" s="55"/>
      <c r="H18" s="56" t="str">
        <f aca="false">IF(ISBLANK(G18),"",IF(ISNUMBER(F18),ROUND(F18*G18,2),"Укажите цену"))</f>
        <v/>
      </c>
      <c r="I18" s="57" t="s">
        <v>936</v>
      </c>
      <c r="J18" s="26" t="s">
        <v>936</v>
      </c>
      <c r="K18" s="57" t="s">
        <v>936</v>
      </c>
      <c r="L18" s="199" t="s">
        <v>91</v>
      </c>
      <c r="M18" s="199" t="s">
        <v>92</v>
      </c>
      <c r="N18" s="57" t="n">
        <v>480</v>
      </c>
      <c r="O18" s="57" t="s">
        <v>936</v>
      </c>
      <c r="P18" s="57" t="s">
        <v>936</v>
      </c>
      <c r="Q18" s="68" t="s">
        <v>2808</v>
      </c>
      <c r="R18" s="196" t="s">
        <v>2809</v>
      </c>
      <c r="S18" s="148" t="s">
        <v>96</v>
      </c>
      <c r="T18" s="149"/>
      <c r="U18" s="61"/>
      <c r="V18" s="61"/>
      <c r="W18" s="61"/>
      <c r="X18" s="61"/>
      <c r="Y18" s="61"/>
    </row>
    <row r="19" customFormat="false" ht="30" hidden="false" customHeight="true" outlineLevel="1" collapsed="false">
      <c r="F19" s="109" t="s">
        <v>633</v>
      </c>
      <c r="G19" s="109"/>
      <c r="H19" s="109" t="n">
        <f aca="false">IF(COUNTIFS(H4:H18,"Укажите цену")&gt;0,"Укажите цены",SUM(H4:H18))</f>
        <v>0</v>
      </c>
    </row>
  </sheetData>
  <mergeCells count="61">
    <mergeCell ref="A1:R1"/>
    <mergeCell ref="A2:H2"/>
    <mergeCell ref="A4:A5"/>
    <mergeCell ref="B4:B5"/>
    <mergeCell ref="C4:C5"/>
    <mergeCell ref="I4:I5"/>
    <mergeCell ref="J4:J5"/>
    <mergeCell ref="K4:K5"/>
    <mergeCell ref="L4:L5"/>
    <mergeCell ref="M4:M5"/>
    <mergeCell ref="N4:N5"/>
    <mergeCell ref="O4:O5"/>
    <mergeCell ref="P4:P5"/>
    <mergeCell ref="Q4:Q5"/>
    <mergeCell ref="R4:R5"/>
    <mergeCell ref="S4:S5"/>
    <mergeCell ref="A6:A7"/>
    <mergeCell ref="B6:B7"/>
    <mergeCell ref="C6:C7"/>
    <mergeCell ref="I6:I7"/>
    <mergeCell ref="J6:J7"/>
    <mergeCell ref="K6:K7"/>
    <mergeCell ref="L6:L7"/>
    <mergeCell ref="M6:M7"/>
    <mergeCell ref="N6:N7"/>
    <mergeCell ref="O6:O7"/>
    <mergeCell ref="P6:P7"/>
    <mergeCell ref="Q6:Q7"/>
    <mergeCell ref="R6:R7"/>
    <mergeCell ref="S6:S7"/>
    <mergeCell ref="A9:A10"/>
    <mergeCell ref="B9:B10"/>
    <mergeCell ref="C9:C10"/>
    <mergeCell ref="I9:I10"/>
    <mergeCell ref="J9:J10"/>
    <mergeCell ref="K9:K10"/>
    <mergeCell ref="L9:L10"/>
    <mergeCell ref="M9:M10"/>
    <mergeCell ref="N9:N10"/>
    <mergeCell ref="O9:O10"/>
    <mergeCell ref="P9:P10"/>
    <mergeCell ref="Q9:Q10"/>
    <mergeCell ref="R9:R10"/>
    <mergeCell ref="S9:S10"/>
    <mergeCell ref="A11:A12"/>
    <mergeCell ref="B11:B12"/>
    <mergeCell ref="C11:C12"/>
    <mergeCell ref="I11:I12"/>
    <mergeCell ref="J11:J12"/>
    <mergeCell ref="K11:K12"/>
    <mergeCell ref="L11:L12"/>
    <mergeCell ref="M11:M12"/>
    <mergeCell ref="N11:N12"/>
    <mergeCell ref="O11:O12"/>
    <mergeCell ref="P11:P12"/>
    <mergeCell ref="Q11:Q12"/>
    <mergeCell ref="R11:R12"/>
    <mergeCell ref="S11:S12"/>
    <mergeCell ref="A14:Q14"/>
    <mergeCell ref="A15:H15"/>
    <mergeCell ref="F19:G19"/>
  </mergeCells>
  <hyperlinks>
    <hyperlink ref="R4" r:id="rId1" display="http://gofile.me/649X4/OWVQfH4yH"/>
    <hyperlink ref="R6" r:id="rId2" display="http://gofile.me/649X4/zL0k4eQAV"/>
    <hyperlink ref="R8" r:id="rId3" display="http://gofile.me/649X4/XVzWIg250"/>
    <hyperlink ref="R9" r:id="rId4" display="http://gofile.me/649X4/bNJmiUuV8"/>
    <hyperlink ref="R11" r:id="rId5" display="http://gofile.me/649X4/jTMA7nOMC"/>
    <hyperlink ref="R13" r:id="rId6" display="http://gofile.me/649X4/6QiGtNlAF"/>
    <hyperlink ref="R16" r:id="rId7" display="http://gofile.me/649X4/JCy6zbWYr"/>
    <hyperlink ref="R17" r:id="rId8" display="http://gofile.me/649X4/a5oRJtd8F"/>
    <hyperlink ref="R18" r:id="rId9" display="http://gofile.me/649X4/TuAFFIjaK"/>
  </hyperlinks>
  <printOptions headings="false" gridLines="false" gridLinesSet="true" horizontalCentered="false" verticalCentered="false"/>
  <pageMargins left="0.35" right="0.240277777777778" top="0.309722222222222"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drawing r:id="rId1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43"/>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9" defaultRowHeight="50" customHeight="true" zeroHeight="false" outlineLevelRow="2" outlineLevelCol="0"/>
  <cols>
    <col collapsed="false" customWidth="true" hidden="false" outlineLevel="0" max="1" min="1" style="200" width="46"/>
    <col collapsed="false" customWidth="true" hidden="false" outlineLevel="0" max="3" min="2" style="105" width="18"/>
    <col collapsed="false" customWidth="true" hidden="false" outlineLevel="0" max="4" min="4" style="42" width="20"/>
    <col collapsed="false" customWidth="true" hidden="false" outlineLevel="0" max="5" min="5" style="42"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9" min="9" style="42" width="7.7"/>
    <col collapsed="false" customWidth="true" hidden="false" outlineLevel="0" max="10" min="10" style="105" width="7.7"/>
    <col collapsed="false" customWidth="true" hidden="false" outlineLevel="0" max="11" min="11" style="105" width="10.7"/>
    <col collapsed="false" customWidth="true" hidden="false" outlineLevel="0" max="12" min="12" style="105" width="7.63"/>
    <col collapsed="false" customWidth="true" hidden="false" outlineLevel="0" max="13" min="13" style="105" width="10.63"/>
    <col collapsed="false" customWidth="true" hidden="false" outlineLevel="0" max="14" min="14" style="105" width="7.63"/>
    <col collapsed="false" customWidth="true" hidden="false" outlineLevel="0" max="15" min="15" style="105" width="10.63"/>
    <col collapsed="false" customWidth="true" hidden="false" outlineLevel="0" max="16" min="16" style="105" width="7.63"/>
    <col collapsed="false" customWidth="true" hidden="false" outlineLevel="0" max="17" min="17" style="42" width="70"/>
    <col collapsed="false" customWidth="true" hidden="false" outlineLevel="0" max="19" min="18" style="34" width="9.63"/>
    <col collapsed="false" customWidth="true" hidden="false" outlineLevel="0" max="20" min="20" style="105" width="10.13"/>
    <col collapsed="false" customWidth="false" hidden="false" outlineLevel="0" max="25" min="21" style="105" width="9"/>
    <col collapsed="false" customWidth="false" hidden="false" outlineLevel="0" max="98" min="26" style="42" width="9"/>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44"/>
    </row>
    <row r="2" s="4" customFormat="true" ht="30" hidden="false" customHeight="true" outlineLevel="0" collapsed="false">
      <c r="A2" s="45" t="s">
        <v>2810</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row>
    <row r="4" s="50" customFormat="true" ht="27" hidden="false" customHeight="true" outlineLevel="1" collapsed="false">
      <c r="A4" s="49" t="s">
        <v>2811</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34" customFormat="true" ht="115" hidden="false" customHeight="true" outlineLevel="2" collapsed="false">
      <c r="A5" s="51" t="s">
        <v>2812</v>
      </c>
      <c r="B5" s="201"/>
      <c r="C5" s="201"/>
      <c r="D5" s="53" t="s">
        <v>2813</v>
      </c>
      <c r="E5" s="53" t="s">
        <v>2814</v>
      </c>
      <c r="F5" s="54" t="n">
        <v>293.57</v>
      </c>
      <c r="G5" s="55"/>
      <c r="H5" s="56" t="str">
        <f aca="false">IF(ISBLANK(G5),"",IF(ISNUMBER(F5),ROUND(F5*G5,2),"Укажите цену"))</f>
        <v/>
      </c>
      <c r="I5" s="201" t="s">
        <v>936</v>
      </c>
      <c r="J5" s="201" t="s">
        <v>936</v>
      </c>
      <c r="K5" s="201" t="s">
        <v>936</v>
      </c>
      <c r="L5" s="201" t="n">
        <v>48</v>
      </c>
      <c r="M5" s="201" t="s">
        <v>284</v>
      </c>
      <c r="N5" s="201" t="n">
        <v>192</v>
      </c>
      <c r="O5" s="201" t="s">
        <v>696</v>
      </c>
      <c r="P5" s="202" t="n">
        <v>0.095</v>
      </c>
      <c r="Q5" s="95" t="s">
        <v>2815</v>
      </c>
      <c r="R5" s="125" t="s">
        <v>2816</v>
      </c>
      <c r="S5" s="203" t="s">
        <v>96</v>
      </c>
      <c r="T5" s="204"/>
    </row>
    <row r="6" s="34" customFormat="true" ht="115" hidden="false" customHeight="true" outlineLevel="2" collapsed="false">
      <c r="A6" s="51" t="s">
        <v>2817</v>
      </c>
      <c r="B6" s="201"/>
      <c r="C6" s="201"/>
      <c r="D6" s="53" t="s">
        <v>2818</v>
      </c>
      <c r="E6" s="53" t="s">
        <v>2814</v>
      </c>
      <c r="F6" s="54" t="n">
        <v>293.57</v>
      </c>
      <c r="G6" s="55"/>
      <c r="H6" s="56" t="str">
        <f aca="false">IF(ISBLANK(G6),"",IF(ISNUMBER(F6),ROUND(F6*G6,2),"Укажите цену"))</f>
        <v/>
      </c>
      <c r="I6" s="201" t="s">
        <v>936</v>
      </c>
      <c r="J6" s="201" t="s">
        <v>936</v>
      </c>
      <c r="K6" s="201" t="s">
        <v>936</v>
      </c>
      <c r="L6" s="201" t="n">
        <v>48</v>
      </c>
      <c r="M6" s="201" t="s">
        <v>284</v>
      </c>
      <c r="N6" s="201" t="n">
        <v>192</v>
      </c>
      <c r="O6" s="201" t="s">
        <v>696</v>
      </c>
      <c r="P6" s="202" t="n">
        <v>0.095</v>
      </c>
      <c r="Q6" s="95" t="s">
        <v>2815</v>
      </c>
      <c r="R6" s="125" t="s">
        <v>2816</v>
      </c>
      <c r="S6" s="203" t="s">
        <v>96</v>
      </c>
      <c r="T6" s="204"/>
    </row>
    <row r="7" s="34" customFormat="true" ht="115" hidden="false" customHeight="true" outlineLevel="2" collapsed="false">
      <c r="A7" s="51" t="s">
        <v>2819</v>
      </c>
      <c r="B7" s="201"/>
      <c r="C7" s="201"/>
      <c r="D7" s="53" t="s">
        <v>2820</v>
      </c>
      <c r="E7" s="53" t="s">
        <v>2814</v>
      </c>
      <c r="F7" s="54" t="n">
        <v>97.86</v>
      </c>
      <c r="G7" s="55"/>
      <c r="H7" s="56" t="str">
        <f aca="false">IF(ISBLANK(G7),"",IF(ISNUMBER(F7),ROUND(F7*G7,2),"Укажите цену"))</f>
        <v/>
      </c>
      <c r="I7" s="201" t="s">
        <v>936</v>
      </c>
      <c r="J7" s="201" t="s">
        <v>936</v>
      </c>
      <c r="K7" s="201" t="s">
        <v>936</v>
      </c>
      <c r="L7" s="201" t="n">
        <v>48</v>
      </c>
      <c r="M7" s="201" t="s">
        <v>284</v>
      </c>
      <c r="N7" s="201" t="n">
        <v>192</v>
      </c>
      <c r="O7" s="201" t="s">
        <v>696</v>
      </c>
      <c r="P7" s="202" t="n">
        <v>0.095</v>
      </c>
      <c r="Q7" s="205" t="s">
        <v>2821</v>
      </c>
      <c r="R7" s="125" t="s">
        <v>2822</v>
      </c>
      <c r="S7" s="203" t="s">
        <v>96</v>
      </c>
      <c r="T7" s="204"/>
    </row>
    <row r="8" s="34" customFormat="true" ht="115" hidden="false" customHeight="true" outlineLevel="2" collapsed="false">
      <c r="A8" s="51" t="s">
        <v>2823</v>
      </c>
      <c r="B8" s="201"/>
      <c r="C8" s="201"/>
      <c r="D8" s="53" t="s">
        <v>2824</v>
      </c>
      <c r="E8" s="53" t="s">
        <v>2814</v>
      </c>
      <c r="F8" s="54" t="n">
        <v>97.86</v>
      </c>
      <c r="G8" s="55"/>
      <c r="H8" s="56" t="str">
        <f aca="false">IF(ISBLANK(G8),"",IF(ISNUMBER(F8),ROUND(F8*G8,2),"Укажите цену"))</f>
        <v/>
      </c>
      <c r="I8" s="201" t="s">
        <v>936</v>
      </c>
      <c r="J8" s="201" t="s">
        <v>936</v>
      </c>
      <c r="K8" s="201" t="s">
        <v>936</v>
      </c>
      <c r="L8" s="201" t="n">
        <v>48</v>
      </c>
      <c r="M8" s="201" t="s">
        <v>284</v>
      </c>
      <c r="N8" s="201" t="n">
        <v>192</v>
      </c>
      <c r="O8" s="201" t="s">
        <v>696</v>
      </c>
      <c r="P8" s="202" t="n">
        <v>0.095</v>
      </c>
      <c r="Q8" s="95" t="s">
        <v>2825</v>
      </c>
      <c r="R8" s="125" t="s">
        <v>2822</v>
      </c>
      <c r="S8" s="203" t="s">
        <v>96</v>
      </c>
      <c r="T8" s="204"/>
    </row>
    <row r="9" s="34" customFormat="true" ht="6" hidden="false" customHeight="true" outlineLevel="2" collapsed="false">
      <c r="A9" s="126"/>
      <c r="B9" s="206"/>
      <c r="C9" s="206"/>
      <c r="D9" s="53"/>
      <c r="E9" s="53"/>
      <c r="I9" s="206"/>
      <c r="J9" s="206"/>
      <c r="K9" s="206"/>
      <c r="L9" s="206"/>
      <c r="M9" s="206"/>
      <c r="N9" s="206"/>
      <c r="O9" s="206"/>
      <c r="P9" s="207"/>
      <c r="Q9" s="208"/>
      <c r="R9" s="209"/>
      <c r="S9" s="210"/>
      <c r="T9" s="204"/>
    </row>
    <row r="10" s="50" customFormat="true" ht="27" hidden="false" customHeight="true" outlineLevel="1" collapsed="false">
      <c r="A10" s="49" t="s">
        <v>2826</v>
      </c>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c r="IW10" s="49"/>
    </row>
    <row r="11" s="34" customFormat="true" ht="55" hidden="false" customHeight="true" outlineLevel="2" collapsed="false">
      <c r="A11" s="63" t="s">
        <v>2827</v>
      </c>
      <c r="B11" s="57"/>
      <c r="C11" s="57"/>
      <c r="D11" s="53" t="s">
        <v>2828</v>
      </c>
      <c r="E11" s="53" t="s">
        <v>2829</v>
      </c>
      <c r="F11" s="54" t="n">
        <v>91.33</v>
      </c>
      <c r="G11" s="55"/>
      <c r="H11" s="56" t="str">
        <f aca="false">IF(ISBLANK(G11),"",IF(ISNUMBER(F11),ROUND(F11*G11,2),"Укажите цену"))</f>
        <v/>
      </c>
      <c r="I11" s="57" t="n">
        <v>27</v>
      </c>
      <c r="J11" s="57" t="n">
        <v>6.9</v>
      </c>
      <c r="K11" s="57" t="s">
        <v>2830</v>
      </c>
      <c r="L11" s="57" t="n">
        <v>31</v>
      </c>
      <c r="M11" s="57" t="s">
        <v>640</v>
      </c>
      <c r="N11" s="57" t="n">
        <v>186</v>
      </c>
      <c r="O11" s="57" t="s">
        <v>641</v>
      </c>
      <c r="P11" s="58" t="n">
        <v>0.074</v>
      </c>
      <c r="Q11" s="68" t="s">
        <v>2831</v>
      </c>
      <c r="R11" s="195" t="s">
        <v>2832</v>
      </c>
      <c r="S11" s="60" t="s">
        <v>96</v>
      </c>
      <c r="T11" s="173"/>
    </row>
    <row r="12" s="34" customFormat="true" ht="55" hidden="false" customHeight="true" outlineLevel="2" collapsed="false">
      <c r="A12" s="63"/>
      <c r="B12" s="57"/>
      <c r="C12" s="57"/>
      <c r="D12" s="53" t="s">
        <v>2833</v>
      </c>
      <c r="E12" s="53" t="s">
        <v>2834</v>
      </c>
      <c r="F12" s="54" t="n">
        <v>91.33</v>
      </c>
      <c r="G12" s="55"/>
      <c r="H12" s="56" t="str">
        <f aca="false">IF(ISBLANK(G12),"",IF(ISNUMBER(F12),ROUND(F12*G12,2),"Укажите цену"))</f>
        <v/>
      </c>
      <c r="I12" s="57"/>
      <c r="J12" s="57"/>
      <c r="K12" s="57"/>
      <c r="L12" s="57"/>
      <c r="M12" s="57"/>
      <c r="N12" s="57"/>
      <c r="O12" s="57"/>
      <c r="P12" s="58"/>
      <c r="Q12" s="68"/>
      <c r="R12" s="195"/>
      <c r="S12" s="60"/>
      <c r="T12" s="173"/>
    </row>
    <row r="13" s="34" customFormat="true" ht="55" hidden="false" customHeight="true" outlineLevel="2" collapsed="false">
      <c r="A13" s="63"/>
      <c r="B13" s="57"/>
      <c r="C13" s="57"/>
      <c r="D13" s="53" t="s">
        <v>2835</v>
      </c>
      <c r="E13" s="53" t="s">
        <v>2836</v>
      </c>
      <c r="F13" s="54" t="n">
        <v>91.33</v>
      </c>
      <c r="G13" s="55"/>
      <c r="H13" s="56" t="str">
        <f aca="false">IF(ISBLANK(G13),"",IF(ISNUMBER(F13),ROUND(F13*G13,2),"Укажите цену"))</f>
        <v/>
      </c>
      <c r="I13" s="57"/>
      <c r="J13" s="57"/>
      <c r="K13" s="57"/>
      <c r="L13" s="57"/>
      <c r="M13" s="57"/>
      <c r="N13" s="57"/>
      <c r="O13" s="57"/>
      <c r="P13" s="58"/>
      <c r="Q13" s="68"/>
      <c r="R13" s="195"/>
      <c r="S13" s="60"/>
      <c r="T13" s="173"/>
    </row>
    <row r="14" s="34" customFormat="true" ht="55" hidden="false" customHeight="true" outlineLevel="2" collapsed="false">
      <c r="A14" s="63"/>
      <c r="B14" s="57"/>
      <c r="C14" s="57"/>
      <c r="D14" s="53" t="s">
        <v>2837</v>
      </c>
      <c r="E14" s="53" t="s">
        <v>2838</v>
      </c>
      <c r="F14" s="54" t="n">
        <v>91.33</v>
      </c>
      <c r="G14" s="55"/>
      <c r="H14" s="56" t="str">
        <f aca="false">IF(ISBLANK(G14),"",IF(ISNUMBER(F14),ROUND(F14*G14,2),"Укажите цену"))</f>
        <v/>
      </c>
      <c r="I14" s="57"/>
      <c r="J14" s="57"/>
      <c r="K14" s="57"/>
      <c r="L14" s="57"/>
      <c r="M14" s="57"/>
      <c r="N14" s="57"/>
      <c r="O14" s="57"/>
      <c r="P14" s="58"/>
      <c r="Q14" s="68"/>
      <c r="R14" s="195"/>
      <c r="S14" s="60"/>
      <c r="T14" s="173"/>
    </row>
    <row r="15" s="34" customFormat="true" ht="115" hidden="false" customHeight="true" outlineLevel="2" collapsed="false">
      <c r="A15" s="51" t="s">
        <v>2839</v>
      </c>
      <c r="B15" s="211"/>
      <c r="C15" s="57"/>
      <c r="D15" s="53" t="s">
        <v>2840</v>
      </c>
      <c r="E15" s="53" t="s">
        <v>2841</v>
      </c>
      <c r="F15" s="54" t="n">
        <v>342.5</v>
      </c>
      <c r="G15" s="55"/>
      <c r="H15" s="56" t="str">
        <f aca="false">IF(ISBLANK(G15),"",IF(ISNUMBER(F15),ROUND(F15*G15,2),"Укажите цену"))</f>
        <v/>
      </c>
      <c r="I15" s="57" t="n">
        <v>99</v>
      </c>
      <c r="J15" s="57" t="n">
        <v>12.8</v>
      </c>
      <c r="K15" s="57" t="s">
        <v>2842</v>
      </c>
      <c r="L15" s="57" t="n">
        <v>18</v>
      </c>
      <c r="M15" s="57" t="s">
        <v>640</v>
      </c>
      <c r="N15" s="57" t="n">
        <v>108</v>
      </c>
      <c r="O15" s="57" t="s">
        <v>641</v>
      </c>
      <c r="P15" s="58" t="n">
        <v>0.074</v>
      </c>
      <c r="Q15" s="68" t="s">
        <v>2843</v>
      </c>
      <c r="R15" s="195" t="s">
        <v>2844</v>
      </c>
      <c r="S15" s="60" t="s">
        <v>96</v>
      </c>
      <c r="T15" s="204"/>
    </row>
    <row r="16" s="34" customFormat="true" ht="115" hidden="false" customHeight="true" outlineLevel="2" collapsed="false">
      <c r="A16" s="51" t="s">
        <v>2845</v>
      </c>
      <c r="B16" s="211"/>
      <c r="C16" s="57"/>
      <c r="D16" s="53" t="s">
        <v>2846</v>
      </c>
      <c r="E16" s="53" t="s">
        <v>2841</v>
      </c>
      <c r="F16" s="54" t="n">
        <v>342.5</v>
      </c>
      <c r="G16" s="55"/>
      <c r="H16" s="56" t="str">
        <f aca="false">IF(ISBLANK(G16),"",IF(ISNUMBER(F16),ROUND(F16*G16,2),"Укажите цену"))</f>
        <v/>
      </c>
      <c r="I16" s="57" t="n">
        <v>107</v>
      </c>
      <c r="J16" s="57" t="n">
        <v>13.6</v>
      </c>
      <c r="K16" s="57" t="s">
        <v>2842</v>
      </c>
      <c r="L16" s="57" t="n">
        <v>18</v>
      </c>
      <c r="M16" s="57" t="s">
        <v>640</v>
      </c>
      <c r="N16" s="57" t="n">
        <v>108</v>
      </c>
      <c r="O16" s="57" t="s">
        <v>641</v>
      </c>
      <c r="P16" s="58" t="n">
        <v>0.074</v>
      </c>
      <c r="Q16" s="68" t="s">
        <v>2843</v>
      </c>
      <c r="R16" s="195" t="s">
        <v>2844</v>
      </c>
      <c r="S16" s="60" t="s">
        <v>96</v>
      </c>
      <c r="T16" s="204"/>
    </row>
    <row r="17" s="34" customFormat="true" ht="115" hidden="false" customHeight="true" outlineLevel="2" collapsed="false">
      <c r="A17" s="51" t="s">
        <v>2847</v>
      </c>
      <c r="B17" s="211"/>
      <c r="C17" s="57"/>
      <c r="D17" s="53" t="s">
        <v>2848</v>
      </c>
      <c r="E17" s="53" t="s">
        <v>217</v>
      </c>
      <c r="F17" s="54" t="n">
        <v>138.63</v>
      </c>
      <c r="G17" s="55"/>
      <c r="H17" s="56" t="str">
        <f aca="false">IF(ISBLANK(G17),"",IF(ISNUMBER(F17),ROUND(F17*G17,2),"Укажите цену"))</f>
        <v/>
      </c>
      <c r="I17" s="57" t="n">
        <v>61</v>
      </c>
      <c r="J17" s="57" t="n">
        <v>12.5</v>
      </c>
      <c r="K17" s="57" t="s">
        <v>2849</v>
      </c>
      <c r="L17" s="57" t="n">
        <v>28</v>
      </c>
      <c r="M17" s="57" t="s">
        <v>640</v>
      </c>
      <c r="N17" s="57" t="n">
        <v>168</v>
      </c>
      <c r="O17" s="57" t="s">
        <v>641</v>
      </c>
      <c r="P17" s="58" t="n">
        <v>0.074</v>
      </c>
      <c r="Q17" s="68" t="s">
        <v>2850</v>
      </c>
      <c r="R17" s="195" t="s">
        <v>2851</v>
      </c>
      <c r="S17" s="60" t="s">
        <v>96</v>
      </c>
      <c r="T17" s="204"/>
    </row>
    <row r="18" s="34" customFormat="true" ht="115" hidden="false" customHeight="true" outlineLevel="2" collapsed="false">
      <c r="A18" s="51" t="s">
        <v>2852</v>
      </c>
      <c r="B18" s="211"/>
      <c r="C18" s="57"/>
      <c r="D18" s="53" t="s">
        <v>2853</v>
      </c>
      <c r="E18" s="53" t="s">
        <v>217</v>
      </c>
      <c r="F18" s="54" t="n">
        <v>138.63</v>
      </c>
      <c r="G18" s="55"/>
      <c r="H18" s="56" t="str">
        <f aca="false">IF(ISBLANK(G18),"",IF(ISNUMBER(F18),ROUND(F18*G18,2),"Укажите цену"))</f>
        <v/>
      </c>
      <c r="I18" s="57" t="n">
        <v>66</v>
      </c>
      <c r="J18" s="57" t="n">
        <v>13.1</v>
      </c>
      <c r="K18" s="57" t="s">
        <v>2849</v>
      </c>
      <c r="L18" s="57" t="n">
        <v>28</v>
      </c>
      <c r="M18" s="57" t="s">
        <v>640</v>
      </c>
      <c r="N18" s="57" t="n">
        <v>168</v>
      </c>
      <c r="O18" s="57" t="s">
        <v>641</v>
      </c>
      <c r="P18" s="58" t="n">
        <v>0.074</v>
      </c>
      <c r="Q18" s="68" t="s">
        <v>2850</v>
      </c>
      <c r="R18" s="195" t="s">
        <v>2851</v>
      </c>
      <c r="S18" s="60" t="s">
        <v>96</v>
      </c>
      <c r="T18" s="204"/>
    </row>
    <row r="19" s="34" customFormat="true" ht="115" hidden="false" customHeight="true" outlineLevel="2" collapsed="false">
      <c r="A19" s="51" t="s">
        <v>2854</v>
      </c>
      <c r="B19" s="211"/>
      <c r="C19" s="57"/>
      <c r="D19" s="53" t="s">
        <v>2855</v>
      </c>
      <c r="E19" s="53" t="s">
        <v>217</v>
      </c>
      <c r="F19" s="54" t="n">
        <v>114.17</v>
      </c>
      <c r="G19" s="55"/>
      <c r="H19" s="56" t="str">
        <f aca="false">IF(ISBLANK(G19),"",IF(ISNUMBER(F19),ROUND(F19*G19,2),"Укажите цену"))</f>
        <v/>
      </c>
      <c r="I19" s="57" t="n">
        <v>61</v>
      </c>
      <c r="J19" s="57" t="n">
        <v>12.3</v>
      </c>
      <c r="K19" s="57" t="s">
        <v>2849</v>
      </c>
      <c r="L19" s="57" t="n">
        <v>28</v>
      </c>
      <c r="M19" s="57" t="s">
        <v>640</v>
      </c>
      <c r="N19" s="57" t="n">
        <v>168</v>
      </c>
      <c r="O19" s="57" t="s">
        <v>641</v>
      </c>
      <c r="P19" s="58" t="n">
        <v>0.074</v>
      </c>
      <c r="Q19" s="68" t="s">
        <v>2856</v>
      </c>
      <c r="R19" s="195" t="s">
        <v>2857</v>
      </c>
      <c r="S19" s="60" t="s">
        <v>96</v>
      </c>
      <c r="T19" s="204"/>
    </row>
    <row r="20" s="34" customFormat="true" ht="115" hidden="false" customHeight="true" outlineLevel="2" collapsed="false">
      <c r="A20" s="51" t="s">
        <v>2858</v>
      </c>
      <c r="B20" s="211"/>
      <c r="C20" s="57"/>
      <c r="D20" s="53" t="s">
        <v>2859</v>
      </c>
      <c r="E20" s="53" t="s">
        <v>217</v>
      </c>
      <c r="F20" s="54" t="n">
        <v>114.17</v>
      </c>
      <c r="G20" s="55"/>
      <c r="H20" s="56" t="str">
        <f aca="false">IF(ISBLANK(G20),"",IF(ISNUMBER(F20),ROUND(F20*G20,2),"Укажите цену"))</f>
        <v/>
      </c>
      <c r="I20" s="57" t="n">
        <v>64</v>
      </c>
      <c r="J20" s="57" t="n">
        <v>12.9</v>
      </c>
      <c r="K20" s="57" t="s">
        <v>2849</v>
      </c>
      <c r="L20" s="57" t="n">
        <v>28</v>
      </c>
      <c r="M20" s="57" t="s">
        <v>640</v>
      </c>
      <c r="N20" s="57" t="n">
        <v>168</v>
      </c>
      <c r="O20" s="57" t="s">
        <v>641</v>
      </c>
      <c r="P20" s="58" t="n">
        <v>0.074</v>
      </c>
      <c r="Q20" s="68" t="s">
        <v>2856</v>
      </c>
      <c r="R20" s="195" t="s">
        <v>2857</v>
      </c>
      <c r="S20" s="60" t="s">
        <v>96</v>
      </c>
      <c r="T20" s="204"/>
    </row>
    <row r="21" s="34" customFormat="true" ht="115" hidden="false" customHeight="true" outlineLevel="2" collapsed="false">
      <c r="A21" s="51" t="s">
        <v>2860</v>
      </c>
      <c r="B21" s="211"/>
      <c r="C21" s="57"/>
      <c r="D21" s="53" t="s">
        <v>2861</v>
      </c>
      <c r="E21" s="53" t="s">
        <v>217</v>
      </c>
      <c r="F21" s="54" t="n">
        <v>570.83</v>
      </c>
      <c r="G21" s="55"/>
      <c r="H21" s="56" t="str">
        <f aca="false">IF(ISBLANK(G21),"",IF(ISNUMBER(F21),ROUND(F21*G21,2),"Укажите цену"))</f>
        <v/>
      </c>
      <c r="I21" s="57" t="n">
        <v>194</v>
      </c>
      <c r="J21" s="57" t="n">
        <v>20.95</v>
      </c>
      <c r="K21" s="57" t="s">
        <v>2862</v>
      </c>
      <c r="L21" s="57" t="s">
        <v>2863</v>
      </c>
      <c r="M21" s="57" t="s">
        <v>2864</v>
      </c>
      <c r="N21" s="57" t="n">
        <v>100</v>
      </c>
      <c r="O21" s="57" t="s">
        <v>2865</v>
      </c>
      <c r="P21" s="58" t="n">
        <v>0.074</v>
      </c>
      <c r="Q21" s="68" t="s">
        <v>2866</v>
      </c>
      <c r="R21" s="195" t="s">
        <v>2867</v>
      </c>
      <c r="S21" s="60" t="s">
        <v>96</v>
      </c>
      <c r="T21" s="204"/>
    </row>
    <row r="22" s="34" customFormat="true" ht="115" hidden="false" customHeight="true" outlineLevel="2" collapsed="false">
      <c r="A22" s="51" t="s">
        <v>2868</v>
      </c>
      <c r="B22" s="211"/>
      <c r="C22" s="57"/>
      <c r="D22" s="53" t="s">
        <v>2869</v>
      </c>
      <c r="E22" s="53" t="s">
        <v>217</v>
      </c>
      <c r="F22" s="54" t="n">
        <v>570.83</v>
      </c>
      <c r="G22" s="55"/>
      <c r="H22" s="56" t="str">
        <f aca="false">IF(ISBLANK(G22),"",IF(ISNUMBER(F22),ROUND(F22*G22,2),"Укажите цену"))</f>
        <v/>
      </c>
      <c r="I22" s="57" t="n">
        <v>228</v>
      </c>
      <c r="J22" s="57" t="n">
        <v>24.3</v>
      </c>
      <c r="K22" s="57" t="s">
        <v>2862</v>
      </c>
      <c r="L22" s="57" t="s">
        <v>2863</v>
      </c>
      <c r="M22" s="57" t="s">
        <v>2864</v>
      </c>
      <c r="N22" s="57" t="n">
        <v>100</v>
      </c>
      <c r="O22" s="57" t="s">
        <v>2865</v>
      </c>
      <c r="P22" s="58" t="n">
        <v>0.074</v>
      </c>
      <c r="Q22" s="68" t="s">
        <v>2866</v>
      </c>
      <c r="R22" s="195" t="s">
        <v>2867</v>
      </c>
      <c r="S22" s="60" t="s">
        <v>96</v>
      </c>
      <c r="T22" s="204"/>
    </row>
    <row r="23" s="34" customFormat="true" ht="115" hidden="false" customHeight="true" outlineLevel="2" collapsed="false">
      <c r="A23" s="51" t="s">
        <v>2870</v>
      </c>
      <c r="B23" s="211"/>
      <c r="C23" s="57"/>
      <c r="D23" s="53" t="s">
        <v>2871</v>
      </c>
      <c r="E23" s="53" t="s">
        <v>217</v>
      </c>
      <c r="F23" s="54" t="n">
        <v>358.81</v>
      </c>
      <c r="G23" s="55"/>
      <c r="H23" s="56" t="str">
        <f aca="false">IF(ISBLANK(G23),"",IF(ISNUMBER(F23),ROUND(F23*G23,2),"Укажите цену"))</f>
        <v/>
      </c>
      <c r="I23" s="57" t="n">
        <v>179</v>
      </c>
      <c r="J23" s="57" t="n">
        <v>19.45</v>
      </c>
      <c r="K23" s="57" t="s">
        <v>2872</v>
      </c>
      <c r="L23" s="57" t="s">
        <v>2863</v>
      </c>
      <c r="M23" s="57" t="s">
        <v>2864</v>
      </c>
      <c r="N23" s="57" t="n">
        <v>100</v>
      </c>
      <c r="O23" s="57" t="s">
        <v>2865</v>
      </c>
      <c r="P23" s="58" t="n">
        <v>0.074</v>
      </c>
      <c r="Q23" s="68" t="s">
        <v>2873</v>
      </c>
      <c r="R23" s="195" t="s">
        <v>2874</v>
      </c>
      <c r="S23" s="60" t="s">
        <v>96</v>
      </c>
      <c r="T23" s="204"/>
    </row>
    <row r="24" s="34" customFormat="true" ht="115" hidden="false" customHeight="true" outlineLevel="2" collapsed="false">
      <c r="A24" s="51" t="s">
        <v>2875</v>
      </c>
      <c r="B24" s="211"/>
      <c r="C24" s="57"/>
      <c r="D24" s="53" t="s">
        <v>2876</v>
      </c>
      <c r="E24" s="53" t="s">
        <v>217</v>
      </c>
      <c r="F24" s="54" t="n">
        <v>358.81</v>
      </c>
      <c r="G24" s="55"/>
      <c r="H24" s="56" t="str">
        <f aca="false">IF(ISBLANK(G24),"",IF(ISNUMBER(F24),ROUND(F24*G24,2),"Укажите цену"))</f>
        <v/>
      </c>
      <c r="I24" s="57" t="n">
        <v>209</v>
      </c>
      <c r="J24" s="57" t="n">
        <v>22.5</v>
      </c>
      <c r="K24" s="57" t="s">
        <v>2872</v>
      </c>
      <c r="L24" s="57" t="s">
        <v>2863</v>
      </c>
      <c r="M24" s="57" t="s">
        <v>2864</v>
      </c>
      <c r="N24" s="57" t="n">
        <v>100</v>
      </c>
      <c r="O24" s="57" t="s">
        <v>2865</v>
      </c>
      <c r="P24" s="58" t="n">
        <v>0.074</v>
      </c>
      <c r="Q24" s="68" t="s">
        <v>2873</v>
      </c>
      <c r="R24" s="195" t="s">
        <v>2874</v>
      </c>
      <c r="S24" s="60" t="s">
        <v>96</v>
      </c>
      <c r="T24" s="204"/>
    </row>
    <row r="25" s="34" customFormat="true" ht="115" hidden="false" customHeight="true" outlineLevel="2" collapsed="false">
      <c r="A25" s="51" t="s">
        <v>2877</v>
      </c>
      <c r="B25" s="211"/>
      <c r="C25" s="57"/>
      <c r="D25" s="53" t="s">
        <v>2878</v>
      </c>
      <c r="E25" s="53" t="s">
        <v>217</v>
      </c>
      <c r="F25" s="54" t="n">
        <v>538.21</v>
      </c>
      <c r="G25" s="55"/>
      <c r="H25" s="56" t="str">
        <f aca="false">IF(ISBLANK(G25),"",IF(ISNUMBER(F25),ROUND(F25*G25,2),"Укажите цену"))</f>
        <v/>
      </c>
      <c r="I25" s="57" t="s">
        <v>936</v>
      </c>
      <c r="J25" s="57" t="s">
        <v>936</v>
      </c>
      <c r="K25" s="57" t="s">
        <v>936</v>
      </c>
      <c r="L25" s="57" t="s">
        <v>91</v>
      </c>
      <c r="M25" s="57" t="s">
        <v>92</v>
      </c>
      <c r="N25" s="57" t="n">
        <v>48</v>
      </c>
      <c r="O25" s="57" t="s">
        <v>2879</v>
      </c>
      <c r="P25" s="58" t="n">
        <v>0.036</v>
      </c>
      <c r="Q25" s="68" t="s">
        <v>2880</v>
      </c>
      <c r="R25" s="93" t="s">
        <v>2881</v>
      </c>
      <c r="S25" s="60" t="s">
        <v>96</v>
      </c>
      <c r="T25" s="204"/>
    </row>
    <row r="26" s="34" customFormat="true" ht="115" hidden="false" customHeight="true" outlineLevel="2" collapsed="false">
      <c r="A26" s="51" t="s">
        <v>2882</v>
      </c>
      <c r="B26" s="211"/>
      <c r="C26" s="57"/>
      <c r="D26" s="53" t="s">
        <v>2883</v>
      </c>
      <c r="E26" s="53" t="s">
        <v>217</v>
      </c>
      <c r="F26" s="54" t="n">
        <v>538.21</v>
      </c>
      <c r="G26" s="55"/>
      <c r="H26" s="56" t="str">
        <f aca="false">IF(ISBLANK(G26),"",IF(ISNUMBER(F26),ROUND(F26*G26,2),"Укажите цену"))</f>
        <v/>
      </c>
      <c r="I26" s="57" t="s">
        <v>936</v>
      </c>
      <c r="J26" s="57" t="s">
        <v>936</v>
      </c>
      <c r="K26" s="57" t="s">
        <v>936</v>
      </c>
      <c r="L26" s="57" t="s">
        <v>91</v>
      </c>
      <c r="M26" s="57" t="s">
        <v>92</v>
      </c>
      <c r="N26" s="57" t="n">
        <v>48</v>
      </c>
      <c r="O26" s="57" t="s">
        <v>2879</v>
      </c>
      <c r="P26" s="58" t="n">
        <v>0.036</v>
      </c>
      <c r="Q26" s="68" t="s">
        <v>2880</v>
      </c>
      <c r="R26" s="93" t="s">
        <v>2881</v>
      </c>
      <c r="S26" s="60" t="s">
        <v>96</v>
      </c>
      <c r="T26" s="204"/>
    </row>
    <row r="27" s="34" customFormat="true" ht="115" hidden="false" customHeight="true" outlineLevel="2" collapsed="false">
      <c r="A27" s="51" t="s">
        <v>2884</v>
      </c>
      <c r="B27" s="211"/>
      <c r="C27" s="57"/>
      <c r="D27" s="53" t="s">
        <v>2885</v>
      </c>
      <c r="E27" s="53" t="s">
        <v>217</v>
      </c>
      <c r="F27" s="54" t="n">
        <v>652.38</v>
      </c>
      <c r="G27" s="55"/>
      <c r="H27" s="56" t="str">
        <f aca="false">IF(ISBLANK(G27),"",IF(ISNUMBER(F27),ROUND(F27*G27,2),"Укажите цену"))</f>
        <v/>
      </c>
      <c r="I27" s="57" t="n">
        <v>282</v>
      </c>
      <c r="J27" s="57" t="n">
        <v>14.05</v>
      </c>
      <c r="K27" s="57" t="s">
        <v>2886</v>
      </c>
      <c r="L27" s="57" t="s">
        <v>91</v>
      </c>
      <c r="M27" s="57" t="s">
        <v>92</v>
      </c>
      <c r="N27" s="57" t="n">
        <v>48</v>
      </c>
      <c r="O27" s="57" t="s">
        <v>2879</v>
      </c>
      <c r="P27" s="58" t="n">
        <v>0.036</v>
      </c>
      <c r="Q27" s="182" t="s">
        <v>2887</v>
      </c>
      <c r="R27" s="91" t="s">
        <v>2888</v>
      </c>
      <c r="S27" s="60" t="s">
        <v>96</v>
      </c>
      <c r="T27" s="204"/>
    </row>
    <row r="28" s="34" customFormat="true" ht="115" hidden="false" customHeight="true" outlineLevel="2" collapsed="false">
      <c r="A28" s="51" t="s">
        <v>2889</v>
      </c>
      <c r="B28" s="211"/>
      <c r="C28" s="57"/>
      <c r="D28" s="53" t="s">
        <v>2890</v>
      </c>
      <c r="E28" s="53" t="s">
        <v>217</v>
      </c>
      <c r="F28" s="54" t="n">
        <v>652.38</v>
      </c>
      <c r="G28" s="55"/>
      <c r="H28" s="56" t="str">
        <f aca="false">IF(ISBLANK(G28),"",IF(ISNUMBER(F28),ROUND(F28*G28,2),"Укажите цену"))</f>
        <v/>
      </c>
      <c r="I28" s="57" t="n">
        <v>314</v>
      </c>
      <c r="J28" s="57" t="n">
        <v>15.65</v>
      </c>
      <c r="K28" s="57" t="s">
        <v>2886</v>
      </c>
      <c r="L28" s="57" t="s">
        <v>91</v>
      </c>
      <c r="M28" s="57" t="s">
        <v>92</v>
      </c>
      <c r="N28" s="57" t="n">
        <v>48</v>
      </c>
      <c r="O28" s="57" t="s">
        <v>2879</v>
      </c>
      <c r="P28" s="58" t="n">
        <v>0.036</v>
      </c>
      <c r="Q28" s="182" t="s">
        <v>2887</v>
      </c>
      <c r="R28" s="91" t="s">
        <v>2888</v>
      </c>
      <c r="S28" s="60" t="s">
        <v>96</v>
      </c>
      <c r="T28" s="204"/>
    </row>
    <row r="29" s="34" customFormat="true" ht="115" hidden="false" customHeight="true" outlineLevel="2" collapsed="false">
      <c r="A29" s="51" t="s">
        <v>2891</v>
      </c>
      <c r="B29" s="211"/>
      <c r="C29" s="57"/>
      <c r="D29" s="53" t="s">
        <v>2892</v>
      </c>
      <c r="E29" s="53" t="s">
        <v>217</v>
      </c>
      <c r="F29" s="54" t="n">
        <v>652.38</v>
      </c>
      <c r="G29" s="55"/>
      <c r="H29" s="56" t="str">
        <f aca="false">IF(ISBLANK(G29),"",IF(ISNUMBER(F29),ROUND(F29*G29,2),"Укажите цену"))</f>
        <v/>
      </c>
      <c r="I29" s="57" t="s">
        <v>936</v>
      </c>
      <c r="J29" s="57" t="s">
        <v>936</v>
      </c>
      <c r="K29" s="57" t="s">
        <v>936</v>
      </c>
      <c r="L29" s="57" t="s">
        <v>91</v>
      </c>
      <c r="M29" s="57" t="s">
        <v>92</v>
      </c>
      <c r="N29" s="57" t="n">
        <v>48</v>
      </c>
      <c r="O29" s="57" t="s">
        <v>2879</v>
      </c>
      <c r="P29" s="58" t="n">
        <v>0.036</v>
      </c>
      <c r="Q29" s="68" t="s">
        <v>2893</v>
      </c>
      <c r="R29" s="93" t="s">
        <v>2894</v>
      </c>
      <c r="S29" s="60" t="s">
        <v>96</v>
      </c>
      <c r="T29" s="204"/>
    </row>
    <row r="30" s="34" customFormat="true" ht="115" hidden="false" customHeight="true" outlineLevel="2" collapsed="false">
      <c r="A30" s="51" t="s">
        <v>2895</v>
      </c>
      <c r="B30" s="211"/>
      <c r="C30" s="57"/>
      <c r="D30" s="53" t="s">
        <v>2896</v>
      </c>
      <c r="E30" s="53" t="s">
        <v>217</v>
      </c>
      <c r="F30" s="54" t="n">
        <v>652.38</v>
      </c>
      <c r="G30" s="55"/>
      <c r="H30" s="56" t="str">
        <f aca="false">IF(ISBLANK(G30),"",IF(ISNUMBER(F30),ROUND(F30*G30,2),"Укажите цену"))</f>
        <v/>
      </c>
      <c r="I30" s="57" t="s">
        <v>936</v>
      </c>
      <c r="J30" s="57" t="s">
        <v>936</v>
      </c>
      <c r="K30" s="57" t="s">
        <v>936</v>
      </c>
      <c r="L30" s="57" t="s">
        <v>91</v>
      </c>
      <c r="M30" s="57" t="s">
        <v>92</v>
      </c>
      <c r="N30" s="57" t="n">
        <v>48</v>
      </c>
      <c r="O30" s="57" t="s">
        <v>2879</v>
      </c>
      <c r="P30" s="58" t="n">
        <v>0.036</v>
      </c>
      <c r="Q30" s="68" t="s">
        <v>2893</v>
      </c>
      <c r="R30" s="93" t="s">
        <v>2894</v>
      </c>
      <c r="S30" s="60" t="s">
        <v>96</v>
      </c>
      <c r="T30" s="204"/>
    </row>
    <row r="31" customFormat="false" ht="30" hidden="false" customHeight="true" outlineLevel="1" collapsed="false">
      <c r="F31" s="109" t="s">
        <v>633</v>
      </c>
      <c r="G31" s="109"/>
      <c r="H31" s="109" t="n">
        <f aca="false">IF(COUNTIFS(H5:H30,"Укажите цену")&gt;0,"Укажите цены",SUM(H5:H30))</f>
        <v>0</v>
      </c>
    </row>
    <row r="32" s="36" customFormat="true" ht="50" hidden="false" customHeight="true" outlineLevel="0" collapsed="false"/>
    <row r="33" s="36" customFormat="true" ht="50" hidden="false" customHeight="true" outlineLevel="0" collapsed="false"/>
    <row r="34" s="36" customFormat="true" ht="50" hidden="false" customHeight="true" outlineLevel="0" collapsed="false"/>
    <row r="35" s="36" customFormat="true" ht="50" hidden="false" customHeight="true" outlineLevel="0" collapsed="false"/>
    <row r="36" s="36" customFormat="true" ht="50" hidden="false" customHeight="true" outlineLevel="0" collapsed="false"/>
    <row r="37" s="36" customFormat="true" ht="50" hidden="false" customHeight="true" outlineLevel="0" collapsed="false"/>
    <row r="38" s="36" customFormat="true" ht="50" hidden="false" customHeight="true" outlineLevel="0" collapsed="false"/>
    <row r="39" s="36" customFormat="true" ht="50" hidden="false" customHeight="true" outlineLevel="0" collapsed="false"/>
    <row r="40" s="36" customFormat="true" ht="50" hidden="false" customHeight="true" outlineLevel="0" collapsed="false"/>
    <row r="41" s="36" customFormat="true" ht="50" hidden="false" customHeight="true" outlineLevel="0" collapsed="false"/>
    <row r="42" s="36" customFormat="true" ht="50" hidden="false" customHeight="true" outlineLevel="0" collapsed="false"/>
    <row r="43" s="36" customFormat="true" ht="50" hidden="false" customHeight="true" outlineLevel="0" collapsed="false"/>
  </sheetData>
  <mergeCells count="19">
    <mergeCell ref="A1:R1"/>
    <mergeCell ref="A2:H2"/>
    <mergeCell ref="A4:H4"/>
    <mergeCell ref="A10:H10"/>
    <mergeCell ref="A11:A14"/>
    <mergeCell ref="B11:B14"/>
    <mergeCell ref="C11:C14"/>
    <mergeCell ref="I11:I14"/>
    <mergeCell ref="J11:J14"/>
    <mergeCell ref="K11:K14"/>
    <mergeCell ref="L11:L14"/>
    <mergeCell ref="M11:M14"/>
    <mergeCell ref="N11:N14"/>
    <mergeCell ref="O11:O14"/>
    <mergeCell ref="P11:P14"/>
    <mergeCell ref="Q11:Q14"/>
    <mergeCell ref="R11:R14"/>
    <mergeCell ref="S11:S14"/>
    <mergeCell ref="F31:G31"/>
  </mergeCells>
  <hyperlinks>
    <hyperlink ref="R5" r:id="rId1" display="http://gofile.me/649X4/4y2Ky8UyF"/>
    <hyperlink ref="R6" r:id="rId2" display="http://gofile.me/649X4/4y2Ky8UyF"/>
    <hyperlink ref="R7" r:id="rId3" display="http://gofile.me/649X4/z2Uu6Wf2l"/>
    <hyperlink ref="R8" r:id="rId4" display="http://gofile.me/649X4/z2Uu6Wf2l"/>
    <hyperlink ref="R11" r:id="rId5" display="http://gofile.me/649X4/eALkteUE7"/>
    <hyperlink ref="R15" r:id="rId6" display="http://gofile.me/649X4/yjalJeTg0"/>
    <hyperlink ref="R16" r:id="rId7" display="http://gofile.me/649X4/yjalJeTg0"/>
    <hyperlink ref="R17" r:id="rId8" display="http://gofile.me/649X4/4zcs4eupd"/>
    <hyperlink ref="R18" r:id="rId9" display="http://gofile.me/649X4/4zcs4eupd"/>
    <hyperlink ref="R19" r:id="rId10" display="http://gofile.me/649X4/1EVlByxP6"/>
    <hyperlink ref="R20" r:id="rId11" display="http://gofile.me/649X4/1EVlByxP6"/>
    <hyperlink ref="R21" r:id="rId12" display="http://gofile.me/649X4/FDFl5Erdt"/>
    <hyperlink ref="R22" r:id="rId13" display="http://gofile.me/649X4/FDFl5Erdt"/>
    <hyperlink ref="R23" r:id="rId14" display="http://gofile.me/649X4/9aI16IBOS"/>
    <hyperlink ref="R24" r:id="rId15" display="http://gofile.me/649X4/9aI16IBOS"/>
    <hyperlink ref="R25" r:id="rId16" display="http://gofile.me/649X4/N2X44Z91j"/>
    <hyperlink ref="R26" r:id="rId17" display="http://gofile.me/649X4/N2X44Z91j"/>
    <hyperlink ref="R27" r:id="rId18" display="http://gofile.me/649X4/8ZCMmrIhO"/>
    <hyperlink ref="R28" r:id="rId19" display="http://gofile.me/649X4/8ZCMmrIhO"/>
    <hyperlink ref="R29" r:id="rId20" display="http://gofile.me/649X4/WtWdsmxGf"/>
    <hyperlink ref="R30" r:id="rId21" display="http://gofile.me/649X4/WtWdsmxGf"/>
  </hyperlinks>
  <printOptions headings="false" gridLines="false" gridLinesSet="true" horizontalCentered="false" verticalCentered="false"/>
  <pageMargins left="0.314583333333333" right="0.314583333333333" top="0.314583333333333" bottom="0.314583333333333"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9" man="true" max="16383" min="0"/>
  </rowBreaks>
  <colBreaks count="1" manualBreakCount="1">
    <brk id="17" man="true" max="65535" min="0"/>
  </colBreaks>
  <drawing r:id="rId2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W108"/>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75390625" defaultRowHeight="50.1" customHeight="true" zeroHeight="false" outlineLevelRow="2" outlineLevelCol="0"/>
  <cols>
    <col collapsed="false" customWidth="true" hidden="false" outlineLevel="0" max="1" min="1" style="114" width="46"/>
    <col collapsed="false" customWidth="true" hidden="false" outlineLevel="0" max="3" min="2" style="34" width="18"/>
    <col collapsed="false" customWidth="true" hidden="false" outlineLevel="0" max="4" min="4" style="39" width="20"/>
    <col collapsed="false" customWidth="true" hidden="false" outlineLevel="0" max="5" min="5" style="39" width="16"/>
    <col collapsed="false" customWidth="true" hidden="false" outlineLevel="0" max="6" min="6" style="36" width="22"/>
    <col collapsed="false" customWidth="true" hidden="false" outlineLevel="0" max="7" min="7" style="36" width="19"/>
    <col collapsed="false" customWidth="true" hidden="false" outlineLevel="0" max="8" min="8" style="36" width="23"/>
    <col collapsed="false" customWidth="true" hidden="false" outlineLevel="0" max="10" min="9" style="39" width="7.7"/>
    <col collapsed="false" customWidth="true" hidden="false" outlineLevel="0" max="11" min="11" style="39" width="9.7"/>
    <col collapsed="false" customWidth="true" hidden="false" outlineLevel="0" max="12" min="12" style="39" width="7.63"/>
    <col collapsed="false" customWidth="true" hidden="false" outlineLevel="0" max="13" min="13" style="39" width="10.7"/>
    <col collapsed="false" customWidth="true" hidden="false" outlineLevel="0" max="14" min="14" style="39" width="7.63"/>
    <col collapsed="false" customWidth="true" hidden="false" outlineLevel="0" max="15" min="15" style="39" width="10.7"/>
    <col collapsed="false" customWidth="true" hidden="false" outlineLevel="0" max="16" min="16" style="105" width="7.63"/>
    <col collapsed="false" customWidth="true" hidden="false" outlineLevel="0" max="17" min="17" style="39" width="70"/>
    <col collapsed="false" customWidth="true" hidden="false" outlineLevel="0" max="19" min="18" style="41" width="9.37"/>
    <col collapsed="false" customWidth="true" hidden="false" outlineLevel="0" max="28" min="20" style="34" width="9"/>
    <col collapsed="false" customWidth="false" hidden="false" outlineLevel="0" max="98" min="29" style="39" width="8.75"/>
  </cols>
  <sheetData>
    <row r="1" s="4" customFormat="true" ht="5" hidden="false" customHeight="true" outlineLevel="0" collapsed="false">
      <c r="A1" s="43"/>
      <c r="B1" s="43"/>
      <c r="C1" s="43"/>
      <c r="D1" s="43"/>
      <c r="E1" s="43"/>
      <c r="F1" s="43"/>
      <c r="G1" s="43"/>
      <c r="H1" s="43"/>
      <c r="I1" s="43"/>
      <c r="J1" s="43"/>
      <c r="K1" s="43"/>
      <c r="L1" s="43"/>
      <c r="M1" s="43"/>
      <c r="N1" s="43"/>
      <c r="O1" s="43"/>
      <c r="P1" s="43"/>
      <c r="Q1" s="43"/>
      <c r="R1" s="43"/>
      <c r="S1" s="117"/>
    </row>
    <row r="2" s="4" customFormat="true" ht="30" hidden="false" customHeight="true" outlineLevel="0" collapsed="false">
      <c r="A2" s="45" t="s">
        <v>2897</v>
      </c>
      <c r="B2" s="45"/>
      <c r="C2" s="45"/>
      <c r="D2" s="45"/>
      <c r="E2" s="45"/>
      <c r="F2" s="45"/>
      <c r="G2" s="45"/>
      <c r="H2" s="45"/>
      <c r="I2" s="46"/>
      <c r="J2" s="46"/>
      <c r="K2" s="46"/>
      <c r="L2" s="46"/>
      <c r="M2" s="46"/>
      <c r="N2" s="46"/>
      <c r="O2" s="46"/>
      <c r="P2" s="46"/>
      <c r="Q2" s="46"/>
      <c r="R2" s="46"/>
      <c r="S2" s="46"/>
    </row>
    <row r="3" s="4" customFormat="true" ht="48" hidden="false" customHeight="true" outlineLevel="1" collapsed="false">
      <c r="A3" s="47" t="s">
        <v>68</v>
      </c>
      <c r="B3" s="47" t="s">
        <v>69</v>
      </c>
      <c r="C3" s="47" t="s">
        <v>70</v>
      </c>
      <c r="D3" s="47" t="s">
        <v>71</v>
      </c>
      <c r="E3" s="47" t="s">
        <v>72</v>
      </c>
      <c r="F3" s="47" t="s">
        <v>73</v>
      </c>
      <c r="G3" s="47" t="s">
        <v>74</v>
      </c>
      <c r="H3" s="47" t="s">
        <v>75</v>
      </c>
      <c r="I3" s="47" t="s">
        <v>76</v>
      </c>
      <c r="J3" s="47" t="s">
        <v>77</v>
      </c>
      <c r="K3" s="47" t="s">
        <v>78</v>
      </c>
      <c r="L3" s="47" t="s">
        <v>79</v>
      </c>
      <c r="M3" s="47" t="s">
        <v>80</v>
      </c>
      <c r="N3" s="47" t="s">
        <v>81</v>
      </c>
      <c r="O3" s="47" t="s">
        <v>82</v>
      </c>
      <c r="P3" s="47" t="s">
        <v>83</v>
      </c>
      <c r="Q3" s="47" t="s">
        <v>84</v>
      </c>
      <c r="R3" s="47" t="s">
        <v>85</v>
      </c>
      <c r="S3" s="47" t="s">
        <v>86</v>
      </c>
    </row>
    <row r="4" s="50" customFormat="true" ht="27" hidden="false" customHeight="true" outlineLevel="1" collapsed="false">
      <c r="A4" s="49" t="s">
        <v>2898</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row>
    <row r="5" s="34" customFormat="true" ht="115" hidden="false" customHeight="true" outlineLevel="2" collapsed="false">
      <c r="A5" s="51" t="s">
        <v>2899</v>
      </c>
      <c r="B5" s="211"/>
      <c r="C5" s="57"/>
      <c r="D5" s="53" t="s">
        <v>2900</v>
      </c>
      <c r="E5" s="53" t="s">
        <v>217</v>
      </c>
      <c r="F5" s="54" t="n">
        <v>138.63</v>
      </c>
      <c r="G5" s="55"/>
      <c r="H5" s="56" t="str">
        <f aca="false">IF(ISBLANK(G5),"",IF(ISNUMBER(F5),ROUND(F5*G5,2),"Укажите цену"))</f>
        <v/>
      </c>
      <c r="I5" s="57" t="n">
        <v>61</v>
      </c>
      <c r="J5" s="57" t="n">
        <v>12.3</v>
      </c>
      <c r="K5" s="57" t="s">
        <v>2849</v>
      </c>
      <c r="L5" s="57" t="n">
        <v>28</v>
      </c>
      <c r="M5" s="57" t="s">
        <v>640</v>
      </c>
      <c r="N5" s="57" t="n">
        <v>168</v>
      </c>
      <c r="O5" s="57" t="s">
        <v>641</v>
      </c>
      <c r="P5" s="58" t="n">
        <v>0.074</v>
      </c>
      <c r="Q5" s="68" t="s">
        <v>2850</v>
      </c>
      <c r="R5" s="195" t="s">
        <v>2901</v>
      </c>
      <c r="S5" s="60" t="s">
        <v>96</v>
      </c>
      <c r="T5" s="204"/>
    </row>
    <row r="6" s="34" customFormat="true" ht="115" hidden="false" customHeight="true" outlineLevel="2" collapsed="false">
      <c r="A6" s="51" t="s">
        <v>2902</v>
      </c>
      <c r="B6" s="211"/>
      <c r="C6" s="57"/>
      <c r="D6" s="53" t="s">
        <v>2903</v>
      </c>
      <c r="E6" s="53" t="s">
        <v>217</v>
      </c>
      <c r="F6" s="54" t="n">
        <v>138.63</v>
      </c>
      <c r="G6" s="55"/>
      <c r="H6" s="56" t="str">
        <f aca="false">IF(ISBLANK(G6),"",IF(ISNUMBER(F6),ROUND(F6*G6,2),"Укажите цену"))</f>
        <v/>
      </c>
      <c r="I6" s="57" t="n">
        <v>62</v>
      </c>
      <c r="J6" s="57" t="n">
        <v>12.45</v>
      </c>
      <c r="K6" s="57" t="s">
        <v>2849</v>
      </c>
      <c r="L6" s="57" t="n">
        <v>28</v>
      </c>
      <c r="M6" s="57" t="s">
        <v>640</v>
      </c>
      <c r="N6" s="57" t="n">
        <v>168</v>
      </c>
      <c r="O6" s="57" t="s">
        <v>641</v>
      </c>
      <c r="P6" s="58" t="n">
        <v>0.074</v>
      </c>
      <c r="Q6" s="68" t="s">
        <v>2850</v>
      </c>
      <c r="R6" s="195" t="s">
        <v>2904</v>
      </c>
      <c r="S6" s="60" t="s">
        <v>96</v>
      </c>
      <c r="T6" s="204"/>
    </row>
    <row r="7" s="34" customFormat="true" ht="115" hidden="false" customHeight="true" outlineLevel="2" collapsed="false">
      <c r="A7" s="51" t="s">
        <v>2905</v>
      </c>
      <c r="B7" s="211"/>
      <c r="C7" s="57"/>
      <c r="D7" s="53" t="s">
        <v>2906</v>
      </c>
      <c r="E7" s="53" t="s">
        <v>217</v>
      </c>
      <c r="F7" s="54" t="n">
        <v>138.63</v>
      </c>
      <c r="G7" s="55"/>
      <c r="H7" s="56" t="str">
        <f aca="false">IF(ISBLANK(G7),"",IF(ISNUMBER(F7),ROUND(F7*G7,2),"Укажите цену"))</f>
        <v/>
      </c>
      <c r="I7" s="57" t="s">
        <v>936</v>
      </c>
      <c r="J7" s="57" t="s">
        <v>936</v>
      </c>
      <c r="K7" s="57" t="s">
        <v>936</v>
      </c>
      <c r="L7" s="57" t="n">
        <v>28</v>
      </c>
      <c r="M7" s="57" t="s">
        <v>640</v>
      </c>
      <c r="N7" s="57" t="n">
        <v>168</v>
      </c>
      <c r="O7" s="57" t="s">
        <v>641</v>
      </c>
      <c r="P7" s="58" t="n">
        <v>0.074</v>
      </c>
      <c r="Q7" s="68" t="s">
        <v>2850</v>
      </c>
      <c r="R7" s="195" t="s">
        <v>2907</v>
      </c>
      <c r="S7" s="60" t="s">
        <v>96</v>
      </c>
      <c r="T7" s="204"/>
    </row>
    <row r="8" s="34" customFormat="true" ht="115" hidden="false" customHeight="true" outlineLevel="2" collapsed="false">
      <c r="A8" s="51" t="s">
        <v>2908</v>
      </c>
      <c r="B8" s="211"/>
      <c r="C8" s="57"/>
      <c r="D8" s="53" t="s">
        <v>2909</v>
      </c>
      <c r="E8" s="53" t="s">
        <v>217</v>
      </c>
      <c r="F8" s="54" t="n">
        <v>138.63</v>
      </c>
      <c r="G8" s="55"/>
      <c r="H8" s="56" t="str">
        <f aca="false">IF(ISBLANK(G8),"",IF(ISNUMBER(F8),ROUND(F8*G8,2),"Укажите цену"))</f>
        <v/>
      </c>
      <c r="I8" s="57" t="n">
        <v>62</v>
      </c>
      <c r="J8" s="57" t="n">
        <v>12.45</v>
      </c>
      <c r="K8" s="57" t="s">
        <v>2849</v>
      </c>
      <c r="L8" s="57" t="n">
        <v>28</v>
      </c>
      <c r="M8" s="57" t="s">
        <v>640</v>
      </c>
      <c r="N8" s="57" t="n">
        <v>168</v>
      </c>
      <c r="O8" s="57" t="s">
        <v>641</v>
      </c>
      <c r="P8" s="58" t="n">
        <v>0.074</v>
      </c>
      <c r="Q8" s="68" t="s">
        <v>2850</v>
      </c>
      <c r="R8" s="195" t="s">
        <v>2910</v>
      </c>
      <c r="S8" s="60" t="s">
        <v>96</v>
      </c>
      <c r="T8" s="204"/>
    </row>
    <row r="9" s="34" customFormat="true" ht="115" hidden="false" customHeight="true" outlineLevel="2" collapsed="false">
      <c r="A9" s="51" t="s">
        <v>2911</v>
      </c>
      <c r="B9" s="211"/>
      <c r="C9" s="57"/>
      <c r="D9" s="53" t="s">
        <v>2912</v>
      </c>
      <c r="E9" s="53" t="s">
        <v>217</v>
      </c>
      <c r="F9" s="54" t="n">
        <v>138.63</v>
      </c>
      <c r="G9" s="55"/>
      <c r="H9" s="56" t="str">
        <f aca="false">IF(ISBLANK(G9),"",IF(ISNUMBER(F9),ROUND(F9*G9,2),"Укажите цену"))</f>
        <v/>
      </c>
      <c r="I9" s="57" t="n">
        <v>65</v>
      </c>
      <c r="J9" s="57" t="n">
        <v>13.05</v>
      </c>
      <c r="K9" s="57" t="s">
        <v>2849</v>
      </c>
      <c r="L9" s="57" t="n">
        <v>28</v>
      </c>
      <c r="M9" s="57" t="s">
        <v>640</v>
      </c>
      <c r="N9" s="57" t="n">
        <v>168</v>
      </c>
      <c r="O9" s="57" t="s">
        <v>641</v>
      </c>
      <c r="P9" s="58" t="n">
        <v>0.074</v>
      </c>
      <c r="Q9" s="68" t="s">
        <v>2850</v>
      </c>
      <c r="R9" s="195" t="s">
        <v>2910</v>
      </c>
      <c r="S9" s="60" t="s">
        <v>96</v>
      </c>
      <c r="T9" s="204"/>
    </row>
    <row r="10" s="34" customFormat="true" ht="115" hidden="false" customHeight="true" outlineLevel="2" collapsed="false">
      <c r="A10" s="51" t="s">
        <v>2913</v>
      </c>
      <c r="B10" s="211"/>
      <c r="C10" s="57"/>
      <c r="D10" s="53" t="s">
        <v>2914</v>
      </c>
      <c r="E10" s="53" t="s">
        <v>217</v>
      </c>
      <c r="F10" s="54" t="n">
        <v>114.17</v>
      </c>
      <c r="G10" s="55"/>
      <c r="H10" s="56" t="str">
        <f aca="false">IF(ISBLANK(G10),"",IF(ISNUMBER(F10),ROUND(F10*G10,2),"Укажите цену"))</f>
        <v/>
      </c>
      <c r="I10" s="57" t="n">
        <v>61</v>
      </c>
      <c r="J10" s="57" t="n">
        <v>12.15</v>
      </c>
      <c r="K10" s="57" t="s">
        <v>2849</v>
      </c>
      <c r="L10" s="57" t="n">
        <v>28</v>
      </c>
      <c r="M10" s="57" t="s">
        <v>640</v>
      </c>
      <c r="N10" s="57" t="n">
        <v>168</v>
      </c>
      <c r="O10" s="57" t="s">
        <v>641</v>
      </c>
      <c r="P10" s="58" t="n">
        <v>0.074</v>
      </c>
      <c r="Q10" s="68" t="s">
        <v>2856</v>
      </c>
      <c r="R10" s="195" t="s">
        <v>2915</v>
      </c>
      <c r="S10" s="60" t="s">
        <v>96</v>
      </c>
      <c r="T10" s="204"/>
    </row>
    <row r="11" s="34" customFormat="true" ht="115" hidden="false" customHeight="true" outlineLevel="2" collapsed="false">
      <c r="A11" s="51" t="s">
        <v>2916</v>
      </c>
      <c r="B11" s="211"/>
      <c r="C11" s="57"/>
      <c r="D11" s="53" t="s">
        <v>2917</v>
      </c>
      <c r="E11" s="53" t="s">
        <v>217</v>
      </c>
      <c r="F11" s="54" t="n">
        <v>114.17</v>
      </c>
      <c r="G11" s="55"/>
      <c r="H11" s="56" t="str">
        <f aca="false">IF(ISBLANK(G11),"",IF(ISNUMBER(F11),ROUND(F11*G11,2),"Укажите цену"))</f>
        <v/>
      </c>
      <c r="I11" s="57" t="n">
        <v>61</v>
      </c>
      <c r="J11" s="57" t="n">
        <v>12.35</v>
      </c>
      <c r="K11" s="57" t="s">
        <v>2849</v>
      </c>
      <c r="L11" s="57" t="n">
        <v>28</v>
      </c>
      <c r="M11" s="57" t="s">
        <v>640</v>
      </c>
      <c r="N11" s="57" t="n">
        <v>168</v>
      </c>
      <c r="O11" s="57" t="s">
        <v>641</v>
      </c>
      <c r="P11" s="58" t="n">
        <v>0.074</v>
      </c>
      <c r="Q11" s="68" t="s">
        <v>2856</v>
      </c>
      <c r="R11" s="195" t="s">
        <v>2918</v>
      </c>
      <c r="S11" s="60" t="s">
        <v>96</v>
      </c>
      <c r="T11" s="204"/>
    </row>
    <row r="12" s="34" customFormat="true" ht="115" hidden="false" customHeight="true" outlineLevel="2" collapsed="false">
      <c r="A12" s="51" t="s">
        <v>2919</v>
      </c>
      <c r="B12" s="211"/>
      <c r="C12" s="57"/>
      <c r="D12" s="53" t="s">
        <v>2920</v>
      </c>
      <c r="E12" s="53" t="s">
        <v>217</v>
      </c>
      <c r="F12" s="54" t="n">
        <v>114.17</v>
      </c>
      <c r="G12" s="55"/>
      <c r="H12" s="56" t="str">
        <f aca="false">IF(ISBLANK(G12),"",IF(ISNUMBER(F12),ROUND(F12*G12,2),"Укажите цену"))</f>
        <v/>
      </c>
      <c r="I12" s="57" t="s">
        <v>936</v>
      </c>
      <c r="J12" s="57" t="s">
        <v>936</v>
      </c>
      <c r="K12" s="57" t="s">
        <v>936</v>
      </c>
      <c r="L12" s="57" t="n">
        <v>28</v>
      </c>
      <c r="M12" s="57" t="s">
        <v>640</v>
      </c>
      <c r="N12" s="57" t="n">
        <v>168</v>
      </c>
      <c r="O12" s="57" t="s">
        <v>641</v>
      </c>
      <c r="P12" s="58" t="n">
        <v>0.074</v>
      </c>
      <c r="Q12" s="68" t="s">
        <v>2856</v>
      </c>
      <c r="R12" s="195" t="s">
        <v>2921</v>
      </c>
      <c r="S12" s="60" t="s">
        <v>96</v>
      </c>
      <c r="T12" s="204"/>
    </row>
    <row r="13" s="34" customFormat="true" ht="115" hidden="false" customHeight="true" outlineLevel="2" collapsed="false">
      <c r="A13" s="51" t="s">
        <v>2922</v>
      </c>
      <c r="B13" s="211"/>
      <c r="C13" s="57"/>
      <c r="D13" s="53" t="s">
        <v>2923</v>
      </c>
      <c r="E13" s="53" t="s">
        <v>217</v>
      </c>
      <c r="F13" s="54" t="n">
        <v>546.37</v>
      </c>
      <c r="G13" s="55"/>
      <c r="H13" s="56" t="str">
        <f aca="false">IF(ISBLANK(G13),"",IF(ISNUMBER(F13),ROUND(F13*G13,2),"Укажите цену"))</f>
        <v/>
      </c>
      <c r="I13" s="57" t="n">
        <v>178</v>
      </c>
      <c r="J13" s="57" t="n">
        <v>19.75</v>
      </c>
      <c r="K13" s="57" t="s">
        <v>2872</v>
      </c>
      <c r="L13" s="57" t="s">
        <v>91</v>
      </c>
      <c r="M13" s="57" t="s">
        <v>92</v>
      </c>
      <c r="N13" s="57" t="n">
        <v>100</v>
      </c>
      <c r="O13" s="57" t="s">
        <v>2865</v>
      </c>
      <c r="P13" s="58" t="n">
        <v>0.074</v>
      </c>
      <c r="Q13" s="68" t="s">
        <v>2866</v>
      </c>
      <c r="R13" s="195" t="s">
        <v>2924</v>
      </c>
      <c r="S13" s="60" t="s">
        <v>96</v>
      </c>
      <c r="T13" s="204"/>
    </row>
    <row r="14" s="34" customFormat="true" ht="115" hidden="false" customHeight="true" outlineLevel="2" collapsed="false">
      <c r="A14" s="51" t="s">
        <v>2925</v>
      </c>
      <c r="B14" s="211"/>
      <c r="C14" s="57"/>
      <c r="D14" s="53" t="s">
        <v>2926</v>
      </c>
      <c r="E14" s="53" t="s">
        <v>217</v>
      </c>
      <c r="F14" s="54" t="n">
        <v>570.83</v>
      </c>
      <c r="G14" s="55"/>
      <c r="H14" s="56" t="str">
        <f aca="false">IF(ISBLANK(G14),"",IF(ISNUMBER(F14),ROUND(F14*G14,2),"Укажите цену"))</f>
        <v/>
      </c>
      <c r="I14" s="57" t="n">
        <v>191</v>
      </c>
      <c r="J14" s="57" t="n">
        <v>20.55</v>
      </c>
      <c r="K14" s="57" t="s">
        <v>2872</v>
      </c>
      <c r="L14" s="57" t="s">
        <v>91</v>
      </c>
      <c r="M14" s="57" t="s">
        <v>92</v>
      </c>
      <c r="N14" s="57" t="n">
        <v>100</v>
      </c>
      <c r="O14" s="57" t="s">
        <v>2865</v>
      </c>
      <c r="P14" s="58" t="n">
        <v>0.074</v>
      </c>
      <c r="Q14" s="68" t="s">
        <v>2866</v>
      </c>
      <c r="R14" s="195" t="s">
        <v>2927</v>
      </c>
      <c r="S14" s="60" t="s">
        <v>96</v>
      </c>
      <c r="T14" s="204"/>
    </row>
    <row r="15" s="34" customFormat="true" ht="115" hidden="false" customHeight="true" outlineLevel="2" collapsed="false">
      <c r="A15" s="51" t="s">
        <v>2928</v>
      </c>
      <c r="B15" s="211"/>
      <c r="C15" s="57"/>
      <c r="D15" s="53" t="s">
        <v>2929</v>
      </c>
      <c r="E15" s="53" t="s">
        <v>217</v>
      </c>
      <c r="F15" s="54" t="n">
        <v>570.83</v>
      </c>
      <c r="G15" s="55"/>
      <c r="H15" s="56" t="str">
        <f aca="false">IF(ISBLANK(G15),"",IF(ISNUMBER(F15),ROUND(F15*G15,2),"Укажите цену"))</f>
        <v/>
      </c>
      <c r="I15" s="57" t="s">
        <v>936</v>
      </c>
      <c r="J15" s="57" t="s">
        <v>936</v>
      </c>
      <c r="K15" s="57" t="s">
        <v>936</v>
      </c>
      <c r="L15" s="57" t="s">
        <v>91</v>
      </c>
      <c r="M15" s="57" t="s">
        <v>92</v>
      </c>
      <c r="N15" s="57" t="n">
        <v>100</v>
      </c>
      <c r="O15" s="57" t="s">
        <v>2865</v>
      </c>
      <c r="P15" s="58" t="n">
        <v>0.074</v>
      </c>
      <c r="Q15" s="68" t="s">
        <v>2866</v>
      </c>
      <c r="R15" s="195" t="s">
        <v>2930</v>
      </c>
      <c r="S15" s="60" t="s">
        <v>96</v>
      </c>
      <c r="T15" s="204"/>
    </row>
    <row r="16" s="34" customFormat="true" ht="115" hidden="false" customHeight="true" outlineLevel="2" collapsed="false">
      <c r="A16" s="51" t="s">
        <v>2931</v>
      </c>
      <c r="B16" s="211"/>
      <c r="C16" s="57"/>
      <c r="D16" s="53" t="s">
        <v>2932</v>
      </c>
      <c r="E16" s="53" t="s">
        <v>217</v>
      </c>
      <c r="F16" s="54" t="n">
        <v>570.83</v>
      </c>
      <c r="G16" s="55"/>
      <c r="H16" s="56" t="str">
        <f aca="false">IF(ISBLANK(G16),"",IF(ISNUMBER(F16),ROUND(F16*G16,2),"Укажите цену"))</f>
        <v/>
      </c>
      <c r="I16" s="57" t="n">
        <v>195</v>
      </c>
      <c r="J16" s="57" t="n">
        <v>20.95</v>
      </c>
      <c r="K16" s="57" t="s">
        <v>2862</v>
      </c>
      <c r="L16" s="57" t="s">
        <v>91</v>
      </c>
      <c r="M16" s="57" t="s">
        <v>92</v>
      </c>
      <c r="N16" s="57" t="n">
        <v>100</v>
      </c>
      <c r="O16" s="57" t="s">
        <v>2865</v>
      </c>
      <c r="P16" s="58" t="n">
        <v>0.074</v>
      </c>
      <c r="Q16" s="68" t="s">
        <v>2866</v>
      </c>
      <c r="R16" s="195" t="s">
        <v>2933</v>
      </c>
      <c r="S16" s="60" t="s">
        <v>96</v>
      </c>
      <c r="T16" s="204"/>
    </row>
    <row r="17" s="34" customFormat="true" ht="115" hidden="false" customHeight="true" outlineLevel="2" collapsed="false">
      <c r="A17" s="51" t="s">
        <v>2934</v>
      </c>
      <c r="B17" s="211"/>
      <c r="C17" s="57"/>
      <c r="D17" s="53" t="s">
        <v>2935</v>
      </c>
      <c r="E17" s="53" t="s">
        <v>217</v>
      </c>
      <c r="F17" s="54" t="n">
        <v>570.83</v>
      </c>
      <c r="G17" s="55"/>
      <c r="H17" s="56" t="str">
        <f aca="false">IF(ISBLANK(G17),"",IF(ISNUMBER(F17),ROUND(F17*G17,2),"Укажите цену"))</f>
        <v/>
      </c>
      <c r="I17" s="57" t="n">
        <v>216</v>
      </c>
      <c r="J17" s="57" t="n">
        <v>22.9</v>
      </c>
      <c r="K17" s="57" t="s">
        <v>2872</v>
      </c>
      <c r="L17" s="57" t="s">
        <v>91</v>
      </c>
      <c r="M17" s="57" t="s">
        <v>92</v>
      </c>
      <c r="N17" s="57" t="n">
        <v>100</v>
      </c>
      <c r="O17" s="57" t="s">
        <v>2865</v>
      </c>
      <c r="P17" s="58" t="n">
        <v>0.074</v>
      </c>
      <c r="Q17" s="68" t="s">
        <v>2866</v>
      </c>
      <c r="R17" s="195" t="s">
        <v>2933</v>
      </c>
      <c r="S17" s="60" t="s">
        <v>96</v>
      </c>
      <c r="T17" s="204"/>
    </row>
    <row r="18" s="34" customFormat="true" ht="115" hidden="false" customHeight="true" outlineLevel="2" collapsed="false">
      <c r="A18" s="51" t="s">
        <v>2936</v>
      </c>
      <c r="B18" s="211"/>
      <c r="C18" s="57"/>
      <c r="D18" s="53" t="s">
        <v>2937</v>
      </c>
      <c r="E18" s="53" t="s">
        <v>217</v>
      </c>
      <c r="F18" s="54" t="n">
        <v>342.5</v>
      </c>
      <c r="G18" s="55"/>
      <c r="H18" s="56" t="str">
        <f aca="false">IF(ISBLANK(G18),"",IF(ISNUMBER(F18),ROUND(F18*G18,2),"Укажите цену"))</f>
        <v/>
      </c>
      <c r="I18" s="57" t="n">
        <v>172</v>
      </c>
      <c r="J18" s="57" t="n">
        <v>18.95</v>
      </c>
      <c r="K18" s="57" t="s">
        <v>2872</v>
      </c>
      <c r="L18" s="57" t="s">
        <v>91</v>
      </c>
      <c r="M18" s="57" t="s">
        <v>92</v>
      </c>
      <c r="N18" s="57" t="n">
        <v>100</v>
      </c>
      <c r="O18" s="57" t="s">
        <v>2865</v>
      </c>
      <c r="P18" s="58" t="n">
        <v>0.074</v>
      </c>
      <c r="Q18" s="68" t="s">
        <v>2873</v>
      </c>
      <c r="R18" s="195" t="s">
        <v>2938</v>
      </c>
      <c r="S18" s="60" t="s">
        <v>96</v>
      </c>
      <c r="T18" s="204"/>
    </row>
    <row r="19" s="34" customFormat="true" ht="115" hidden="false" customHeight="true" outlineLevel="2" collapsed="false">
      <c r="A19" s="51" t="s">
        <v>2939</v>
      </c>
      <c r="B19" s="211"/>
      <c r="C19" s="57"/>
      <c r="D19" s="53" t="s">
        <v>2940</v>
      </c>
      <c r="E19" s="53" t="s">
        <v>217</v>
      </c>
      <c r="F19" s="54" t="n">
        <v>358.81</v>
      </c>
      <c r="G19" s="55"/>
      <c r="H19" s="56" t="str">
        <f aca="false">IF(ISBLANK(G19),"",IF(ISNUMBER(F19),ROUND(F19*G19,2),"Укажите цену"))</f>
        <v/>
      </c>
      <c r="I19" s="57" t="n">
        <v>182</v>
      </c>
      <c r="J19" s="57" t="n">
        <v>19.75</v>
      </c>
      <c r="K19" s="57" t="s">
        <v>2872</v>
      </c>
      <c r="L19" s="57" t="s">
        <v>91</v>
      </c>
      <c r="M19" s="57" t="s">
        <v>92</v>
      </c>
      <c r="N19" s="57" t="n">
        <v>100</v>
      </c>
      <c r="O19" s="57" t="s">
        <v>2865</v>
      </c>
      <c r="P19" s="58" t="n">
        <v>0.074</v>
      </c>
      <c r="Q19" s="68" t="s">
        <v>2873</v>
      </c>
      <c r="R19" s="195" t="s">
        <v>2941</v>
      </c>
      <c r="S19" s="60" t="s">
        <v>96</v>
      </c>
      <c r="T19" s="204"/>
    </row>
    <row r="20" s="34" customFormat="true" ht="115" hidden="false" customHeight="true" outlineLevel="2" collapsed="false">
      <c r="A20" s="51" t="s">
        <v>2942</v>
      </c>
      <c r="B20" s="211"/>
      <c r="C20" s="57"/>
      <c r="D20" s="53" t="s">
        <v>2943</v>
      </c>
      <c r="E20" s="53" t="s">
        <v>217</v>
      </c>
      <c r="F20" s="54" t="n">
        <v>358.81</v>
      </c>
      <c r="G20" s="55"/>
      <c r="H20" s="56" t="str">
        <f aca="false">IF(ISBLANK(G20),"",IF(ISNUMBER(F20),ROUND(F20*G20,2),"Укажите цену"))</f>
        <v/>
      </c>
      <c r="I20" s="57" t="s">
        <v>936</v>
      </c>
      <c r="J20" s="57" t="s">
        <v>936</v>
      </c>
      <c r="K20" s="57" t="s">
        <v>936</v>
      </c>
      <c r="L20" s="57" t="s">
        <v>91</v>
      </c>
      <c r="M20" s="57" t="s">
        <v>92</v>
      </c>
      <c r="N20" s="57" t="n">
        <v>100</v>
      </c>
      <c r="O20" s="57" t="s">
        <v>2865</v>
      </c>
      <c r="P20" s="58" t="n">
        <v>0.074</v>
      </c>
      <c r="Q20" s="68" t="s">
        <v>2873</v>
      </c>
      <c r="R20" s="195" t="s">
        <v>2944</v>
      </c>
      <c r="S20" s="60" t="s">
        <v>96</v>
      </c>
      <c r="T20" s="204"/>
    </row>
    <row r="21" s="62" customFormat="true" ht="115" hidden="false" customHeight="true" outlineLevel="2" collapsed="false">
      <c r="A21" s="51" t="s">
        <v>2945</v>
      </c>
      <c r="B21" s="211"/>
      <c r="C21" s="57"/>
      <c r="D21" s="53" t="s">
        <v>2946</v>
      </c>
      <c r="E21" s="53" t="s">
        <v>89</v>
      </c>
      <c r="F21" s="54" t="n">
        <v>538.21</v>
      </c>
      <c r="G21" s="55"/>
      <c r="H21" s="56" t="str">
        <f aca="false">IF(ISBLANK(G21),"",IF(ISNUMBER(F21),ROUND(F21*G21,2),"Укажите цену"))</f>
        <v/>
      </c>
      <c r="I21" s="57" t="n">
        <v>278</v>
      </c>
      <c r="J21" s="26" t="n">
        <v>14</v>
      </c>
      <c r="K21" s="57" t="s">
        <v>2947</v>
      </c>
      <c r="L21" s="57" t="s">
        <v>91</v>
      </c>
      <c r="M21" s="57" t="s">
        <v>92</v>
      </c>
      <c r="N21" s="57" t="n">
        <v>48</v>
      </c>
      <c r="O21" s="57" t="s">
        <v>2879</v>
      </c>
      <c r="P21" s="58" t="n">
        <v>0.036</v>
      </c>
      <c r="Q21" s="59" t="s">
        <v>2948</v>
      </c>
      <c r="R21" s="196" t="s">
        <v>2949</v>
      </c>
      <c r="S21" s="148" t="s">
        <v>96</v>
      </c>
      <c r="T21" s="87"/>
      <c r="U21" s="87"/>
      <c r="V21" s="61"/>
      <c r="W21" s="61"/>
      <c r="X21" s="61"/>
      <c r="Y21" s="61"/>
      <c r="Z21" s="61"/>
    </row>
    <row r="22" s="34" customFormat="true" ht="115" hidden="false" customHeight="true" outlineLevel="2" collapsed="false">
      <c r="A22" s="51" t="s">
        <v>2950</v>
      </c>
      <c r="B22" s="211"/>
      <c r="C22" s="57"/>
      <c r="D22" s="53" t="s">
        <v>2951</v>
      </c>
      <c r="E22" s="53" t="s">
        <v>217</v>
      </c>
      <c r="F22" s="54" t="n">
        <v>538.21</v>
      </c>
      <c r="G22" s="55"/>
      <c r="H22" s="56" t="str">
        <f aca="false">IF(ISBLANK(G22),"",IF(ISNUMBER(F22),ROUND(F22*G22,2),"Укажите цену"))</f>
        <v/>
      </c>
      <c r="I22" s="57" t="s">
        <v>936</v>
      </c>
      <c r="J22" s="57" t="s">
        <v>936</v>
      </c>
      <c r="K22" s="57" t="s">
        <v>936</v>
      </c>
      <c r="L22" s="57" t="s">
        <v>91</v>
      </c>
      <c r="M22" s="57" t="s">
        <v>92</v>
      </c>
      <c r="N22" s="57" t="n">
        <v>48</v>
      </c>
      <c r="O22" s="57" t="s">
        <v>2879</v>
      </c>
      <c r="P22" s="58" t="n">
        <v>0.036</v>
      </c>
      <c r="Q22" s="68" t="s">
        <v>2880</v>
      </c>
      <c r="R22" s="93" t="s">
        <v>2952</v>
      </c>
      <c r="S22" s="60" t="s">
        <v>96</v>
      </c>
      <c r="T22" s="204"/>
    </row>
    <row r="23" s="62" customFormat="true" ht="115" hidden="false" customHeight="true" outlineLevel="2" collapsed="false">
      <c r="A23" s="51" t="s">
        <v>2953</v>
      </c>
      <c r="B23" s="211"/>
      <c r="C23" s="57"/>
      <c r="D23" s="53" t="s">
        <v>2954</v>
      </c>
      <c r="E23" s="53" t="s">
        <v>89</v>
      </c>
      <c r="F23" s="54" t="n">
        <v>652.38</v>
      </c>
      <c r="G23" s="55"/>
      <c r="H23" s="56" t="str">
        <f aca="false">IF(ISBLANK(G23),"",IF(ISNUMBER(F23),ROUND(F23*G23,2),"Укажите цену"))</f>
        <v/>
      </c>
      <c r="I23" s="57" t="n">
        <v>286</v>
      </c>
      <c r="J23" s="26" t="n">
        <v>14.4</v>
      </c>
      <c r="K23" s="57" t="s">
        <v>2947</v>
      </c>
      <c r="L23" s="57" t="s">
        <v>91</v>
      </c>
      <c r="M23" s="57" t="s">
        <v>92</v>
      </c>
      <c r="N23" s="57" t="n">
        <v>48</v>
      </c>
      <c r="O23" s="57" t="s">
        <v>2879</v>
      </c>
      <c r="P23" s="58" t="n">
        <v>0.036</v>
      </c>
      <c r="Q23" s="59" t="s">
        <v>2955</v>
      </c>
      <c r="R23" s="196" t="s">
        <v>2956</v>
      </c>
      <c r="S23" s="148" t="s">
        <v>96</v>
      </c>
      <c r="T23" s="87"/>
      <c r="U23" s="87"/>
      <c r="V23" s="61"/>
      <c r="W23" s="61"/>
      <c r="X23" s="61"/>
      <c r="Y23" s="61"/>
      <c r="Z23" s="61"/>
    </row>
    <row r="24" s="34" customFormat="true" ht="115" hidden="false" customHeight="true" outlineLevel="2" collapsed="false">
      <c r="A24" s="51" t="s">
        <v>2957</v>
      </c>
      <c r="B24" s="211"/>
      <c r="C24" s="57"/>
      <c r="D24" s="53" t="s">
        <v>2958</v>
      </c>
      <c r="E24" s="53" t="s">
        <v>217</v>
      </c>
      <c r="F24" s="54" t="n">
        <v>652.38</v>
      </c>
      <c r="G24" s="55"/>
      <c r="H24" s="56" t="str">
        <f aca="false">IF(ISBLANK(G24),"",IF(ISNUMBER(F24),ROUND(F24*G24,2),"Укажите цену"))</f>
        <v/>
      </c>
      <c r="I24" s="57" t="s">
        <v>936</v>
      </c>
      <c r="J24" s="57" t="s">
        <v>936</v>
      </c>
      <c r="K24" s="57" t="s">
        <v>936</v>
      </c>
      <c r="L24" s="57" t="s">
        <v>91</v>
      </c>
      <c r="M24" s="57" t="s">
        <v>92</v>
      </c>
      <c r="N24" s="57" t="n">
        <v>48</v>
      </c>
      <c r="O24" s="57" t="s">
        <v>2879</v>
      </c>
      <c r="P24" s="58" t="n">
        <v>0.036</v>
      </c>
      <c r="Q24" s="68" t="s">
        <v>2893</v>
      </c>
      <c r="R24" s="93" t="s">
        <v>2959</v>
      </c>
      <c r="S24" s="60" t="s">
        <v>96</v>
      </c>
      <c r="T24" s="204"/>
    </row>
    <row r="25" s="62" customFormat="true" ht="115" hidden="false" customHeight="true" outlineLevel="2" collapsed="false">
      <c r="A25" s="51" t="s">
        <v>2960</v>
      </c>
      <c r="B25" s="211"/>
      <c r="C25" s="57"/>
      <c r="D25" s="53" t="s">
        <v>2961</v>
      </c>
      <c r="E25" s="53" t="s">
        <v>89</v>
      </c>
      <c r="F25" s="54" t="n">
        <v>432.2</v>
      </c>
      <c r="G25" s="55"/>
      <c r="H25" s="56" t="str">
        <f aca="false">IF(ISBLANK(G25),"",IF(ISNUMBER(F25),ROUND(F25*G25,2),"Укажите цену"))</f>
        <v/>
      </c>
      <c r="I25" s="57" t="n">
        <v>273</v>
      </c>
      <c r="J25" s="26" t="n">
        <v>13.7</v>
      </c>
      <c r="K25" s="57" t="s">
        <v>2947</v>
      </c>
      <c r="L25" s="57" t="s">
        <v>91</v>
      </c>
      <c r="M25" s="57" t="s">
        <v>92</v>
      </c>
      <c r="N25" s="57" t="n">
        <v>48</v>
      </c>
      <c r="O25" s="57" t="s">
        <v>2879</v>
      </c>
      <c r="P25" s="58" t="n">
        <v>0.036</v>
      </c>
      <c r="Q25" s="59" t="s">
        <v>2962</v>
      </c>
      <c r="R25" s="196" t="s">
        <v>2963</v>
      </c>
      <c r="S25" s="148" t="s">
        <v>96</v>
      </c>
      <c r="T25" s="87"/>
      <c r="U25" s="87"/>
      <c r="V25" s="61"/>
      <c r="W25" s="61"/>
      <c r="X25" s="61"/>
      <c r="Y25" s="61"/>
      <c r="Z25" s="61"/>
    </row>
    <row r="26" s="34" customFormat="true" ht="115" hidden="false" customHeight="true" outlineLevel="2" collapsed="false">
      <c r="A26" s="51" t="s">
        <v>2964</v>
      </c>
      <c r="B26" s="211"/>
      <c r="C26" s="57"/>
      <c r="D26" s="53" t="s">
        <v>2965</v>
      </c>
      <c r="E26" s="53" t="s">
        <v>217</v>
      </c>
      <c r="F26" s="54" t="n">
        <v>432.2</v>
      </c>
      <c r="G26" s="55"/>
      <c r="H26" s="56" t="str">
        <f aca="false">IF(ISBLANK(G26),"",IF(ISNUMBER(F26),ROUND(F26*G26,2),"Укажите цену"))</f>
        <v/>
      </c>
      <c r="I26" s="57" t="s">
        <v>936</v>
      </c>
      <c r="J26" s="57" t="s">
        <v>936</v>
      </c>
      <c r="K26" s="57" t="s">
        <v>936</v>
      </c>
      <c r="L26" s="57" t="s">
        <v>91</v>
      </c>
      <c r="M26" s="57" t="s">
        <v>92</v>
      </c>
      <c r="N26" s="57" t="n">
        <v>48</v>
      </c>
      <c r="O26" s="57" t="s">
        <v>2879</v>
      </c>
      <c r="P26" s="58" t="n">
        <v>0.036</v>
      </c>
      <c r="Q26" s="68" t="s">
        <v>2966</v>
      </c>
      <c r="R26" s="93" t="s">
        <v>2967</v>
      </c>
      <c r="S26" s="60" t="s">
        <v>96</v>
      </c>
      <c r="T26" s="204"/>
    </row>
    <row r="27" s="34" customFormat="true" ht="115" hidden="false" customHeight="true" outlineLevel="2" collapsed="false">
      <c r="A27" s="51" t="s">
        <v>2968</v>
      </c>
      <c r="B27" s="211"/>
      <c r="C27" s="57"/>
      <c r="D27" s="53" t="s">
        <v>2969</v>
      </c>
      <c r="E27" s="53" t="s">
        <v>217</v>
      </c>
      <c r="F27" s="54" t="n">
        <v>432.2</v>
      </c>
      <c r="G27" s="55"/>
      <c r="H27" s="56" t="str">
        <f aca="false">IF(ISBLANK(G27),"",IF(ISNUMBER(F27),ROUND(F27*G27,2),"Укажите цену"))</f>
        <v/>
      </c>
      <c r="I27" s="57" t="s">
        <v>936</v>
      </c>
      <c r="J27" s="57" t="s">
        <v>936</v>
      </c>
      <c r="K27" s="57" t="s">
        <v>936</v>
      </c>
      <c r="L27" s="57" t="s">
        <v>91</v>
      </c>
      <c r="M27" s="57" t="s">
        <v>92</v>
      </c>
      <c r="N27" s="57" t="n">
        <v>48</v>
      </c>
      <c r="O27" s="57" t="s">
        <v>2879</v>
      </c>
      <c r="P27" s="58" t="n">
        <v>0.036</v>
      </c>
      <c r="Q27" s="68" t="s">
        <v>2966</v>
      </c>
      <c r="R27" s="93" t="s">
        <v>2970</v>
      </c>
      <c r="S27" s="60" t="s">
        <v>96</v>
      </c>
      <c r="T27" s="204"/>
    </row>
    <row r="28" s="34" customFormat="true" ht="115" hidden="false" customHeight="true" outlineLevel="2" collapsed="false">
      <c r="A28" s="51" t="s">
        <v>2971</v>
      </c>
      <c r="B28" s="211"/>
      <c r="C28" s="57"/>
      <c r="D28" s="53" t="s">
        <v>2972</v>
      </c>
      <c r="E28" s="53" t="s">
        <v>217</v>
      </c>
      <c r="F28" s="54" t="n">
        <v>432.2</v>
      </c>
      <c r="G28" s="55"/>
      <c r="H28" s="56" t="str">
        <f aca="false">IF(ISBLANK(G28),"",IF(ISNUMBER(F28),ROUND(F28*G28,2),"Укажите цену"))</f>
        <v/>
      </c>
      <c r="I28" s="57" t="s">
        <v>936</v>
      </c>
      <c r="J28" s="57" t="s">
        <v>936</v>
      </c>
      <c r="K28" s="57" t="s">
        <v>936</v>
      </c>
      <c r="L28" s="57" t="s">
        <v>91</v>
      </c>
      <c r="M28" s="57" t="s">
        <v>92</v>
      </c>
      <c r="N28" s="57" t="n">
        <v>48</v>
      </c>
      <c r="O28" s="57" t="s">
        <v>2879</v>
      </c>
      <c r="P28" s="58" t="n">
        <v>0.036</v>
      </c>
      <c r="Q28" s="68" t="s">
        <v>2966</v>
      </c>
      <c r="R28" s="93" t="s">
        <v>2970</v>
      </c>
      <c r="S28" s="60" t="s">
        <v>96</v>
      </c>
      <c r="T28" s="204"/>
    </row>
    <row r="29" s="50" customFormat="true" ht="27" hidden="false" customHeight="true" outlineLevel="1" collapsed="false">
      <c r="A29" s="49" t="s">
        <v>2973</v>
      </c>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49"/>
      <c r="IQ29" s="49"/>
      <c r="IR29" s="49"/>
      <c r="IS29" s="49"/>
      <c r="IT29" s="49"/>
      <c r="IU29" s="49"/>
      <c r="IV29" s="49"/>
      <c r="IW29" s="49"/>
    </row>
    <row r="30" s="34" customFormat="true" ht="115" hidden="false" customHeight="true" outlineLevel="2" collapsed="false">
      <c r="A30" s="51" t="s">
        <v>2974</v>
      </c>
      <c r="B30" s="211"/>
      <c r="C30" s="57"/>
      <c r="D30" s="53" t="s">
        <v>2975</v>
      </c>
      <c r="E30" s="53" t="s">
        <v>217</v>
      </c>
      <c r="F30" s="54" t="n">
        <v>138.63</v>
      </c>
      <c r="G30" s="55"/>
      <c r="H30" s="56" t="str">
        <f aca="false">IF(ISBLANK(G30),"",IF(ISNUMBER(F30),ROUND(F30*G30,2),"Укажите цену"))</f>
        <v/>
      </c>
      <c r="I30" s="57" t="n">
        <v>61</v>
      </c>
      <c r="J30" s="57" t="n">
        <v>12.4</v>
      </c>
      <c r="K30" s="57" t="s">
        <v>2849</v>
      </c>
      <c r="L30" s="57" t="n">
        <v>28</v>
      </c>
      <c r="M30" s="57" t="s">
        <v>640</v>
      </c>
      <c r="N30" s="57" t="n">
        <v>168</v>
      </c>
      <c r="O30" s="57" t="s">
        <v>641</v>
      </c>
      <c r="P30" s="58" t="n">
        <v>0.074</v>
      </c>
      <c r="Q30" s="68" t="s">
        <v>2850</v>
      </c>
      <c r="R30" s="195" t="s">
        <v>2976</v>
      </c>
      <c r="S30" s="60" t="s">
        <v>96</v>
      </c>
      <c r="T30" s="204"/>
    </row>
    <row r="31" s="34" customFormat="true" ht="115" hidden="false" customHeight="true" outlineLevel="2" collapsed="false">
      <c r="A31" s="51" t="s">
        <v>2977</v>
      </c>
      <c r="B31" s="211"/>
      <c r="C31" s="57"/>
      <c r="D31" s="53" t="s">
        <v>2978</v>
      </c>
      <c r="E31" s="53" t="s">
        <v>217</v>
      </c>
      <c r="F31" s="54" t="n">
        <v>138.63</v>
      </c>
      <c r="G31" s="55"/>
      <c r="H31" s="56" t="str">
        <f aca="false">IF(ISBLANK(G31),"",IF(ISNUMBER(F31),ROUND(F31*G31,2),"Укажите цену"))</f>
        <v/>
      </c>
      <c r="I31" s="57" t="s">
        <v>936</v>
      </c>
      <c r="J31" s="57" t="s">
        <v>936</v>
      </c>
      <c r="K31" s="57" t="s">
        <v>936</v>
      </c>
      <c r="L31" s="57" t="n">
        <v>28</v>
      </c>
      <c r="M31" s="57" t="s">
        <v>640</v>
      </c>
      <c r="N31" s="57" t="n">
        <v>168</v>
      </c>
      <c r="O31" s="57" t="s">
        <v>641</v>
      </c>
      <c r="P31" s="58" t="n">
        <v>0.074</v>
      </c>
      <c r="Q31" s="68" t="s">
        <v>2850</v>
      </c>
      <c r="R31" s="195" t="s">
        <v>2976</v>
      </c>
      <c r="S31" s="60" t="s">
        <v>96</v>
      </c>
      <c r="T31" s="204"/>
    </row>
    <row r="32" s="34" customFormat="true" ht="115" hidden="false" customHeight="true" outlineLevel="2" collapsed="false">
      <c r="A32" s="51" t="s">
        <v>2979</v>
      </c>
      <c r="B32" s="211"/>
      <c r="C32" s="57"/>
      <c r="D32" s="53" t="s">
        <v>2980</v>
      </c>
      <c r="E32" s="53" t="s">
        <v>217</v>
      </c>
      <c r="F32" s="54" t="n">
        <v>138.63</v>
      </c>
      <c r="G32" s="55"/>
      <c r="H32" s="56" t="str">
        <f aca="false">IF(ISBLANK(G32),"",IF(ISNUMBER(F32),ROUND(F32*G32,2),"Укажите цену"))</f>
        <v/>
      </c>
      <c r="I32" s="57" t="n">
        <v>65</v>
      </c>
      <c r="J32" s="57" t="n">
        <v>13</v>
      </c>
      <c r="K32" s="57" t="s">
        <v>2849</v>
      </c>
      <c r="L32" s="57" t="n">
        <v>28</v>
      </c>
      <c r="M32" s="57" t="s">
        <v>640</v>
      </c>
      <c r="N32" s="57" t="n">
        <v>168</v>
      </c>
      <c r="O32" s="57" t="s">
        <v>641</v>
      </c>
      <c r="P32" s="58" t="n">
        <v>0.074</v>
      </c>
      <c r="Q32" s="68" t="s">
        <v>2850</v>
      </c>
      <c r="R32" s="195" t="s">
        <v>2904</v>
      </c>
      <c r="S32" s="60" t="s">
        <v>96</v>
      </c>
      <c r="T32" s="204"/>
    </row>
    <row r="33" s="34" customFormat="true" ht="115" hidden="false" customHeight="true" outlineLevel="2" collapsed="false">
      <c r="A33" s="51" t="s">
        <v>2981</v>
      </c>
      <c r="B33" s="211"/>
      <c r="C33" s="57"/>
      <c r="D33" s="53" t="s">
        <v>2982</v>
      </c>
      <c r="E33" s="53" t="s">
        <v>217</v>
      </c>
      <c r="F33" s="54" t="n">
        <v>114.17</v>
      </c>
      <c r="G33" s="55"/>
      <c r="H33" s="56" t="str">
        <f aca="false">IF(ISBLANK(G33),"",IF(ISNUMBER(F33),ROUND(F33*G33,2),"Укажите цену"))</f>
        <v/>
      </c>
      <c r="I33" s="57" t="n">
        <v>59</v>
      </c>
      <c r="J33" s="57" t="n">
        <v>12.3</v>
      </c>
      <c r="K33" s="57" t="s">
        <v>2849</v>
      </c>
      <c r="L33" s="57" t="n">
        <v>28</v>
      </c>
      <c r="M33" s="57" t="s">
        <v>640</v>
      </c>
      <c r="N33" s="57" t="n">
        <v>168</v>
      </c>
      <c r="O33" s="57" t="s">
        <v>641</v>
      </c>
      <c r="P33" s="58" t="n">
        <v>0.074</v>
      </c>
      <c r="Q33" s="68" t="s">
        <v>2856</v>
      </c>
      <c r="R33" s="195" t="s">
        <v>2983</v>
      </c>
      <c r="S33" s="60" t="s">
        <v>96</v>
      </c>
      <c r="T33" s="204"/>
    </row>
    <row r="34" s="34" customFormat="true" ht="115" hidden="false" customHeight="true" outlineLevel="2" collapsed="false">
      <c r="A34" s="51" t="s">
        <v>2984</v>
      </c>
      <c r="B34" s="211"/>
      <c r="C34" s="57"/>
      <c r="D34" s="53" t="s">
        <v>2985</v>
      </c>
      <c r="E34" s="53" t="s">
        <v>217</v>
      </c>
      <c r="F34" s="54" t="n">
        <v>114.17</v>
      </c>
      <c r="G34" s="55"/>
      <c r="H34" s="56" t="str">
        <f aca="false">IF(ISBLANK(G34),"",IF(ISNUMBER(F34),ROUND(F34*G34,2),"Укажите цену"))</f>
        <v/>
      </c>
      <c r="I34" s="57" t="n">
        <v>65</v>
      </c>
      <c r="J34" s="57" t="n">
        <v>12.95</v>
      </c>
      <c r="K34" s="57" t="s">
        <v>2849</v>
      </c>
      <c r="L34" s="57" t="n">
        <v>28</v>
      </c>
      <c r="M34" s="57" t="s">
        <v>640</v>
      </c>
      <c r="N34" s="57" t="n">
        <v>168</v>
      </c>
      <c r="O34" s="57" t="s">
        <v>641</v>
      </c>
      <c r="P34" s="58" t="n">
        <v>0.074</v>
      </c>
      <c r="Q34" s="68" t="s">
        <v>2856</v>
      </c>
      <c r="R34" s="195" t="s">
        <v>2983</v>
      </c>
      <c r="S34" s="60" t="s">
        <v>96</v>
      </c>
      <c r="T34" s="204"/>
    </row>
    <row r="35" s="34" customFormat="true" ht="115" hidden="false" customHeight="true" outlineLevel="2" collapsed="false">
      <c r="A35" s="51" t="s">
        <v>2986</v>
      </c>
      <c r="B35" s="211"/>
      <c r="C35" s="57"/>
      <c r="D35" s="53" t="s">
        <v>2987</v>
      </c>
      <c r="E35" s="53" t="s">
        <v>217</v>
      </c>
      <c r="F35" s="54" t="n">
        <v>114.17</v>
      </c>
      <c r="G35" s="55"/>
      <c r="H35" s="56" t="str">
        <f aca="false">IF(ISBLANK(G35),"",IF(ISNUMBER(F35),ROUND(F35*G35,2),"Укажите цену"))</f>
        <v/>
      </c>
      <c r="I35" s="57" t="n">
        <v>65</v>
      </c>
      <c r="J35" s="57" t="n">
        <v>12.95</v>
      </c>
      <c r="K35" s="57" t="s">
        <v>2849</v>
      </c>
      <c r="L35" s="57" t="n">
        <v>28</v>
      </c>
      <c r="M35" s="57" t="s">
        <v>640</v>
      </c>
      <c r="N35" s="57" t="n">
        <v>168</v>
      </c>
      <c r="O35" s="57" t="s">
        <v>641</v>
      </c>
      <c r="P35" s="58" t="n">
        <v>0.074</v>
      </c>
      <c r="Q35" s="68" t="s">
        <v>2856</v>
      </c>
      <c r="R35" s="195" t="s">
        <v>2918</v>
      </c>
      <c r="S35" s="60" t="s">
        <v>96</v>
      </c>
      <c r="T35" s="204"/>
    </row>
    <row r="36" s="34" customFormat="true" ht="115" hidden="false" customHeight="true" outlineLevel="2" collapsed="false">
      <c r="A36" s="51" t="s">
        <v>2988</v>
      </c>
      <c r="B36" s="211"/>
      <c r="C36" s="57"/>
      <c r="D36" s="53" t="s">
        <v>2989</v>
      </c>
      <c r="E36" s="53" t="s">
        <v>217</v>
      </c>
      <c r="F36" s="54" t="n">
        <v>546.37</v>
      </c>
      <c r="G36" s="55"/>
      <c r="H36" s="56" t="str">
        <f aca="false">IF(ISBLANK(G36),"",IF(ISNUMBER(F36),ROUND(F36*G36,2),"Укажите цену"))</f>
        <v/>
      </c>
      <c r="I36" s="57" t="n">
        <v>188</v>
      </c>
      <c r="J36" s="57" t="n">
        <v>20.35</v>
      </c>
      <c r="K36" s="57" t="s">
        <v>2872</v>
      </c>
      <c r="L36" s="57" t="s">
        <v>91</v>
      </c>
      <c r="M36" s="57" t="s">
        <v>92</v>
      </c>
      <c r="N36" s="57" t="n">
        <v>100</v>
      </c>
      <c r="O36" s="57" t="s">
        <v>2865</v>
      </c>
      <c r="P36" s="58" t="n">
        <v>0.074</v>
      </c>
      <c r="Q36" s="68" t="s">
        <v>2866</v>
      </c>
      <c r="R36" s="195" t="s">
        <v>2990</v>
      </c>
      <c r="S36" s="60" t="s">
        <v>96</v>
      </c>
      <c r="T36" s="204"/>
    </row>
    <row r="37" s="34" customFormat="true" ht="115" hidden="false" customHeight="true" outlineLevel="2" collapsed="false">
      <c r="A37" s="51" t="s">
        <v>2991</v>
      </c>
      <c r="B37" s="211"/>
      <c r="C37" s="57"/>
      <c r="D37" s="53" t="s">
        <v>2992</v>
      </c>
      <c r="E37" s="53" t="s">
        <v>217</v>
      </c>
      <c r="F37" s="54" t="n">
        <v>546.37</v>
      </c>
      <c r="G37" s="55"/>
      <c r="H37" s="56" t="str">
        <f aca="false">IF(ISBLANK(G37),"",IF(ISNUMBER(F37),ROUND(F37*G37,2),"Укажите цену"))</f>
        <v/>
      </c>
      <c r="I37" s="57" t="s">
        <v>936</v>
      </c>
      <c r="J37" s="57" t="s">
        <v>936</v>
      </c>
      <c r="K37" s="57" t="s">
        <v>936</v>
      </c>
      <c r="L37" s="57" t="s">
        <v>91</v>
      </c>
      <c r="M37" s="57" t="s">
        <v>92</v>
      </c>
      <c r="N37" s="57" t="n">
        <v>100</v>
      </c>
      <c r="O37" s="57" t="s">
        <v>2865</v>
      </c>
      <c r="P37" s="58" t="n">
        <v>0.074</v>
      </c>
      <c r="Q37" s="68" t="s">
        <v>2866</v>
      </c>
      <c r="R37" s="195" t="s">
        <v>2990</v>
      </c>
      <c r="S37" s="60" t="s">
        <v>96</v>
      </c>
      <c r="T37" s="204"/>
    </row>
    <row r="38" s="34" customFormat="true" ht="115" hidden="false" customHeight="true" outlineLevel="2" collapsed="false">
      <c r="A38" s="51" t="s">
        <v>2993</v>
      </c>
      <c r="B38" s="211"/>
      <c r="C38" s="57"/>
      <c r="D38" s="53" t="s">
        <v>2994</v>
      </c>
      <c r="E38" s="53" t="s">
        <v>217</v>
      </c>
      <c r="F38" s="54" t="n">
        <v>570.83</v>
      </c>
      <c r="G38" s="55"/>
      <c r="H38" s="56" t="str">
        <f aca="false">IF(ISBLANK(G38),"",IF(ISNUMBER(F38),ROUND(F38*G38,2),"Укажите цену"))</f>
        <v/>
      </c>
      <c r="I38" s="57" t="n">
        <v>224</v>
      </c>
      <c r="J38" s="57" t="n">
        <v>23.85</v>
      </c>
      <c r="K38" s="57" t="s">
        <v>2872</v>
      </c>
      <c r="L38" s="57" t="s">
        <v>91</v>
      </c>
      <c r="M38" s="57" t="s">
        <v>92</v>
      </c>
      <c r="N38" s="57" t="n">
        <v>100</v>
      </c>
      <c r="O38" s="57" t="s">
        <v>2865</v>
      </c>
      <c r="P38" s="58" t="n">
        <v>0.074</v>
      </c>
      <c r="Q38" s="68" t="s">
        <v>2866</v>
      </c>
      <c r="R38" s="195" t="s">
        <v>2927</v>
      </c>
      <c r="S38" s="60" t="s">
        <v>96</v>
      </c>
      <c r="T38" s="204"/>
    </row>
    <row r="39" s="34" customFormat="true" ht="115" hidden="false" customHeight="true" outlineLevel="2" collapsed="false">
      <c r="A39" s="51" t="s">
        <v>2995</v>
      </c>
      <c r="B39" s="211"/>
      <c r="C39" s="57"/>
      <c r="D39" s="53" t="s">
        <v>2996</v>
      </c>
      <c r="E39" s="53" t="s">
        <v>217</v>
      </c>
      <c r="F39" s="54" t="n">
        <v>342.5</v>
      </c>
      <c r="G39" s="55"/>
      <c r="H39" s="56" t="str">
        <f aca="false">IF(ISBLANK(G39),"",IF(ISNUMBER(F39),ROUND(F39*G39,2),"Укажите цену"))</f>
        <v/>
      </c>
      <c r="I39" s="57" t="n">
        <v>174</v>
      </c>
      <c r="J39" s="57" t="n">
        <v>18.85</v>
      </c>
      <c r="K39" s="57" t="s">
        <v>2872</v>
      </c>
      <c r="L39" s="57" t="s">
        <v>91</v>
      </c>
      <c r="M39" s="57" t="s">
        <v>92</v>
      </c>
      <c r="N39" s="57" t="n">
        <v>100</v>
      </c>
      <c r="O39" s="57" t="s">
        <v>2865</v>
      </c>
      <c r="P39" s="58" t="n">
        <v>0.074</v>
      </c>
      <c r="Q39" s="68" t="s">
        <v>2873</v>
      </c>
      <c r="R39" s="195" t="s">
        <v>2997</v>
      </c>
      <c r="S39" s="60" t="s">
        <v>96</v>
      </c>
      <c r="T39" s="204"/>
    </row>
    <row r="40" s="34" customFormat="true" ht="115" hidden="false" customHeight="true" outlineLevel="2" collapsed="false">
      <c r="A40" s="51" t="s">
        <v>2998</v>
      </c>
      <c r="B40" s="211"/>
      <c r="C40" s="57"/>
      <c r="D40" s="53" t="s">
        <v>2999</v>
      </c>
      <c r="E40" s="53" t="s">
        <v>217</v>
      </c>
      <c r="F40" s="54" t="n">
        <v>342.5</v>
      </c>
      <c r="G40" s="55"/>
      <c r="H40" s="56" t="str">
        <f aca="false">IF(ISBLANK(G40),"",IF(ISNUMBER(F40),ROUND(F40*G40,2),"Укажите цену"))</f>
        <v/>
      </c>
      <c r="I40" s="57" t="s">
        <v>936</v>
      </c>
      <c r="J40" s="57" t="s">
        <v>936</v>
      </c>
      <c r="K40" s="57" t="s">
        <v>936</v>
      </c>
      <c r="L40" s="57" t="s">
        <v>91</v>
      </c>
      <c r="M40" s="57" t="s">
        <v>92</v>
      </c>
      <c r="N40" s="57" t="n">
        <v>100</v>
      </c>
      <c r="O40" s="57" t="s">
        <v>2865</v>
      </c>
      <c r="P40" s="58" t="n">
        <v>0.074</v>
      </c>
      <c r="Q40" s="68" t="s">
        <v>2873</v>
      </c>
      <c r="R40" s="195" t="s">
        <v>2997</v>
      </c>
      <c r="S40" s="60" t="s">
        <v>96</v>
      </c>
      <c r="T40" s="204"/>
    </row>
    <row r="41" s="34" customFormat="true" ht="115" hidden="false" customHeight="true" outlineLevel="2" collapsed="false">
      <c r="A41" s="51" t="s">
        <v>3000</v>
      </c>
      <c r="B41" s="211"/>
      <c r="C41" s="57"/>
      <c r="D41" s="53" t="s">
        <v>3001</v>
      </c>
      <c r="E41" s="53" t="s">
        <v>217</v>
      </c>
      <c r="F41" s="54" t="n">
        <v>358.81</v>
      </c>
      <c r="G41" s="55"/>
      <c r="H41" s="56" t="str">
        <f aca="false">IF(ISBLANK(G41),"",IF(ISNUMBER(F41),ROUND(F41*G41,2),"Укажите цену"))</f>
        <v/>
      </c>
      <c r="I41" s="57" t="n">
        <v>212</v>
      </c>
      <c r="J41" s="57" t="n">
        <v>22.5</v>
      </c>
      <c r="K41" s="57" t="s">
        <v>2872</v>
      </c>
      <c r="L41" s="57" t="s">
        <v>91</v>
      </c>
      <c r="M41" s="57" t="s">
        <v>92</v>
      </c>
      <c r="N41" s="57" t="n">
        <v>100</v>
      </c>
      <c r="O41" s="57" t="s">
        <v>2865</v>
      </c>
      <c r="P41" s="58" t="n">
        <v>0.074</v>
      </c>
      <c r="Q41" s="68" t="s">
        <v>2873</v>
      </c>
      <c r="R41" s="195" t="s">
        <v>2941</v>
      </c>
      <c r="S41" s="60" t="s">
        <v>96</v>
      </c>
      <c r="T41" s="204"/>
    </row>
    <row r="42" s="62" customFormat="true" ht="115" hidden="false" customHeight="true" outlineLevel="2" collapsed="false">
      <c r="A42" s="51" t="s">
        <v>3002</v>
      </c>
      <c r="B42" s="57"/>
      <c r="C42" s="57"/>
      <c r="D42" s="53" t="s">
        <v>3003</v>
      </c>
      <c r="E42" s="53" t="s">
        <v>89</v>
      </c>
      <c r="F42" s="54" t="n">
        <v>505.59</v>
      </c>
      <c r="G42" s="55"/>
      <c r="H42" s="56" t="str">
        <f aca="false">IF(ISBLANK(G42),"",IF(ISNUMBER(F42),ROUND(F42*G42,2),"Укажите цену"))</f>
        <v/>
      </c>
      <c r="I42" s="57" t="n">
        <v>277</v>
      </c>
      <c r="J42" s="26" t="n">
        <v>13.95</v>
      </c>
      <c r="K42" s="57" t="s">
        <v>3004</v>
      </c>
      <c r="L42" s="57" t="s">
        <v>91</v>
      </c>
      <c r="M42" s="57" t="s">
        <v>92</v>
      </c>
      <c r="N42" s="57" t="n">
        <v>48</v>
      </c>
      <c r="O42" s="57" t="s">
        <v>2879</v>
      </c>
      <c r="P42" s="58" t="n">
        <v>0.036</v>
      </c>
      <c r="Q42" s="59" t="s">
        <v>2948</v>
      </c>
      <c r="R42" s="168" t="s">
        <v>3005</v>
      </c>
      <c r="S42" s="148" t="s">
        <v>96</v>
      </c>
      <c r="T42" s="87"/>
      <c r="U42" s="87"/>
      <c r="V42" s="61"/>
      <c r="W42" s="61"/>
      <c r="X42" s="61"/>
      <c r="Y42" s="61"/>
      <c r="Z42" s="61"/>
    </row>
    <row r="43" s="62" customFormat="true" ht="115" hidden="false" customHeight="true" outlineLevel="2" collapsed="false">
      <c r="A43" s="51" t="s">
        <v>3006</v>
      </c>
      <c r="B43" s="57"/>
      <c r="C43" s="57"/>
      <c r="D43" s="53" t="s">
        <v>3007</v>
      </c>
      <c r="E43" s="53" t="s">
        <v>89</v>
      </c>
      <c r="F43" s="54" t="n">
        <v>505.59</v>
      </c>
      <c r="G43" s="55"/>
      <c r="H43" s="56" t="str">
        <f aca="false">IF(ISBLANK(G43),"",IF(ISNUMBER(F43),ROUND(F43*G43,2),"Укажите цену"))</f>
        <v/>
      </c>
      <c r="I43" s="57" t="n">
        <v>317</v>
      </c>
      <c r="J43" s="26" t="n">
        <v>15.65</v>
      </c>
      <c r="K43" s="57" t="s">
        <v>3004</v>
      </c>
      <c r="L43" s="57" t="s">
        <v>91</v>
      </c>
      <c r="M43" s="57" t="s">
        <v>92</v>
      </c>
      <c r="N43" s="57" t="n">
        <v>48</v>
      </c>
      <c r="O43" s="57" t="s">
        <v>2879</v>
      </c>
      <c r="P43" s="58" t="n">
        <v>0.036</v>
      </c>
      <c r="Q43" s="59" t="s">
        <v>2948</v>
      </c>
      <c r="R43" s="168" t="s">
        <v>3005</v>
      </c>
      <c r="S43" s="148" t="s">
        <v>96</v>
      </c>
      <c r="T43" s="87"/>
      <c r="U43" s="87"/>
      <c r="V43" s="61"/>
      <c r="W43" s="61"/>
      <c r="X43" s="61"/>
      <c r="Y43" s="61"/>
      <c r="Z43" s="61"/>
    </row>
    <row r="44" s="62" customFormat="true" ht="115" hidden="false" customHeight="true" outlineLevel="2" collapsed="false">
      <c r="A44" s="51" t="s">
        <v>3008</v>
      </c>
      <c r="B44" s="57"/>
      <c r="C44" s="57"/>
      <c r="D44" s="53" t="s">
        <v>2946</v>
      </c>
      <c r="E44" s="53" t="s">
        <v>89</v>
      </c>
      <c r="F44" s="54" t="n">
        <v>538.21</v>
      </c>
      <c r="G44" s="55"/>
      <c r="H44" s="56" t="str">
        <f aca="false">IF(ISBLANK(G44),"",IF(ISNUMBER(F44),ROUND(F44*G44,2),"Укажите цену"))</f>
        <v/>
      </c>
      <c r="I44" s="57" t="n">
        <v>278</v>
      </c>
      <c r="J44" s="26" t="n">
        <v>14</v>
      </c>
      <c r="K44" s="57" t="s">
        <v>2947</v>
      </c>
      <c r="L44" s="57" t="s">
        <v>91</v>
      </c>
      <c r="M44" s="57" t="s">
        <v>92</v>
      </c>
      <c r="N44" s="57" t="n">
        <v>48</v>
      </c>
      <c r="O44" s="57" t="s">
        <v>2879</v>
      </c>
      <c r="P44" s="58" t="n">
        <v>0.036</v>
      </c>
      <c r="Q44" s="59" t="s">
        <v>2948</v>
      </c>
      <c r="R44" s="196" t="s">
        <v>2949</v>
      </c>
      <c r="S44" s="148" t="s">
        <v>96</v>
      </c>
      <c r="T44" s="87"/>
      <c r="U44" s="87"/>
      <c r="V44" s="61"/>
      <c r="W44" s="61"/>
      <c r="X44" s="61"/>
      <c r="Y44" s="61"/>
      <c r="Z44" s="61"/>
    </row>
    <row r="45" s="62" customFormat="true" ht="115" hidden="false" customHeight="true" outlineLevel="2" collapsed="false">
      <c r="A45" s="51" t="s">
        <v>3009</v>
      </c>
      <c r="B45" s="57"/>
      <c r="C45" s="57"/>
      <c r="D45" s="53" t="s">
        <v>3010</v>
      </c>
      <c r="E45" s="53" t="s">
        <v>89</v>
      </c>
      <c r="F45" s="54" t="n">
        <v>538.21</v>
      </c>
      <c r="G45" s="55"/>
      <c r="H45" s="56" t="str">
        <f aca="false">IF(ISBLANK(G45),"",IF(ISNUMBER(F45),ROUND(F45*G45,2),"Укажите цену"))</f>
        <v/>
      </c>
      <c r="I45" s="57" t="n">
        <v>313</v>
      </c>
      <c r="J45" s="26" t="n">
        <v>15.6</v>
      </c>
      <c r="K45" s="57" t="s">
        <v>2947</v>
      </c>
      <c r="L45" s="57" t="s">
        <v>91</v>
      </c>
      <c r="M45" s="57" t="s">
        <v>92</v>
      </c>
      <c r="N45" s="57" t="n">
        <v>48</v>
      </c>
      <c r="O45" s="57" t="s">
        <v>2879</v>
      </c>
      <c r="P45" s="58" t="n">
        <v>0.036</v>
      </c>
      <c r="Q45" s="59" t="s">
        <v>2948</v>
      </c>
      <c r="R45" s="196" t="s">
        <v>2949</v>
      </c>
      <c r="S45" s="148" t="s">
        <v>96</v>
      </c>
      <c r="T45" s="87"/>
      <c r="U45" s="87"/>
      <c r="V45" s="61"/>
      <c r="W45" s="61"/>
      <c r="X45" s="61"/>
      <c r="Y45" s="61"/>
      <c r="Z45" s="61"/>
    </row>
    <row r="46" s="62" customFormat="true" ht="115" hidden="false" customHeight="true" outlineLevel="2" collapsed="false">
      <c r="A46" s="51" t="s">
        <v>3011</v>
      </c>
      <c r="B46" s="57"/>
      <c r="C46" s="57"/>
      <c r="D46" s="53" t="s">
        <v>3012</v>
      </c>
      <c r="E46" s="53" t="s">
        <v>89</v>
      </c>
      <c r="F46" s="54" t="n">
        <v>616.5</v>
      </c>
      <c r="G46" s="55"/>
      <c r="H46" s="56" t="str">
        <f aca="false">IF(ISBLANK(G46),"",IF(ISNUMBER(F46),ROUND(F46*G46,2),"Укажите цену"))</f>
        <v/>
      </c>
      <c r="I46" s="57" t="n">
        <v>293</v>
      </c>
      <c r="J46" s="26" t="n">
        <v>14.6</v>
      </c>
      <c r="K46" s="57" t="s">
        <v>3013</v>
      </c>
      <c r="L46" s="57" t="s">
        <v>91</v>
      </c>
      <c r="M46" s="57" t="s">
        <v>92</v>
      </c>
      <c r="N46" s="57" t="n">
        <v>48</v>
      </c>
      <c r="O46" s="57" t="s">
        <v>2879</v>
      </c>
      <c r="P46" s="58" t="n">
        <v>0.036</v>
      </c>
      <c r="Q46" s="59" t="s">
        <v>2955</v>
      </c>
      <c r="R46" s="168" t="s">
        <v>3014</v>
      </c>
      <c r="S46" s="148" t="s">
        <v>96</v>
      </c>
      <c r="T46" s="87"/>
      <c r="U46" s="87"/>
      <c r="V46" s="61"/>
      <c r="W46" s="61"/>
      <c r="X46" s="61"/>
      <c r="Y46" s="61"/>
      <c r="Z46" s="61"/>
    </row>
    <row r="47" s="62" customFormat="true" ht="115" hidden="false" customHeight="true" outlineLevel="2" collapsed="false">
      <c r="A47" s="51" t="s">
        <v>3015</v>
      </c>
      <c r="B47" s="57"/>
      <c r="C47" s="57"/>
      <c r="D47" s="53" t="s">
        <v>3016</v>
      </c>
      <c r="E47" s="53" t="s">
        <v>89</v>
      </c>
      <c r="F47" s="54" t="n">
        <v>616.5</v>
      </c>
      <c r="G47" s="55"/>
      <c r="H47" s="56" t="str">
        <f aca="false">IF(ISBLANK(G47),"",IF(ISNUMBER(F47),ROUND(F47*G47,2),"Укажите цену"))</f>
        <v/>
      </c>
      <c r="I47" s="57" t="n">
        <v>293</v>
      </c>
      <c r="J47" s="26" t="n">
        <v>14.6</v>
      </c>
      <c r="K47" s="57" t="s">
        <v>3013</v>
      </c>
      <c r="L47" s="57" t="s">
        <v>91</v>
      </c>
      <c r="M47" s="57" t="s">
        <v>92</v>
      </c>
      <c r="N47" s="57" t="n">
        <v>48</v>
      </c>
      <c r="O47" s="57" t="s">
        <v>2879</v>
      </c>
      <c r="P47" s="58" t="n">
        <v>0.036</v>
      </c>
      <c r="Q47" s="59" t="s">
        <v>2955</v>
      </c>
      <c r="R47" s="168" t="s">
        <v>3014</v>
      </c>
      <c r="S47" s="148" t="s">
        <v>96</v>
      </c>
      <c r="T47" s="87"/>
      <c r="U47" s="87"/>
      <c r="V47" s="61"/>
      <c r="W47" s="61"/>
      <c r="X47" s="61"/>
      <c r="Y47" s="61"/>
      <c r="Z47" s="61"/>
    </row>
    <row r="48" s="62" customFormat="true" ht="115" hidden="false" customHeight="true" outlineLevel="2" collapsed="false">
      <c r="A48" s="51" t="s">
        <v>3017</v>
      </c>
      <c r="B48" s="57"/>
      <c r="C48" s="57"/>
      <c r="D48" s="53" t="s">
        <v>2954</v>
      </c>
      <c r="E48" s="53" t="s">
        <v>89</v>
      </c>
      <c r="F48" s="54" t="n">
        <v>652.38</v>
      </c>
      <c r="G48" s="55"/>
      <c r="H48" s="56" t="str">
        <f aca="false">IF(ISBLANK(G48),"",IF(ISNUMBER(F48),ROUND(F48*G48,2),"Укажите цену"))</f>
        <v/>
      </c>
      <c r="I48" s="57" t="n">
        <v>286</v>
      </c>
      <c r="J48" s="26" t="n">
        <v>14.4</v>
      </c>
      <c r="K48" s="57" t="s">
        <v>2947</v>
      </c>
      <c r="L48" s="57" t="s">
        <v>91</v>
      </c>
      <c r="M48" s="57" t="s">
        <v>92</v>
      </c>
      <c r="N48" s="57" t="n">
        <v>48</v>
      </c>
      <c r="O48" s="57" t="s">
        <v>2879</v>
      </c>
      <c r="P48" s="58" t="n">
        <v>0.036</v>
      </c>
      <c r="Q48" s="59" t="s">
        <v>2955</v>
      </c>
      <c r="R48" s="196" t="s">
        <v>2956</v>
      </c>
      <c r="S48" s="148" t="s">
        <v>96</v>
      </c>
      <c r="T48" s="87"/>
      <c r="U48" s="87"/>
      <c r="V48" s="61"/>
      <c r="W48" s="61"/>
      <c r="X48" s="61"/>
      <c r="Y48" s="61"/>
      <c r="Z48" s="61"/>
    </row>
    <row r="49" s="62" customFormat="true" ht="115" hidden="false" customHeight="true" outlineLevel="2" collapsed="false">
      <c r="A49" s="51" t="s">
        <v>3018</v>
      </c>
      <c r="B49" s="57"/>
      <c r="C49" s="57"/>
      <c r="D49" s="53" t="s">
        <v>3019</v>
      </c>
      <c r="E49" s="53" t="s">
        <v>89</v>
      </c>
      <c r="F49" s="54" t="n">
        <v>652.38</v>
      </c>
      <c r="G49" s="55"/>
      <c r="H49" s="56" t="str">
        <f aca="false">IF(ISBLANK(G49),"",IF(ISNUMBER(F49),ROUND(F49*G49,2),"Укажите цену"))</f>
        <v/>
      </c>
      <c r="I49" s="57" t="n">
        <v>319</v>
      </c>
      <c r="J49" s="26" t="n">
        <v>16</v>
      </c>
      <c r="K49" s="57" t="s">
        <v>2947</v>
      </c>
      <c r="L49" s="57" t="s">
        <v>91</v>
      </c>
      <c r="M49" s="57" t="s">
        <v>92</v>
      </c>
      <c r="N49" s="57" t="n">
        <v>48</v>
      </c>
      <c r="O49" s="57" t="s">
        <v>2879</v>
      </c>
      <c r="P49" s="58" t="n">
        <v>0.036</v>
      </c>
      <c r="Q49" s="59" t="s">
        <v>2955</v>
      </c>
      <c r="R49" s="196" t="s">
        <v>2956</v>
      </c>
      <c r="S49" s="148" t="s">
        <v>96</v>
      </c>
      <c r="T49" s="87"/>
      <c r="U49" s="87"/>
      <c r="V49" s="61"/>
      <c r="W49" s="61"/>
      <c r="X49" s="61"/>
      <c r="Y49" s="61"/>
      <c r="Z49" s="61"/>
    </row>
    <row r="50" s="62" customFormat="true" ht="115" hidden="false" customHeight="true" outlineLevel="2" collapsed="false">
      <c r="A50" s="51" t="s">
        <v>3020</v>
      </c>
      <c r="B50" s="57"/>
      <c r="C50" s="57"/>
      <c r="D50" s="53" t="s">
        <v>3021</v>
      </c>
      <c r="E50" s="53" t="s">
        <v>89</v>
      </c>
      <c r="F50" s="54" t="n">
        <v>407.74</v>
      </c>
      <c r="G50" s="55"/>
      <c r="H50" s="56" t="str">
        <f aca="false">IF(ISBLANK(G50),"",IF(ISNUMBER(F50),ROUND(F50*G50,2),"Укажите цену"))</f>
        <v/>
      </c>
      <c r="I50" s="57" t="n">
        <v>268</v>
      </c>
      <c r="J50" s="26" t="n">
        <v>13.35</v>
      </c>
      <c r="K50" s="57" t="s">
        <v>3022</v>
      </c>
      <c r="L50" s="57" t="s">
        <v>91</v>
      </c>
      <c r="M50" s="57" t="s">
        <v>92</v>
      </c>
      <c r="N50" s="57" t="n">
        <v>48</v>
      </c>
      <c r="O50" s="57" t="s">
        <v>2879</v>
      </c>
      <c r="P50" s="58" t="n">
        <v>0.036</v>
      </c>
      <c r="Q50" s="59" t="s">
        <v>2962</v>
      </c>
      <c r="R50" s="168" t="s">
        <v>3023</v>
      </c>
      <c r="S50" s="168" t="s">
        <v>3024</v>
      </c>
      <c r="T50" s="87"/>
      <c r="U50" s="87"/>
      <c r="V50" s="61"/>
      <c r="W50" s="61"/>
      <c r="X50" s="61"/>
      <c r="Y50" s="61"/>
      <c r="Z50" s="61"/>
    </row>
    <row r="51" s="62" customFormat="true" ht="115" hidden="false" customHeight="true" outlineLevel="2" collapsed="false">
      <c r="A51" s="51" t="s">
        <v>3025</v>
      </c>
      <c r="B51" s="57"/>
      <c r="C51" s="57"/>
      <c r="D51" s="53" t="s">
        <v>3026</v>
      </c>
      <c r="E51" s="53" t="s">
        <v>89</v>
      </c>
      <c r="F51" s="54" t="n">
        <v>407.74</v>
      </c>
      <c r="G51" s="55"/>
      <c r="H51" s="56" t="str">
        <f aca="false">IF(ISBLANK(G51),"",IF(ISNUMBER(F51),ROUND(F51*G51,2),"Укажите цену"))</f>
        <v/>
      </c>
      <c r="I51" s="57" t="n">
        <v>299</v>
      </c>
      <c r="J51" s="26" t="n">
        <v>14.9</v>
      </c>
      <c r="K51" s="57" t="s">
        <v>3022</v>
      </c>
      <c r="L51" s="57" t="s">
        <v>91</v>
      </c>
      <c r="M51" s="57" t="s">
        <v>92</v>
      </c>
      <c r="N51" s="57" t="n">
        <v>48</v>
      </c>
      <c r="O51" s="57" t="s">
        <v>2879</v>
      </c>
      <c r="P51" s="58" t="n">
        <v>0.036</v>
      </c>
      <c r="Q51" s="59" t="s">
        <v>2962</v>
      </c>
      <c r="R51" s="168" t="s">
        <v>3023</v>
      </c>
      <c r="S51" s="168" t="s">
        <v>3024</v>
      </c>
      <c r="T51" s="87"/>
      <c r="U51" s="87"/>
      <c r="V51" s="61"/>
      <c r="W51" s="61"/>
      <c r="X51" s="61"/>
      <c r="Y51" s="61"/>
      <c r="Z51" s="61"/>
    </row>
    <row r="52" s="62" customFormat="true" ht="115" hidden="false" customHeight="true" outlineLevel="2" collapsed="false">
      <c r="A52" s="51" t="s">
        <v>3027</v>
      </c>
      <c r="B52" s="57"/>
      <c r="C52" s="57"/>
      <c r="D52" s="53" t="s">
        <v>2961</v>
      </c>
      <c r="E52" s="53" t="s">
        <v>89</v>
      </c>
      <c r="F52" s="54" t="n">
        <v>407.74</v>
      </c>
      <c r="G52" s="55"/>
      <c r="H52" s="56" t="str">
        <f aca="false">IF(ISBLANK(G52),"",IF(ISNUMBER(F52),ROUND(F52*G52,2),"Укажите цену"))</f>
        <v/>
      </c>
      <c r="I52" s="57" t="n">
        <v>273</v>
      </c>
      <c r="J52" s="26" t="n">
        <v>13.7</v>
      </c>
      <c r="K52" s="57" t="s">
        <v>2947</v>
      </c>
      <c r="L52" s="57" t="s">
        <v>91</v>
      </c>
      <c r="M52" s="57" t="s">
        <v>92</v>
      </c>
      <c r="N52" s="57" t="n">
        <v>48</v>
      </c>
      <c r="O52" s="57" t="s">
        <v>2879</v>
      </c>
      <c r="P52" s="58" t="n">
        <v>0.036</v>
      </c>
      <c r="Q52" s="59" t="s">
        <v>2962</v>
      </c>
      <c r="R52" s="196" t="s">
        <v>2963</v>
      </c>
      <c r="S52" s="148" t="s">
        <v>96</v>
      </c>
      <c r="T52" s="87"/>
      <c r="U52" s="87"/>
      <c r="V52" s="61"/>
      <c r="W52" s="61"/>
      <c r="X52" s="61"/>
      <c r="Y52" s="61"/>
      <c r="Z52" s="61"/>
    </row>
    <row r="53" s="62" customFormat="true" ht="115" hidden="false" customHeight="true" outlineLevel="2" collapsed="false">
      <c r="A53" s="51" t="s">
        <v>3028</v>
      </c>
      <c r="B53" s="57"/>
      <c r="C53" s="57"/>
      <c r="D53" s="53" t="s">
        <v>3029</v>
      </c>
      <c r="E53" s="53" t="s">
        <v>89</v>
      </c>
      <c r="F53" s="54" t="n">
        <v>407.74</v>
      </c>
      <c r="G53" s="55"/>
      <c r="H53" s="56" t="str">
        <f aca="false">IF(ISBLANK(G53),"",IF(ISNUMBER(F53),ROUND(F53*G53,2),"Укажите цену"))</f>
        <v/>
      </c>
      <c r="I53" s="57" t="n">
        <v>303</v>
      </c>
      <c r="J53" s="26" t="n">
        <v>15.2</v>
      </c>
      <c r="K53" s="57" t="s">
        <v>2947</v>
      </c>
      <c r="L53" s="57" t="s">
        <v>91</v>
      </c>
      <c r="M53" s="57" t="s">
        <v>92</v>
      </c>
      <c r="N53" s="57" t="n">
        <v>48</v>
      </c>
      <c r="O53" s="57" t="s">
        <v>2879</v>
      </c>
      <c r="P53" s="58" t="n">
        <v>0.036</v>
      </c>
      <c r="Q53" s="59" t="s">
        <v>2962</v>
      </c>
      <c r="R53" s="196" t="s">
        <v>2963</v>
      </c>
      <c r="S53" s="148" t="s">
        <v>96</v>
      </c>
      <c r="T53" s="87"/>
      <c r="U53" s="87"/>
      <c r="V53" s="61"/>
      <c r="W53" s="61"/>
      <c r="X53" s="61"/>
      <c r="Y53" s="61"/>
      <c r="Z53" s="61"/>
    </row>
    <row r="54" s="50" customFormat="true" ht="27" hidden="false" customHeight="true" outlineLevel="1" collapsed="false">
      <c r="A54" s="49" t="s">
        <v>3030</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c r="DA54" s="49"/>
      <c r="DB54" s="49"/>
      <c r="DC54" s="49"/>
      <c r="DD54" s="49"/>
      <c r="DE54" s="49"/>
      <c r="DF54" s="49"/>
      <c r="DG54" s="49"/>
      <c r="DH54" s="49"/>
      <c r="DI54" s="49"/>
      <c r="DJ54" s="49"/>
      <c r="DK54" s="49"/>
      <c r="DL54" s="49"/>
      <c r="DM54" s="49"/>
      <c r="DN54" s="49"/>
      <c r="DO54" s="49"/>
      <c r="DP54" s="49"/>
      <c r="DQ54" s="49"/>
      <c r="DR54" s="49"/>
      <c r="DS54" s="49"/>
      <c r="DT54" s="49"/>
      <c r="DU54" s="49"/>
      <c r="DV54" s="49"/>
      <c r="DW54" s="49"/>
      <c r="DX54" s="49"/>
      <c r="DY54" s="49"/>
      <c r="DZ54" s="49"/>
      <c r="EA54" s="49"/>
      <c r="EB54" s="49"/>
      <c r="EC54" s="49"/>
      <c r="ED54" s="49"/>
      <c r="EE54" s="49"/>
      <c r="EF54" s="49"/>
      <c r="EG54" s="49"/>
      <c r="EH54" s="49"/>
      <c r="EI54" s="49"/>
      <c r="EJ54" s="49"/>
      <c r="EK54" s="49"/>
      <c r="EL54" s="49"/>
      <c r="EM54" s="49"/>
      <c r="EN54" s="49"/>
      <c r="EO54" s="49"/>
      <c r="EP54" s="49"/>
      <c r="EQ54" s="49"/>
      <c r="ER54" s="49"/>
      <c r="ES54" s="49"/>
      <c r="ET54" s="49"/>
      <c r="EU54" s="49"/>
      <c r="EV54" s="49"/>
      <c r="EW54" s="49"/>
      <c r="EX54" s="49"/>
      <c r="EY54" s="49"/>
      <c r="EZ54" s="49"/>
      <c r="FA54" s="49"/>
      <c r="FB54" s="49"/>
      <c r="FC54" s="49"/>
      <c r="FD54" s="49"/>
      <c r="FE54" s="49"/>
      <c r="FF54" s="49"/>
      <c r="FG54" s="49"/>
      <c r="FH54" s="49"/>
      <c r="FI54" s="49"/>
      <c r="FJ54" s="49"/>
      <c r="FK54" s="49"/>
      <c r="FL54" s="49"/>
      <c r="FM54" s="49"/>
      <c r="FN54" s="49"/>
      <c r="FO54" s="49"/>
      <c r="FP54" s="49"/>
      <c r="FQ54" s="49"/>
      <c r="FR54" s="49"/>
      <c r="FS54" s="49"/>
      <c r="FT54" s="49"/>
      <c r="FU54" s="49"/>
      <c r="FV54" s="49"/>
      <c r="FW54" s="49"/>
      <c r="FX54" s="49"/>
      <c r="FY54" s="49"/>
      <c r="FZ54" s="49"/>
      <c r="GA54" s="49"/>
      <c r="GB54" s="49"/>
      <c r="GC54" s="49"/>
      <c r="GD54" s="49"/>
      <c r="GE54" s="49"/>
      <c r="GF54" s="49"/>
      <c r="GG54" s="49"/>
      <c r="GH54" s="49"/>
      <c r="GI54" s="49"/>
      <c r="GJ54" s="49"/>
      <c r="GK54" s="49"/>
      <c r="GL54" s="49"/>
      <c r="GM54" s="49"/>
      <c r="GN54" s="49"/>
      <c r="GO54" s="49"/>
      <c r="GP54" s="49"/>
      <c r="GQ54" s="49"/>
      <c r="GR54" s="49"/>
      <c r="GS54" s="49"/>
      <c r="GT54" s="49"/>
      <c r="GU54" s="49"/>
      <c r="GV54" s="49"/>
      <c r="GW54" s="49"/>
      <c r="GX54" s="49"/>
      <c r="GY54" s="49"/>
      <c r="GZ54" s="49"/>
      <c r="HA54" s="49"/>
      <c r="HB54" s="49"/>
      <c r="HC54" s="49"/>
      <c r="HD54" s="49"/>
      <c r="HE54" s="49"/>
      <c r="HF54" s="49"/>
      <c r="HG54" s="49"/>
      <c r="HH54" s="49"/>
      <c r="HI54" s="49"/>
      <c r="HJ54" s="49"/>
      <c r="HK54" s="49"/>
      <c r="HL54" s="49"/>
      <c r="HM54" s="49"/>
      <c r="HN54" s="49"/>
      <c r="HO54" s="49"/>
      <c r="HP54" s="49"/>
      <c r="HQ54" s="49"/>
      <c r="HR54" s="49"/>
      <c r="HS54" s="49"/>
      <c r="HT54" s="49"/>
      <c r="HU54" s="49"/>
      <c r="HV54" s="49"/>
      <c r="HW54" s="49"/>
      <c r="HX54" s="49"/>
      <c r="HY54" s="49"/>
      <c r="HZ54" s="49"/>
      <c r="IA54" s="49"/>
      <c r="IB54" s="49"/>
      <c r="IC54" s="49"/>
      <c r="ID54" s="49"/>
      <c r="IE54" s="49"/>
      <c r="IF54" s="49"/>
      <c r="IG54" s="49"/>
      <c r="IH54" s="49"/>
      <c r="II54" s="49"/>
      <c r="IJ54" s="49"/>
      <c r="IK54" s="49"/>
      <c r="IL54" s="49"/>
      <c r="IM54" s="49"/>
      <c r="IN54" s="49"/>
      <c r="IO54" s="49"/>
      <c r="IP54" s="49"/>
      <c r="IQ54" s="49"/>
      <c r="IR54" s="49"/>
      <c r="IS54" s="49"/>
      <c r="IT54" s="49"/>
      <c r="IU54" s="49"/>
      <c r="IV54" s="49"/>
      <c r="IW54" s="49"/>
    </row>
    <row r="55" s="34" customFormat="true" ht="115" hidden="false" customHeight="true" outlineLevel="2" collapsed="false">
      <c r="A55" s="51" t="s">
        <v>3031</v>
      </c>
      <c r="B55" s="211"/>
      <c r="C55" s="57"/>
      <c r="D55" s="53" t="s">
        <v>3032</v>
      </c>
      <c r="E55" s="53" t="s">
        <v>217</v>
      </c>
      <c r="F55" s="54" t="n">
        <v>138.63</v>
      </c>
      <c r="G55" s="55"/>
      <c r="H55" s="56" t="str">
        <f aca="false">IF(ISBLANK(G55),"",IF(ISNUMBER(F55),ROUND(F55*G55,2),"Укажите цену"))</f>
        <v/>
      </c>
      <c r="I55" s="57" t="n">
        <v>61</v>
      </c>
      <c r="J55" s="57" t="n">
        <v>12.3</v>
      </c>
      <c r="K55" s="57" t="s">
        <v>2849</v>
      </c>
      <c r="L55" s="57" t="n">
        <v>28</v>
      </c>
      <c r="M55" s="57" t="s">
        <v>640</v>
      </c>
      <c r="N55" s="57" t="n">
        <v>168</v>
      </c>
      <c r="O55" s="57" t="s">
        <v>641</v>
      </c>
      <c r="P55" s="58" t="n">
        <v>0.074</v>
      </c>
      <c r="Q55" s="68" t="s">
        <v>2850</v>
      </c>
      <c r="R55" s="195" t="s">
        <v>3033</v>
      </c>
      <c r="S55" s="60" t="s">
        <v>96</v>
      </c>
      <c r="T55" s="204"/>
    </row>
    <row r="56" s="34" customFormat="true" ht="115" hidden="false" customHeight="true" outlineLevel="2" collapsed="false">
      <c r="A56" s="51" t="s">
        <v>3034</v>
      </c>
      <c r="B56" s="211"/>
      <c r="C56" s="57"/>
      <c r="D56" s="53" t="s">
        <v>3035</v>
      </c>
      <c r="E56" s="53" t="s">
        <v>217</v>
      </c>
      <c r="F56" s="54" t="n">
        <v>138.63</v>
      </c>
      <c r="G56" s="55"/>
      <c r="H56" s="56" t="str">
        <f aca="false">IF(ISBLANK(G56),"",IF(ISNUMBER(F56),ROUND(F56*G56,2),"Укажите цену"))</f>
        <v/>
      </c>
      <c r="I56" s="57" t="n">
        <v>65</v>
      </c>
      <c r="J56" s="57" t="n">
        <v>12.95</v>
      </c>
      <c r="K56" s="57" t="s">
        <v>2849</v>
      </c>
      <c r="L56" s="57" t="n">
        <v>28</v>
      </c>
      <c r="M56" s="57" t="s">
        <v>640</v>
      </c>
      <c r="N56" s="57" t="n">
        <v>168</v>
      </c>
      <c r="O56" s="57" t="s">
        <v>641</v>
      </c>
      <c r="P56" s="58" t="n">
        <v>0.074</v>
      </c>
      <c r="Q56" s="68" t="s">
        <v>2850</v>
      </c>
      <c r="R56" s="195" t="s">
        <v>3033</v>
      </c>
      <c r="S56" s="60" t="s">
        <v>96</v>
      </c>
      <c r="T56" s="204"/>
    </row>
    <row r="57" s="34" customFormat="true" ht="115" hidden="false" customHeight="true" outlineLevel="2" collapsed="false">
      <c r="A57" s="51" t="s">
        <v>3036</v>
      </c>
      <c r="B57" s="211"/>
      <c r="C57" s="57"/>
      <c r="D57" s="53" t="s">
        <v>3037</v>
      </c>
      <c r="E57" s="53" t="s">
        <v>217</v>
      </c>
      <c r="F57" s="54" t="n">
        <v>114.17</v>
      </c>
      <c r="G57" s="55"/>
      <c r="H57" s="56" t="str">
        <f aca="false">IF(ISBLANK(G57),"",IF(ISNUMBER(F57),ROUND(F57*G57,2),"Укажите цену"))</f>
        <v/>
      </c>
      <c r="I57" s="57" t="n">
        <v>60</v>
      </c>
      <c r="J57" s="57" t="n">
        <v>12.15</v>
      </c>
      <c r="K57" s="57" t="s">
        <v>2849</v>
      </c>
      <c r="L57" s="57" t="n">
        <v>28</v>
      </c>
      <c r="M57" s="57" t="s">
        <v>640</v>
      </c>
      <c r="N57" s="57" t="n">
        <v>168</v>
      </c>
      <c r="O57" s="57" t="s">
        <v>641</v>
      </c>
      <c r="P57" s="58" t="n">
        <v>0.074</v>
      </c>
      <c r="Q57" s="68" t="s">
        <v>2856</v>
      </c>
      <c r="R57" s="195" t="s">
        <v>3038</v>
      </c>
      <c r="S57" s="60" t="s">
        <v>96</v>
      </c>
      <c r="T57" s="204"/>
    </row>
    <row r="58" s="34" customFormat="true" ht="115" hidden="false" customHeight="true" outlineLevel="2" collapsed="false">
      <c r="A58" s="51" t="s">
        <v>3039</v>
      </c>
      <c r="B58" s="211"/>
      <c r="C58" s="57"/>
      <c r="D58" s="53" t="s">
        <v>3040</v>
      </c>
      <c r="E58" s="53" t="s">
        <v>217</v>
      </c>
      <c r="F58" s="54" t="n">
        <v>114.17</v>
      </c>
      <c r="G58" s="55"/>
      <c r="H58" s="56" t="str">
        <f aca="false">IF(ISBLANK(G58),"",IF(ISNUMBER(F58),ROUND(F58*G58,2),"Укажите цену"))</f>
        <v/>
      </c>
      <c r="I58" s="57" t="n">
        <v>65</v>
      </c>
      <c r="J58" s="57" t="n">
        <v>12.85</v>
      </c>
      <c r="K58" s="57" t="s">
        <v>2849</v>
      </c>
      <c r="L58" s="57" t="n">
        <v>28</v>
      </c>
      <c r="M58" s="57" t="s">
        <v>640</v>
      </c>
      <c r="N58" s="57" t="n">
        <v>168</v>
      </c>
      <c r="O58" s="57" t="s">
        <v>641</v>
      </c>
      <c r="P58" s="58" t="n">
        <v>0.074</v>
      </c>
      <c r="Q58" s="68" t="s">
        <v>2856</v>
      </c>
      <c r="R58" s="195" t="s">
        <v>3038</v>
      </c>
      <c r="S58" s="60" t="s">
        <v>96</v>
      </c>
      <c r="T58" s="204"/>
    </row>
    <row r="59" s="34" customFormat="true" ht="115" hidden="false" customHeight="true" outlineLevel="2" collapsed="false">
      <c r="A59" s="51" t="s">
        <v>3041</v>
      </c>
      <c r="B59" s="211"/>
      <c r="C59" s="57"/>
      <c r="D59" s="53" t="s">
        <v>3042</v>
      </c>
      <c r="E59" s="53" t="s">
        <v>217</v>
      </c>
      <c r="F59" s="54" t="n">
        <v>546.37</v>
      </c>
      <c r="G59" s="55"/>
      <c r="H59" s="56" t="str">
        <f aca="false">IF(ISBLANK(G59),"",IF(ISNUMBER(F59),ROUND(F59*G59,2),"Укажите цену"))</f>
        <v/>
      </c>
      <c r="I59" s="57" t="s">
        <v>936</v>
      </c>
      <c r="J59" s="57" t="s">
        <v>936</v>
      </c>
      <c r="K59" s="57" t="s">
        <v>936</v>
      </c>
      <c r="L59" s="57" t="s">
        <v>91</v>
      </c>
      <c r="M59" s="57" t="s">
        <v>92</v>
      </c>
      <c r="N59" s="57" t="n">
        <v>100</v>
      </c>
      <c r="O59" s="57" t="s">
        <v>2865</v>
      </c>
      <c r="P59" s="58" t="n">
        <v>0.074</v>
      </c>
      <c r="Q59" s="68" t="s">
        <v>2866</v>
      </c>
      <c r="R59" s="195" t="s">
        <v>3043</v>
      </c>
      <c r="S59" s="60" t="s">
        <v>96</v>
      </c>
      <c r="T59" s="204"/>
    </row>
    <row r="60" s="34" customFormat="true" ht="115" hidden="false" customHeight="true" outlineLevel="2" collapsed="false">
      <c r="A60" s="51" t="s">
        <v>3044</v>
      </c>
      <c r="B60" s="211"/>
      <c r="C60" s="57"/>
      <c r="D60" s="53" t="s">
        <v>3045</v>
      </c>
      <c r="E60" s="53" t="s">
        <v>217</v>
      </c>
      <c r="F60" s="54" t="n">
        <v>546.37</v>
      </c>
      <c r="G60" s="55"/>
      <c r="H60" s="56" t="str">
        <f aca="false">IF(ISBLANK(G60),"",IF(ISNUMBER(F60),ROUND(F60*G60,2),"Укажите цену"))</f>
        <v/>
      </c>
      <c r="I60" s="57" t="s">
        <v>936</v>
      </c>
      <c r="J60" s="57" t="s">
        <v>936</v>
      </c>
      <c r="K60" s="57" t="s">
        <v>936</v>
      </c>
      <c r="L60" s="57" t="s">
        <v>91</v>
      </c>
      <c r="M60" s="57" t="s">
        <v>92</v>
      </c>
      <c r="N60" s="57" t="n">
        <v>100</v>
      </c>
      <c r="O60" s="57" t="s">
        <v>2865</v>
      </c>
      <c r="P60" s="58" t="n">
        <v>0.074</v>
      </c>
      <c r="Q60" s="68" t="s">
        <v>2866</v>
      </c>
      <c r="R60" s="195" t="s">
        <v>3043</v>
      </c>
      <c r="S60" s="60" t="s">
        <v>96</v>
      </c>
      <c r="T60" s="204"/>
    </row>
    <row r="61" s="34" customFormat="true" ht="115" hidden="false" customHeight="true" outlineLevel="2" collapsed="false">
      <c r="A61" s="51" t="s">
        <v>3046</v>
      </c>
      <c r="B61" s="211"/>
      <c r="C61" s="57"/>
      <c r="D61" s="53" t="s">
        <v>3047</v>
      </c>
      <c r="E61" s="53" t="s">
        <v>217</v>
      </c>
      <c r="F61" s="54" t="n">
        <v>342.5</v>
      </c>
      <c r="G61" s="55"/>
      <c r="H61" s="56" t="str">
        <f aca="false">IF(ISBLANK(G61),"",IF(ISNUMBER(F61),ROUND(F61*G61,2),"Укажите цену"))</f>
        <v/>
      </c>
      <c r="I61" s="57" t="s">
        <v>936</v>
      </c>
      <c r="J61" s="57" t="s">
        <v>936</v>
      </c>
      <c r="K61" s="57" t="s">
        <v>936</v>
      </c>
      <c r="L61" s="57" t="s">
        <v>91</v>
      </c>
      <c r="M61" s="57" t="s">
        <v>92</v>
      </c>
      <c r="N61" s="57" t="n">
        <v>100</v>
      </c>
      <c r="O61" s="57" t="s">
        <v>2865</v>
      </c>
      <c r="P61" s="58" t="n">
        <v>0.074</v>
      </c>
      <c r="Q61" s="68" t="s">
        <v>2873</v>
      </c>
      <c r="R61" s="195" t="s">
        <v>3048</v>
      </c>
      <c r="S61" s="60" t="s">
        <v>96</v>
      </c>
      <c r="T61" s="204"/>
    </row>
    <row r="62" s="34" customFormat="true" ht="115" hidden="false" customHeight="true" outlineLevel="2" collapsed="false">
      <c r="A62" s="51" t="s">
        <v>3049</v>
      </c>
      <c r="B62" s="211"/>
      <c r="C62" s="57"/>
      <c r="D62" s="53" t="s">
        <v>3050</v>
      </c>
      <c r="E62" s="53" t="s">
        <v>217</v>
      </c>
      <c r="F62" s="54" t="n">
        <v>342.5</v>
      </c>
      <c r="G62" s="55"/>
      <c r="H62" s="56" t="str">
        <f aca="false">IF(ISBLANK(G62),"",IF(ISNUMBER(F62),ROUND(F62*G62,2),"Укажите цену"))</f>
        <v/>
      </c>
      <c r="I62" s="57" t="n">
        <v>204</v>
      </c>
      <c r="J62" s="57" t="n">
        <v>22.1</v>
      </c>
      <c r="K62" s="57" t="s">
        <v>2872</v>
      </c>
      <c r="L62" s="57" t="s">
        <v>91</v>
      </c>
      <c r="M62" s="57" t="s">
        <v>92</v>
      </c>
      <c r="N62" s="57" t="n">
        <v>100</v>
      </c>
      <c r="O62" s="57" t="s">
        <v>2865</v>
      </c>
      <c r="P62" s="58" t="n">
        <v>0.074</v>
      </c>
      <c r="Q62" s="68" t="s">
        <v>2873</v>
      </c>
      <c r="R62" s="195" t="s">
        <v>3048</v>
      </c>
      <c r="S62" s="60" t="s">
        <v>96</v>
      </c>
      <c r="T62" s="204"/>
    </row>
    <row r="63" s="62" customFormat="true" ht="115" hidden="false" customHeight="true" outlineLevel="2" collapsed="false">
      <c r="A63" s="51" t="s">
        <v>3051</v>
      </c>
      <c r="B63" s="57"/>
      <c r="C63" s="57"/>
      <c r="D63" s="53" t="s">
        <v>3003</v>
      </c>
      <c r="E63" s="53" t="s">
        <v>89</v>
      </c>
      <c r="F63" s="54" t="n">
        <v>505.59</v>
      </c>
      <c r="G63" s="55"/>
      <c r="H63" s="56" t="str">
        <f aca="false">IF(ISBLANK(G63),"",IF(ISNUMBER(F63),ROUND(F63*G63,2),"Укажите цену"))</f>
        <v/>
      </c>
      <c r="I63" s="57" t="n">
        <v>277</v>
      </c>
      <c r="J63" s="57" t="n">
        <v>13.95</v>
      </c>
      <c r="K63" s="57" t="s">
        <v>3004</v>
      </c>
      <c r="L63" s="57" t="s">
        <v>91</v>
      </c>
      <c r="M63" s="57" t="s">
        <v>92</v>
      </c>
      <c r="N63" s="57" t="n">
        <v>48</v>
      </c>
      <c r="O63" s="57" t="s">
        <v>2879</v>
      </c>
      <c r="P63" s="58" t="n">
        <v>0.036</v>
      </c>
      <c r="Q63" s="59" t="s">
        <v>3052</v>
      </c>
      <c r="R63" s="196" t="s">
        <v>3053</v>
      </c>
      <c r="S63" s="212" t="s">
        <v>96</v>
      </c>
      <c r="T63" s="87"/>
      <c r="U63" s="87"/>
      <c r="V63" s="61"/>
      <c r="W63" s="61"/>
      <c r="X63" s="61"/>
      <c r="Y63" s="61"/>
      <c r="Z63" s="61"/>
    </row>
    <row r="64" s="62" customFormat="true" ht="115" hidden="false" customHeight="true" outlineLevel="2" collapsed="false">
      <c r="A64" s="51" t="s">
        <v>3054</v>
      </c>
      <c r="B64" s="57"/>
      <c r="C64" s="57"/>
      <c r="D64" s="53" t="s">
        <v>3007</v>
      </c>
      <c r="E64" s="53" t="s">
        <v>89</v>
      </c>
      <c r="F64" s="54" t="n">
        <v>505.59</v>
      </c>
      <c r="G64" s="55"/>
      <c r="H64" s="56" t="str">
        <f aca="false">IF(ISBLANK(G64),"",IF(ISNUMBER(F64),ROUND(F64*G64,2),"Укажите цену"))</f>
        <v/>
      </c>
      <c r="I64" s="57" t="n">
        <v>317</v>
      </c>
      <c r="J64" s="57" t="n">
        <v>15.65</v>
      </c>
      <c r="K64" s="57" t="s">
        <v>3004</v>
      </c>
      <c r="L64" s="57" t="s">
        <v>91</v>
      </c>
      <c r="M64" s="57" t="s">
        <v>92</v>
      </c>
      <c r="N64" s="57" t="n">
        <v>48</v>
      </c>
      <c r="O64" s="57" t="s">
        <v>2879</v>
      </c>
      <c r="P64" s="58" t="n">
        <v>0.036</v>
      </c>
      <c r="Q64" s="59" t="s">
        <v>3052</v>
      </c>
      <c r="R64" s="168" t="s">
        <v>3053</v>
      </c>
      <c r="S64" s="148" t="s">
        <v>96</v>
      </c>
      <c r="T64" s="87"/>
      <c r="U64" s="87"/>
      <c r="V64" s="61"/>
      <c r="W64" s="61"/>
      <c r="X64" s="61"/>
      <c r="Y64" s="61"/>
      <c r="Z64" s="61"/>
    </row>
    <row r="65" s="62" customFormat="true" ht="115" hidden="false" customHeight="true" outlineLevel="2" collapsed="false">
      <c r="A65" s="51" t="s">
        <v>3055</v>
      </c>
      <c r="B65" s="57"/>
      <c r="C65" s="57"/>
      <c r="D65" s="53" t="s">
        <v>3056</v>
      </c>
      <c r="E65" s="53" t="s">
        <v>89</v>
      </c>
      <c r="F65" s="54" t="n">
        <v>505.59</v>
      </c>
      <c r="G65" s="55"/>
      <c r="H65" s="56" t="str">
        <f aca="false">IF(ISBLANK(G65),"",IF(ISNUMBER(F65),ROUND(F65*G65,2),"Укажите цену"))</f>
        <v/>
      </c>
      <c r="I65" s="57" t="n">
        <v>279</v>
      </c>
      <c r="J65" s="57" t="n">
        <v>14</v>
      </c>
      <c r="K65" s="57" t="s">
        <v>3004</v>
      </c>
      <c r="L65" s="57" t="s">
        <v>91</v>
      </c>
      <c r="M65" s="57" t="s">
        <v>92</v>
      </c>
      <c r="N65" s="57" t="n">
        <v>48</v>
      </c>
      <c r="O65" s="57" t="s">
        <v>2879</v>
      </c>
      <c r="P65" s="58" t="n">
        <v>0.036</v>
      </c>
      <c r="Q65" s="59" t="s">
        <v>3052</v>
      </c>
      <c r="R65" s="168" t="s">
        <v>3057</v>
      </c>
      <c r="S65" s="148" t="s">
        <v>96</v>
      </c>
      <c r="T65" s="87"/>
      <c r="U65" s="87"/>
      <c r="V65" s="61"/>
      <c r="W65" s="61"/>
      <c r="X65" s="61"/>
      <c r="Y65" s="61"/>
      <c r="Z65" s="61"/>
    </row>
    <row r="66" s="62" customFormat="true" ht="115" hidden="false" customHeight="true" outlineLevel="2" collapsed="false">
      <c r="A66" s="51" t="s">
        <v>3058</v>
      </c>
      <c r="B66" s="57"/>
      <c r="C66" s="57"/>
      <c r="D66" s="53" t="s">
        <v>3059</v>
      </c>
      <c r="E66" s="53" t="s">
        <v>89</v>
      </c>
      <c r="F66" s="54" t="n">
        <v>505.59</v>
      </c>
      <c r="G66" s="55"/>
      <c r="H66" s="56" t="str">
        <f aca="false">IF(ISBLANK(G66),"",IF(ISNUMBER(F66),ROUND(F66*G66,2),"Укажите цену"))</f>
        <v/>
      </c>
      <c r="I66" s="57" t="n">
        <v>313</v>
      </c>
      <c r="J66" s="57" t="n">
        <v>15.65</v>
      </c>
      <c r="K66" s="57" t="s">
        <v>3004</v>
      </c>
      <c r="L66" s="57" t="s">
        <v>91</v>
      </c>
      <c r="M66" s="57" t="s">
        <v>92</v>
      </c>
      <c r="N66" s="57" t="n">
        <v>48</v>
      </c>
      <c r="O66" s="57" t="s">
        <v>2879</v>
      </c>
      <c r="P66" s="58" t="n">
        <v>0.036</v>
      </c>
      <c r="Q66" s="59" t="s">
        <v>3052</v>
      </c>
      <c r="R66" s="168" t="s">
        <v>3057</v>
      </c>
      <c r="S66" s="148" t="s">
        <v>96</v>
      </c>
      <c r="T66" s="87"/>
      <c r="U66" s="87"/>
      <c r="V66" s="61"/>
      <c r="W66" s="61"/>
      <c r="X66" s="61"/>
      <c r="Y66" s="61"/>
      <c r="Z66" s="61"/>
    </row>
    <row r="67" s="62" customFormat="true" ht="115" hidden="false" customHeight="true" outlineLevel="2" collapsed="false">
      <c r="A67" s="51" t="s">
        <v>3060</v>
      </c>
      <c r="B67" s="57"/>
      <c r="C67" s="57"/>
      <c r="D67" s="53" t="s">
        <v>3012</v>
      </c>
      <c r="E67" s="53" t="s">
        <v>89</v>
      </c>
      <c r="F67" s="54" t="n">
        <v>616.5</v>
      </c>
      <c r="G67" s="55"/>
      <c r="H67" s="56" t="str">
        <f aca="false">IF(ISBLANK(G67),"",IF(ISNUMBER(F67),ROUND(F67*G67,2),"Укажите цену"))</f>
        <v/>
      </c>
      <c r="I67" s="57" t="n">
        <v>261</v>
      </c>
      <c r="J67" s="26" t="n">
        <v>13.05</v>
      </c>
      <c r="K67" s="57" t="s">
        <v>3013</v>
      </c>
      <c r="L67" s="57" t="s">
        <v>91</v>
      </c>
      <c r="M67" s="57" t="s">
        <v>92</v>
      </c>
      <c r="N67" s="57" t="n">
        <v>48</v>
      </c>
      <c r="O67" s="57" t="s">
        <v>2879</v>
      </c>
      <c r="P67" s="58" t="n">
        <v>0.036</v>
      </c>
      <c r="Q67" s="59" t="s">
        <v>3061</v>
      </c>
      <c r="R67" s="168" t="s">
        <v>3014</v>
      </c>
      <c r="S67" s="148" t="s">
        <v>96</v>
      </c>
      <c r="T67" s="87"/>
      <c r="U67" s="87"/>
      <c r="V67" s="61"/>
      <c r="W67" s="61"/>
      <c r="X67" s="61"/>
      <c r="Y67" s="61"/>
      <c r="Z67" s="61"/>
    </row>
    <row r="68" s="62" customFormat="true" ht="115" hidden="false" customHeight="true" outlineLevel="2" collapsed="false">
      <c r="A68" s="51" t="s">
        <v>3062</v>
      </c>
      <c r="B68" s="57"/>
      <c r="C68" s="57"/>
      <c r="D68" s="53" t="s">
        <v>3016</v>
      </c>
      <c r="E68" s="53" t="s">
        <v>89</v>
      </c>
      <c r="F68" s="54" t="n">
        <v>616.5</v>
      </c>
      <c r="G68" s="55"/>
      <c r="H68" s="56" t="str">
        <f aca="false">IF(ISBLANK(G68),"",IF(ISNUMBER(F68),ROUND(F68*G68,2),"Укажите цену"))</f>
        <v/>
      </c>
      <c r="I68" s="57" t="n">
        <v>293</v>
      </c>
      <c r="J68" s="26" t="n">
        <v>14.6</v>
      </c>
      <c r="K68" s="57" t="s">
        <v>3013</v>
      </c>
      <c r="L68" s="57" t="s">
        <v>91</v>
      </c>
      <c r="M68" s="57" t="s">
        <v>92</v>
      </c>
      <c r="N68" s="57" t="n">
        <v>48</v>
      </c>
      <c r="O68" s="57" t="s">
        <v>2879</v>
      </c>
      <c r="P68" s="58" t="n">
        <v>0.036</v>
      </c>
      <c r="Q68" s="59" t="s">
        <v>3061</v>
      </c>
      <c r="R68" s="168" t="s">
        <v>3014</v>
      </c>
      <c r="S68" s="148" t="s">
        <v>96</v>
      </c>
      <c r="T68" s="87"/>
      <c r="U68" s="87"/>
      <c r="V68" s="61"/>
      <c r="W68" s="61"/>
      <c r="X68" s="61"/>
      <c r="Y68" s="61"/>
      <c r="Z68" s="61"/>
    </row>
    <row r="69" s="62" customFormat="true" ht="115" hidden="false" customHeight="true" outlineLevel="2" collapsed="false">
      <c r="A69" s="51" t="s">
        <v>3063</v>
      </c>
      <c r="B69" s="57"/>
      <c r="C69" s="57"/>
      <c r="D69" s="53" t="s">
        <v>3064</v>
      </c>
      <c r="E69" s="53" t="s">
        <v>89</v>
      </c>
      <c r="F69" s="54" t="n">
        <v>616.5</v>
      </c>
      <c r="G69" s="55"/>
      <c r="H69" s="56" t="str">
        <f aca="false">IF(ISBLANK(G69),"",IF(ISNUMBER(F69),ROUND(F69*G69,2),"Укажите цену"))</f>
        <v/>
      </c>
      <c r="I69" s="57" t="n">
        <v>272</v>
      </c>
      <c r="J69" s="26" t="n">
        <v>13.6</v>
      </c>
      <c r="K69" s="57" t="s">
        <v>3013</v>
      </c>
      <c r="L69" s="57" t="s">
        <v>91</v>
      </c>
      <c r="M69" s="57" t="s">
        <v>92</v>
      </c>
      <c r="N69" s="57" t="n">
        <v>48</v>
      </c>
      <c r="O69" s="57" t="s">
        <v>2879</v>
      </c>
      <c r="P69" s="58" t="n">
        <v>0.036</v>
      </c>
      <c r="Q69" s="59" t="s">
        <v>3061</v>
      </c>
      <c r="R69" s="168" t="s">
        <v>3065</v>
      </c>
      <c r="S69" s="148" t="s">
        <v>96</v>
      </c>
      <c r="T69" s="87"/>
      <c r="U69" s="87"/>
      <c r="V69" s="61"/>
      <c r="W69" s="61"/>
      <c r="X69" s="61"/>
      <c r="Y69" s="61"/>
      <c r="Z69" s="61"/>
    </row>
    <row r="70" s="62" customFormat="true" ht="115" hidden="false" customHeight="true" outlineLevel="2" collapsed="false">
      <c r="A70" s="51" t="s">
        <v>3066</v>
      </c>
      <c r="B70" s="57"/>
      <c r="C70" s="57"/>
      <c r="D70" s="53" t="s">
        <v>3067</v>
      </c>
      <c r="E70" s="53" t="s">
        <v>89</v>
      </c>
      <c r="F70" s="54" t="n">
        <v>616.5</v>
      </c>
      <c r="G70" s="55"/>
      <c r="H70" s="56" t="str">
        <f aca="false">IF(ISBLANK(G70),"",IF(ISNUMBER(F70),ROUND(F70*G70,2),"Укажите цену"))</f>
        <v/>
      </c>
      <c r="I70" s="57" t="n">
        <v>305</v>
      </c>
      <c r="J70" s="26" t="n">
        <v>15.2</v>
      </c>
      <c r="K70" s="57" t="s">
        <v>3013</v>
      </c>
      <c r="L70" s="57" t="s">
        <v>91</v>
      </c>
      <c r="M70" s="57" t="s">
        <v>92</v>
      </c>
      <c r="N70" s="57" t="n">
        <v>48</v>
      </c>
      <c r="O70" s="57" t="s">
        <v>2879</v>
      </c>
      <c r="P70" s="58" t="n">
        <v>0.036</v>
      </c>
      <c r="Q70" s="59" t="s">
        <v>3061</v>
      </c>
      <c r="R70" s="168" t="s">
        <v>3065</v>
      </c>
      <c r="S70" s="148" t="s">
        <v>96</v>
      </c>
      <c r="T70" s="87"/>
      <c r="U70" s="87"/>
      <c r="V70" s="61"/>
      <c r="W70" s="61"/>
      <c r="X70" s="61"/>
      <c r="Y70" s="61"/>
      <c r="Z70" s="61"/>
    </row>
    <row r="71" s="62" customFormat="true" ht="115" hidden="false" customHeight="true" outlineLevel="2" collapsed="false">
      <c r="A71" s="51" t="s">
        <v>3068</v>
      </c>
      <c r="B71" s="57"/>
      <c r="C71" s="57"/>
      <c r="D71" s="53" t="s">
        <v>3021</v>
      </c>
      <c r="E71" s="53" t="s">
        <v>89</v>
      </c>
      <c r="F71" s="54" t="n">
        <v>383.27</v>
      </c>
      <c r="G71" s="55"/>
      <c r="H71" s="56" t="str">
        <f aca="false">IF(ISBLANK(G71),"",IF(ISNUMBER(F71),ROUND(F71*G71,2),"Укажите цену"))</f>
        <v/>
      </c>
      <c r="I71" s="57" t="n">
        <v>268</v>
      </c>
      <c r="J71" s="57" t="n">
        <v>13.35</v>
      </c>
      <c r="K71" s="57" t="s">
        <v>3022</v>
      </c>
      <c r="L71" s="57" t="s">
        <v>91</v>
      </c>
      <c r="M71" s="57" t="s">
        <v>92</v>
      </c>
      <c r="N71" s="57" t="n">
        <v>48</v>
      </c>
      <c r="O71" s="57" t="s">
        <v>2879</v>
      </c>
      <c r="P71" s="58" t="n">
        <v>0.036</v>
      </c>
      <c r="Q71" s="59" t="s">
        <v>3069</v>
      </c>
      <c r="R71" s="168" t="s">
        <v>3070</v>
      </c>
      <c r="S71" s="168" t="s">
        <v>3024</v>
      </c>
      <c r="T71" s="87"/>
      <c r="U71" s="87"/>
      <c r="V71" s="61"/>
      <c r="W71" s="61"/>
      <c r="X71" s="61"/>
      <c r="Y71" s="61"/>
      <c r="Z71" s="61"/>
    </row>
    <row r="72" s="62" customFormat="true" ht="115" hidden="false" customHeight="true" outlineLevel="2" collapsed="false">
      <c r="A72" s="51" t="s">
        <v>3071</v>
      </c>
      <c r="B72" s="57"/>
      <c r="C72" s="57"/>
      <c r="D72" s="53" t="s">
        <v>3026</v>
      </c>
      <c r="E72" s="53" t="s">
        <v>89</v>
      </c>
      <c r="F72" s="54" t="n">
        <v>383.27</v>
      </c>
      <c r="G72" s="55"/>
      <c r="H72" s="56" t="str">
        <f aca="false">IF(ISBLANK(G72),"",IF(ISNUMBER(F72),ROUND(F72*G72,2),"Укажите цену"))</f>
        <v/>
      </c>
      <c r="I72" s="57" t="n">
        <v>299</v>
      </c>
      <c r="J72" s="57" t="n">
        <v>14.9</v>
      </c>
      <c r="K72" s="57" t="s">
        <v>3022</v>
      </c>
      <c r="L72" s="57" t="s">
        <v>91</v>
      </c>
      <c r="M72" s="57" t="s">
        <v>92</v>
      </c>
      <c r="N72" s="57" t="n">
        <v>48</v>
      </c>
      <c r="O72" s="57" t="s">
        <v>2879</v>
      </c>
      <c r="P72" s="58" t="n">
        <v>0.036</v>
      </c>
      <c r="Q72" s="59" t="s">
        <v>3069</v>
      </c>
      <c r="R72" s="168" t="s">
        <v>3070</v>
      </c>
      <c r="S72" s="168" t="s">
        <v>3024</v>
      </c>
      <c r="T72" s="87"/>
      <c r="U72" s="87"/>
      <c r="V72" s="61"/>
      <c r="W72" s="61"/>
      <c r="X72" s="61"/>
      <c r="Y72" s="61"/>
      <c r="Z72" s="61"/>
    </row>
    <row r="73" s="62" customFormat="true" ht="115" hidden="false" customHeight="true" outlineLevel="2" collapsed="false">
      <c r="A73" s="51" t="s">
        <v>3072</v>
      </c>
      <c r="B73" s="57"/>
      <c r="C73" s="57"/>
      <c r="D73" s="53" t="s">
        <v>3073</v>
      </c>
      <c r="E73" s="53" t="s">
        <v>89</v>
      </c>
      <c r="F73" s="54" t="n">
        <v>383.27</v>
      </c>
      <c r="G73" s="55"/>
      <c r="H73" s="56" t="str">
        <f aca="false">IF(ISBLANK(G73),"",IF(ISNUMBER(F73),ROUND(F73*G73,2),"Укажите цену"))</f>
        <v/>
      </c>
      <c r="I73" s="57" t="n">
        <v>265</v>
      </c>
      <c r="J73" s="57" t="n">
        <v>13.4</v>
      </c>
      <c r="K73" s="57" t="s">
        <v>3022</v>
      </c>
      <c r="L73" s="57" t="s">
        <v>91</v>
      </c>
      <c r="M73" s="57" t="s">
        <v>92</v>
      </c>
      <c r="N73" s="57" t="n">
        <v>48</v>
      </c>
      <c r="O73" s="57" t="s">
        <v>2879</v>
      </c>
      <c r="P73" s="58" t="n">
        <v>0.036</v>
      </c>
      <c r="Q73" s="59" t="s">
        <v>3069</v>
      </c>
      <c r="R73" s="168" t="s">
        <v>3074</v>
      </c>
      <c r="S73" s="168" t="s">
        <v>3024</v>
      </c>
      <c r="T73" s="87"/>
      <c r="U73" s="87"/>
      <c r="V73" s="61"/>
      <c r="W73" s="61"/>
      <c r="X73" s="61"/>
      <c r="Y73" s="61"/>
      <c r="Z73" s="61"/>
    </row>
    <row r="74" s="62" customFormat="true" ht="115" hidden="false" customHeight="true" outlineLevel="2" collapsed="false">
      <c r="A74" s="51" t="s">
        <v>3075</v>
      </c>
      <c r="B74" s="57"/>
      <c r="C74" s="57"/>
      <c r="D74" s="53" t="s">
        <v>3076</v>
      </c>
      <c r="E74" s="53" t="s">
        <v>89</v>
      </c>
      <c r="F74" s="54" t="n">
        <v>383.27</v>
      </c>
      <c r="G74" s="55"/>
      <c r="H74" s="56" t="str">
        <f aca="false">IF(ISBLANK(G74),"",IF(ISNUMBER(F74),ROUND(F74*G74,2),"Укажите цену"))</f>
        <v/>
      </c>
      <c r="I74" s="57" t="n">
        <v>297</v>
      </c>
      <c r="J74" s="57" t="n">
        <v>14.8</v>
      </c>
      <c r="K74" s="57" t="s">
        <v>3022</v>
      </c>
      <c r="L74" s="57" t="s">
        <v>91</v>
      </c>
      <c r="M74" s="57" t="s">
        <v>92</v>
      </c>
      <c r="N74" s="57" t="n">
        <v>48</v>
      </c>
      <c r="O74" s="57" t="s">
        <v>2879</v>
      </c>
      <c r="P74" s="58" t="n">
        <v>0.036</v>
      </c>
      <c r="Q74" s="59" t="s">
        <v>3069</v>
      </c>
      <c r="R74" s="168" t="s">
        <v>3074</v>
      </c>
      <c r="S74" s="168" t="s">
        <v>3024</v>
      </c>
      <c r="T74" s="87"/>
      <c r="U74" s="87"/>
      <c r="V74" s="61"/>
      <c r="W74" s="61"/>
      <c r="X74" s="61"/>
      <c r="Y74" s="61"/>
      <c r="Z74" s="61"/>
    </row>
    <row r="75" s="4" customFormat="true" ht="5.25" hidden="false" customHeight="true" outlineLevel="2" collapsed="false">
      <c r="A75" s="135"/>
      <c r="B75" s="135"/>
      <c r="C75" s="135"/>
      <c r="D75" s="135"/>
      <c r="E75" s="135"/>
      <c r="F75" s="135"/>
      <c r="G75" s="135"/>
      <c r="H75" s="135"/>
      <c r="I75" s="135"/>
      <c r="J75" s="135"/>
      <c r="K75" s="135"/>
      <c r="L75" s="135"/>
      <c r="M75" s="135"/>
      <c r="N75" s="135"/>
      <c r="O75" s="135"/>
      <c r="P75" s="135"/>
      <c r="Q75" s="135"/>
      <c r="R75" s="135"/>
      <c r="S75" s="136"/>
    </row>
    <row r="76" s="50" customFormat="true" ht="27" hidden="false" customHeight="true" outlineLevel="1" collapsed="false">
      <c r="A76" s="49" t="s">
        <v>3077</v>
      </c>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c r="DA76" s="49"/>
      <c r="DB76" s="49"/>
      <c r="DC76" s="49"/>
      <c r="DD76" s="49"/>
      <c r="DE76" s="49"/>
      <c r="DF76" s="49"/>
      <c r="DG76" s="49"/>
      <c r="DH76" s="49"/>
      <c r="DI76" s="49"/>
      <c r="DJ76" s="49"/>
      <c r="DK76" s="49"/>
      <c r="DL76" s="49"/>
      <c r="DM76" s="49"/>
      <c r="DN76" s="49"/>
      <c r="DO76" s="49"/>
      <c r="DP76" s="49"/>
      <c r="DQ76" s="49"/>
      <c r="DR76" s="49"/>
      <c r="DS76" s="49"/>
      <c r="DT76" s="49"/>
      <c r="DU76" s="49"/>
      <c r="DV76" s="49"/>
      <c r="DW76" s="49"/>
      <c r="DX76" s="49"/>
      <c r="DY76" s="49"/>
      <c r="DZ76" s="49"/>
      <c r="EA76" s="49"/>
      <c r="EB76" s="49"/>
      <c r="EC76" s="49"/>
      <c r="ED76" s="49"/>
      <c r="EE76" s="49"/>
      <c r="EF76" s="49"/>
      <c r="EG76" s="49"/>
      <c r="EH76" s="49"/>
      <c r="EI76" s="49"/>
      <c r="EJ76" s="49"/>
      <c r="EK76" s="49"/>
      <c r="EL76" s="49"/>
      <c r="EM76" s="49"/>
      <c r="EN76" s="49"/>
      <c r="EO76" s="49"/>
      <c r="EP76" s="49"/>
      <c r="EQ76" s="49"/>
      <c r="ER76" s="49"/>
      <c r="ES76" s="49"/>
      <c r="ET76" s="49"/>
      <c r="EU76" s="49"/>
      <c r="EV76" s="49"/>
      <c r="EW76" s="49"/>
      <c r="EX76" s="49"/>
      <c r="EY76" s="49"/>
      <c r="EZ76" s="49"/>
      <c r="FA76" s="49"/>
      <c r="FB76" s="49"/>
      <c r="FC76" s="49"/>
      <c r="FD76" s="49"/>
      <c r="FE76" s="49"/>
      <c r="FF76" s="49"/>
      <c r="FG76" s="49"/>
      <c r="FH76" s="49"/>
      <c r="FI76" s="49"/>
      <c r="FJ76" s="49"/>
      <c r="FK76" s="49"/>
      <c r="FL76" s="49"/>
      <c r="FM76" s="49"/>
      <c r="FN76" s="49"/>
      <c r="FO76" s="49"/>
      <c r="FP76" s="49"/>
      <c r="FQ76" s="49"/>
      <c r="FR76" s="49"/>
      <c r="FS76" s="49"/>
      <c r="FT76" s="49"/>
      <c r="FU76" s="49"/>
      <c r="FV76" s="49"/>
      <c r="FW76" s="49"/>
      <c r="FX76" s="49"/>
      <c r="FY76" s="49"/>
      <c r="FZ76" s="49"/>
      <c r="GA76" s="49"/>
      <c r="GB76" s="49"/>
      <c r="GC76" s="49"/>
      <c r="GD76" s="49"/>
      <c r="GE76" s="49"/>
      <c r="GF76" s="49"/>
      <c r="GG76" s="49"/>
      <c r="GH76" s="49"/>
      <c r="GI76" s="49"/>
      <c r="GJ76" s="49"/>
      <c r="GK76" s="49"/>
      <c r="GL76" s="49"/>
      <c r="GM76" s="49"/>
      <c r="GN76" s="49"/>
      <c r="GO76" s="49"/>
      <c r="GP76" s="49"/>
      <c r="GQ76" s="49"/>
      <c r="GR76" s="49"/>
      <c r="GS76" s="49"/>
      <c r="GT76" s="49"/>
      <c r="GU76" s="49"/>
      <c r="GV76" s="49"/>
      <c r="GW76" s="49"/>
      <c r="GX76" s="49"/>
      <c r="GY76" s="49"/>
      <c r="GZ76" s="49"/>
      <c r="HA76" s="49"/>
      <c r="HB76" s="49"/>
      <c r="HC76" s="49"/>
      <c r="HD76" s="49"/>
      <c r="HE76" s="49"/>
      <c r="HF76" s="49"/>
      <c r="HG76" s="49"/>
      <c r="HH76" s="49"/>
      <c r="HI76" s="49"/>
      <c r="HJ76" s="49"/>
      <c r="HK76" s="49"/>
      <c r="HL76" s="49"/>
      <c r="HM76" s="49"/>
      <c r="HN76" s="49"/>
      <c r="HO76" s="49"/>
      <c r="HP76" s="49"/>
      <c r="HQ76" s="49"/>
      <c r="HR76" s="49"/>
      <c r="HS76" s="49"/>
      <c r="HT76" s="49"/>
      <c r="HU76" s="49"/>
      <c r="HV76" s="49"/>
      <c r="HW76" s="49"/>
      <c r="HX76" s="49"/>
      <c r="HY76" s="49"/>
      <c r="HZ76" s="49"/>
      <c r="IA76" s="49"/>
      <c r="IB76" s="49"/>
      <c r="IC76" s="49"/>
      <c r="ID76" s="49"/>
      <c r="IE76" s="49"/>
      <c r="IF76" s="49"/>
      <c r="IG76" s="49"/>
      <c r="IH76" s="49"/>
      <c r="II76" s="49"/>
      <c r="IJ76" s="49"/>
      <c r="IK76" s="49"/>
      <c r="IL76" s="49"/>
      <c r="IM76" s="49"/>
      <c r="IN76" s="49"/>
      <c r="IO76" s="49"/>
      <c r="IP76" s="49"/>
      <c r="IQ76" s="49"/>
      <c r="IR76" s="49"/>
      <c r="IS76" s="49"/>
      <c r="IT76" s="49"/>
      <c r="IU76" s="49"/>
      <c r="IV76" s="49"/>
      <c r="IW76" s="49"/>
    </row>
    <row r="77" s="62" customFormat="true" ht="115" hidden="false" customHeight="true" outlineLevel="2" collapsed="false">
      <c r="A77" s="51" t="s">
        <v>3078</v>
      </c>
      <c r="B77" s="57"/>
      <c r="C77" s="57"/>
      <c r="D77" s="53" t="s">
        <v>3079</v>
      </c>
      <c r="E77" s="53" t="s">
        <v>89</v>
      </c>
      <c r="F77" s="54" t="n">
        <v>484.39</v>
      </c>
      <c r="G77" s="55"/>
      <c r="H77" s="56" t="str">
        <f aca="false">IF(ISBLANK(G77),"",IF(ISNUMBER(F77),ROUND(F77*G77,2),"Укажите цену"))</f>
        <v/>
      </c>
      <c r="I77" s="57" t="s">
        <v>936</v>
      </c>
      <c r="J77" s="26" t="s">
        <v>936</v>
      </c>
      <c r="K77" s="57" t="s">
        <v>936</v>
      </c>
      <c r="L77" s="57" t="s">
        <v>91</v>
      </c>
      <c r="M77" s="57" t="s">
        <v>92</v>
      </c>
      <c r="N77" s="57" t="n">
        <v>48</v>
      </c>
      <c r="O77" s="57" t="s">
        <v>2879</v>
      </c>
      <c r="P77" s="58" t="n">
        <v>0.036</v>
      </c>
      <c r="Q77" s="59" t="s">
        <v>3052</v>
      </c>
      <c r="R77" s="93" t="s">
        <v>3080</v>
      </c>
      <c r="S77" s="212" t="s">
        <v>96</v>
      </c>
      <c r="T77" s="87"/>
      <c r="U77" s="87"/>
      <c r="V77" s="61"/>
      <c r="W77" s="61"/>
      <c r="X77" s="61"/>
      <c r="Y77" s="61"/>
      <c r="Z77" s="61"/>
    </row>
    <row r="78" s="62" customFormat="true" ht="115" hidden="false" customHeight="true" outlineLevel="2" collapsed="false">
      <c r="A78" s="51" t="s">
        <v>3081</v>
      </c>
      <c r="B78" s="57"/>
      <c r="C78" s="57"/>
      <c r="D78" s="53" t="s">
        <v>3082</v>
      </c>
      <c r="E78" s="53" t="s">
        <v>89</v>
      </c>
      <c r="F78" s="54" t="n">
        <v>484.39</v>
      </c>
      <c r="G78" s="55"/>
      <c r="H78" s="56" t="str">
        <f aca="false">IF(ISBLANK(G78),"",IF(ISNUMBER(F78),ROUND(F78*G78,2),"Укажите цену"))</f>
        <v/>
      </c>
      <c r="I78" s="57" t="s">
        <v>936</v>
      </c>
      <c r="J78" s="26" t="s">
        <v>936</v>
      </c>
      <c r="K78" s="57" t="s">
        <v>936</v>
      </c>
      <c r="L78" s="57" t="s">
        <v>91</v>
      </c>
      <c r="M78" s="57" t="s">
        <v>92</v>
      </c>
      <c r="N78" s="57" t="n">
        <v>48</v>
      </c>
      <c r="O78" s="57" t="s">
        <v>2879</v>
      </c>
      <c r="P78" s="58" t="n">
        <v>0.036</v>
      </c>
      <c r="Q78" s="59" t="s">
        <v>3052</v>
      </c>
      <c r="R78" s="77" t="s">
        <v>3080</v>
      </c>
      <c r="S78" s="148" t="s">
        <v>96</v>
      </c>
      <c r="T78" s="87"/>
      <c r="U78" s="87"/>
      <c r="V78" s="61"/>
      <c r="W78" s="61"/>
      <c r="X78" s="61"/>
      <c r="Y78" s="61"/>
      <c r="Z78" s="61"/>
    </row>
    <row r="79" s="62" customFormat="true" ht="115" hidden="false" customHeight="true" outlineLevel="2" collapsed="false">
      <c r="A79" s="51" t="s">
        <v>3083</v>
      </c>
      <c r="B79" s="57"/>
      <c r="C79" s="57"/>
      <c r="D79" s="53" t="s">
        <v>3084</v>
      </c>
      <c r="E79" s="53" t="s">
        <v>89</v>
      </c>
      <c r="F79" s="54" t="n">
        <v>484.39</v>
      </c>
      <c r="G79" s="55"/>
      <c r="H79" s="56" t="str">
        <f aca="false">IF(ISBLANK(G79),"",IF(ISNUMBER(F79),ROUND(F79*G79,2),"Укажите цену"))</f>
        <v/>
      </c>
      <c r="I79" s="57" t="s">
        <v>936</v>
      </c>
      <c r="J79" s="26" t="s">
        <v>936</v>
      </c>
      <c r="K79" s="57" t="s">
        <v>936</v>
      </c>
      <c r="L79" s="57" t="s">
        <v>91</v>
      </c>
      <c r="M79" s="57" t="s">
        <v>92</v>
      </c>
      <c r="N79" s="57" t="n">
        <v>48</v>
      </c>
      <c r="O79" s="57" t="s">
        <v>2879</v>
      </c>
      <c r="P79" s="58" t="n">
        <v>0.036</v>
      </c>
      <c r="Q79" s="59" t="s">
        <v>3052</v>
      </c>
      <c r="R79" s="77" t="s">
        <v>3085</v>
      </c>
      <c r="S79" s="148" t="s">
        <v>96</v>
      </c>
      <c r="T79" s="87"/>
      <c r="U79" s="87"/>
      <c r="V79" s="61"/>
      <c r="W79" s="61"/>
      <c r="X79" s="61"/>
      <c r="Y79" s="61"/>
      <c r="Z79" s="61"/>
    </row>
    <row r="80" s="62" customFormat="true" ht="115" hidden="false" customHeight="true" outlineLevel="2" collapsed="false">
      <c r="A80" s="51" t="s">
        <v>3086</v>
      </c>
      <c r="B80" s="57"/>
      <c r="C80" s="57"/>
      <c r="D80" s="53" t="s">
        <v>3087</v>
      </c>
      <c r="E80" s="53" t="s">
        <v>89</v>
      </c>
      <c r="F80" s="54" t="n">
        <v>484.39</v>
      </c>
      <c r="G80" s="55"/>
      <c r="H80" s="56" t="str">
        <f aca="false">IF(ISBLANK(G80),"",IF(ISNUMBER(F80),ROUND(F80*G80,2),"Укажите цену"))</f>
        <v/>
      </c>
      <c r="I80" s="57" t="s">
        <v>936</v>
      </c>
      <c r="J80" s="26" t="s">
        <v>936</v>
      </c>
      <c r="K80" s="57" t="s">
        <v>936</v>
      </c>
      <c r="L80" s="57" t="s">
        <v>91</v>
      </c>
      <c r="M80" s="57" t="s">
        <v>92</v>
      </c>
      <c r="N80" s="57" t="n">
        <v>48</v>
      </c>
      <c r="O80" s="57" t="s">
        <v>2879</v>
      </c>
      <c r="P80" s="58" t="n">
        <v>0.036</v>
      </c>
      <c r="Q80" s="59" t="s">
        <v>3052</v>
      </c>
      <c r="R80" s="77" t="s">
        <v>3085</v>
      </c>
      <c r="S80" s="148" t="s">
        <v>96</v>
      </c>
      <c r="T80" s="87"/>
      <c r="U80" s="87"/>
      <c r="V80" s="61"/>
      <c r="W80" s="61"/>
      <c r="X80" s="61"/>
      <c r="Y80" s="61"/>
      <c r="Z80" s="61"/>
    </row>
    <row r="81" s="62" customFormat="true" ht="115" hidden="false" customHeight="true" outlineLevel="2" collapsed="false">
      <c r="A81" s="51" t="s">
        <v>3088</v>
      </c>
      <c r="B81" s="57"/>
      <c r="C81" s="57"/>
      <c r="D81" s="53" t="s">
        <v>3089</v>
      </c>
      <c r="E81" s="53" t="s">
        <v>89</v>
      </c>
      <c r="F81" s="54" t="n">
        <v>616.5</v>
      </c>
      <c r="G81" s="55"/>
      <c r="H81" s="56" t="str">
        <f aca="false">IF(ISBLANK(G81),"",IF(ISNUMBER(F81),ROUND(F81*G81,2),"Укажите цену"))</f>
        <v/>
      </c>
      <c r="I81" s="57" t="s">
        <v>936</v>
      </c>
      <c r="J81" s="26" t="s">
        <v>936</v>
      </c>
      <c r="K81" s="57" t="s">
        <v>936</v>
      </c>
      <c r="L81" s="57" t="s">
        <v>91</v>
      </c>
      <c r="M81" s="57" t="s">
        <v>92</v>
      </c>
      <c r="N81" s="57" t="n">
        <v>48</v>
      </c>
      <c r="O81" s="57" t="s">
        <v>2879</v>
      </c>
      <c r="P81" s="58" t="n">
        <v>0.036</v>
      </c>
      <c r="Q81" s="59" t="s">
        <v>3061</v>
      </c>
      <c r="R81" s="77" t="s">
        <v>3090</v>
      </c>
      <c r="S81" s="148" t="s">
        <v>96</v>
      </c>
      <c r="T81" s="87"/>
      <c r="U81" s="87"/>
      <c r="V81" s="61"/>
      <c r="W81" s="61"/>
      <c r="X81" s="61"/>
      <c r="Y81" s="61"/>
      <c r="Z81" s="61"/>
    </row>
    <row r="82" s="62" customFormat="true" ht="115" hidden="false" customHeight="true" outlineLevel="2" collapsed="false">
      <c r="A82" s="51" t="s">
        <v>3091</v>
      </c>
      <c r="B82" s="57"/>
      <c r="C82" s="57"/>
      <c r="D82" s="53" t="s">
        <v>3092</v>
      </c>
      <c r="E82" s="53" t="s">
        <v>89</v>
      </c>
      <c r="F82" s="54" t="n">
        <v>616.5</v>
      </c>
      <c r="G82" s="55"/>
      <c r="H82" s="56" t="str">
        <f aca="false">IF(ISBLANK(G82),"",IF(ISNUMBER(F82),ROUND(F82*G82,2),"Укажите цену"))</f>
        <v/>
      </c>
      <c r="I82" s="57" t="s">
        <v>936</v>
      </c>
      <c r="J82" s="26" t="s">
        <v>936</v>
      </c>
      <c r="K82" s="57" t="s">
        <v>936</v>
      </c>
      <c r="L82" s="57" t="s">
        <v>91</v>
      </c>
      <c r="M82" s="57" t="s">
        <v>92</v>
      </c>
      <c r="N82" s="57" t="n">
        <v>48</v>
      </c>
      <c r="O82" s="57" t="s">
        <v>2879</v>
      </c>
      <c r="P82" s="58" t="n">
        <v>0.036</v>
      </c>
      <c r="Q82" s="59" t="s">
        <v>3061</v>
      </c>
      <c r="R82" s="77" t="s">
        <v>3090</v>
      </c>
      <c r="S82" s="148" t="s">
        <v>96</v>
      </c>
      <c r="T82" s="87"/>
      <c r="U82" s="87"/>
      <c r="V82" s="61"/>
      <c r="W82" s="61"/>
      <c r="X82" s="61"/>
      <c r="Y82" s="61"/>
      <c r="Z82" s="61"/>
    </row>
    <row r="83" s="62" customFormat="true" ht="115" hidden="false" customHeight="true" outlineLevel="2" collapsed="false">
      <c r="A83" s="51" t="s">
        <v>3093</v>
      </c>
      <c r="B83" s="57"/>
      <c r="C83" s="57"/>
      <c r="D83" s="53" t="s">
        <v>3094</v>
      </c>
      <c r="E83" s="53" t="s">
        <v>89</v>
      </c>
      <c r="F83" s="54" t="n">
        <v>616.5</v>
      </c>
      <c r="G83" s="55"/>
      <c r="H83" s="56" t="str">
        <f aca="false">IF(ISBLANK(G83),"",IF(ISNUMBER(F83),ROUND(F83*G83,2),"Укажите цену"))</f>
        <v/>
      </c>
      <c r="I83" s="57" t="s">
        <v>936</v>
      </c>
      <c r="J83" s="26" t="s">
        <v>936</v>
      </c>
      <c r="K83" s="57" t="s">
        <v>936</v>
      </c>
      <c r="L83" s="57" t="s">
        <v>91</v>
      </c>
      <c r="M83" s="57" t="s">
        <v>92</v>
      </c>
      <c r="N83" s="57" t="n">
        <v>48</v>
      </c>
      <c r="O83" s="57" t="s">
        <v>2879</v>
      </c>
      <c r="P83" s="58" t="n">
        <v>0.036</v>
      </c>
      <c r="Q83" s="59" t="s">
        <v>3061</v>
      </c>
      <c r="R83" s="77" t="s">
        <v>3095</v>
      </c>
      <c r="S83" s="148" t="s">
        <v>96</v>
      </c>
      <c r="T83" s="87"/>
      <c r="U83" s="87"/>
      <c r="V83" s="61"/>
      <c r="W83" s="61"/>
      <c r="X83" s="61"/>
      <c r="Y83" s="61"/>
      <c r="Z83" s="61"/>
    </row>
    <row r="84" s="62" customFormat="true" ht="115" hidden="false" customHeight="true" outlineLevel="2" collapsed="false">
      <c r="A84" s="51" t="s">
        <v>3096</v>
      </c>
      <c r="B84" s="57"/>
      <c r="C84" s="57"/>
      <c r="D84" s="53" t="s">
        <v>3097</v>
      </c>
      <c r="E84" s="53" t="s">
        <v>89</v>
      </c>
      <c r="F84" s="54" t="n">
        <v>616.5</v>
      </c>
      <c r="G84" s="55"/>
      <c r="H84" s="56" t="str">
        <f aca="false">IF(ISBLANK(G84),"",IF(ISNUMBER(F84),ROUND(F84*G84,2),"Укажите цену"))</f>
        <v/>
      </c>
      <c r="I84" s="57" t="s">
        <v>936</v>
      </c>
      <c r="J84" s="26" t="s">
        <v>936</v>
      </c>
      <c r="K84" s="57" t="s">
        <v>936</v>
      </c>
      <c r="L84" s="57" t="s">
        <v>91</v>
      </c>
      <c r="M84" s="57" t="s">
        <v>92</v>
      </c>
      <c r="N84" s="57" t="n">
        <v>48</v>
      </c>
      <c r="O84" s="57" t="s">
        <v>2879</v>
      </c>
      <c r="P84" s="58" t="n">
        <v>0.036</v>
      </c>
      <c r="Q84" s="59" t="s">
        <v>3061</v>
      </c>
      <c r="R84" s="77" t="s">
        <v>3095</v>
      </c>
      <c r="S84" s="148" t="s">
        <v>96</v>
      </c>
      <c r="T84" s="87"/>
      <c r="U84" s="87"/>
      <c r="V84" s="61"/>
      <c r="W84" s="61"/>
      <c r="X84" s="61"/>
      <c r="Y84" s="61"/>
      <c r="Z84" s="61"/>
    </row>
    <row r="85" s="62" customFormat="true" ht="115" hidden="false" customHeight="true" outlineLevel="2" collapsed="false">
      <c r="A85" s="51" t="s">
        <v>3098</v>
      </c>
      <c r="B85" s="57"/>
      <c r="C85" s="57"/>
      <c r="D85" s="53" t="s">
        <v>3099</v>
      </c>
      <c r="E85" s="53" t="s">
        <v>89</v>
      </c>
      <c r="F85" s="54" t="n">
        <v>375.12</v>
      </c>
      <c r="G85" s="55"/>
      <c r="H85" s="56" t="str">
        <f aca="false">IF(ISBLANK(G85),"",IF(ISNUMBER(F85),ROUND(F85*G85,2),"Укажите цену"))</f>
        <v/>
      </c>
      <c r="I85" s="57" t="s">
        <v>936</v>
      </c>
      <c r="J85" s="26" t="s">
        <v>936</v>
      </c>
      <c r="K85" s="57" t="s">
        <v>936</v>
      </c>
      <c r="L85" s="57" t="s">
        <v>91</v>
      </c>
      <c r="M85" s="57" t="s">
        <v>92</v>
      </c>
      <c r="N85" s="57" t="n">
        <v>48</v>
      </c>
      <c r="O85" s="57" t="s">
        <v>2879</v>
      </c>
      <c r="P85" s="58" t="n">
        <v>0.036</v>
      </c>
      <c r="Q85" s="59" t="s">
        <v>3069</v>
      </c>
      <c r="R85" s="77" t="s">
        <v>3100</v>
      </c>
      <c r="S85" s="168" t="s">
        <v>3024</v>
      </c>
      <c r="T85" s="87"/>
      <c r="U85" s="87"/>
      <c r="V85" s="61"/>
      <c r="W85" s="61"/>
      <c r="X85" s="61"/>
      <c r="Y85" s="61"/>
      <c r="Z85" s="61"/>
    </row>
    <row r="86" s="62" customFormat="true" ht="115" hidden="false" customHeight="true" outlineLevel="2" collapsed="false">
      <c r="A86" s="51" t="s">
        <v>3101</v>
      </c>
      <c r="B86" s="57"/>
      <c r="C86" s="57"/>
      <c r="D86" s="53" t="s">
        <v>3102</v>
      </c>
      <c r="E86" s="53" t="s">
        <v>89</v>
      </c>
      <c r="F86" s="54" t="n">
        <v>375.12</v>
      </c>
      <c r="G86" s="55"/>
      <c r="H86" s="56" t="str">
        <f aca="false">IF(ISBLANK(G86),"",IF(ISNUMBER(F86),ROUND(F86*G86,2),"Укажите цену"))</f>
        <v/>
      </c>
      <c r="I86" s="57" t="s">
        <v>936</v>
      </c>
      <c r="J86" s="26" t="s">
        <v>936</v>
      </c>
      <c r="K86" s="57" t="s">
        <v>936</v>
      </c>
      <c r="L86" s="57" t="s">
        <v>91</v>
      </c>
      <c r="M86" s="57" t="s">
        <v>92</v>
      </c>
      <c r="N86" s="57" t="n">
        <v>48</v>
      </c>
      <c r="O86" s="57" t="s">
        <v>2879</v>
      </c>
      <c r="P86" s="58" t="n">
        <v>0.036</v>
      </c>
      <c r="Q86" s="59" t="s">
        <v>3069</v>
      </c>
      <c r="R86" s="77" t="s">
        <v>3100</v>
      </c>
      <c r="S86" s="168" t="s">
        <v>3024</v>
      </c>
      <c r="T86" s="87"/>
      <c r="U86" s="87"/>
      <c r="V86" s="61"/>
      <c r="W86" s="61"/>
      <c r="X86" s="61"/>
      <c r="Y86" s="61"/>
      <c r="Z86" s="61"/>
    </row>
    <row r="87" s="62" customFormat="true" ht="115" hidden="false" customHeight="true" outlineLevel="2" collapsed="false">
      <c r="A87" s="51" t="s">
        <v>3103</v>
      </c>
      <c r="B87" s="57"/>
      <c r="C87" s="57"/>
      <c r="D87" s="53" t="s">
        <v>3104</v>
      </c>
      <c r="E87" s="53" t="s">
        <v>89</v>
      </c>
      <c r="F87" s="54" t="n">
        <v>375.12</v>
      </c>
      <c r="G87" s="55"/>
      <c r="H87" s="56" t="str">
        <f aca="false">IF(ISBLANK(G87),"",IF(ISNUMBER(F87),ROUND(F87*G87,2),"Укажите цену"))</f>
        <v/>
      </c>
      <c r="I87" s="57" t="s">
        <v>936</v>
      </c>
      <c r="J87" s="26" t="s">
        <v>936</v>
      </c>
      <c r="K87" s="57" t="s">
        <v>936</v>
      </c>
      <c r="L87" s="57" t="s">
        <v>91</v>
      </c>
      <c r="M87" s="57" t="s">
        <v>92</v>
      </c>
      <c r="N87" s="57" t="n">
        <v>48</v>
      </c>
      <c r="O87" s="57" t="s">
        <v>2879</v>
      </c>
      <c r="P87" s="58" t="n">
        <v>0.036</v>
      </c>
      <c r="Q87" s="59" t="s">
        <v>3069</v>
      </c>
      <c r="R87" s="77" t="s">
        <v>3105</v>
      </c>
      <c r="S87" s="168" t="s">
        <v>3024</v>
      </c>
      <c r="T87" s="87"/>
      <c r="U87" s="87"/>
      <c r="V87" s="61"/>
      <c r="W87" s="61"/>
      <c r="X87" s="61"/>
      <c r="Y87" s="61"/>
      <c r="Z87" s="61"/>
    </row>
    <row r="88" s="62" customFormat="true" ht="115" hidden="false" customHeight="true" outlineLevel="2" collapsed="false">
      <c r="A88" s="51" t="s">
        <v>3106</v>
      </c>
      <c r="B88" s="57"/>
      <c r="C88" s="57"/>
      <c r="D88" s="53" t="s">
        <v>3107</v>
      </c>
      <c r="E88" s="53" t="s">
        <v>89</v>
      </c>
      <c r="F88" s="54" t="n">
        <v>375.12</v>
      </c>
      <c r="G88" s="55"/>
      <c r="H88" s="56" t="str">
        <f aca="false">IF(ISBLANK(G88),"",IF(ISNUMBER(F88),ROUND(F88*G88,2),"Укажите цену"))</f>
        <v/>
      </c>
      <c r="I88" s="57" t="s">
        <v>936</v>
      </c>
      <c r="J88" s="26" t="s">
        <v>936</v>
      </c>
      <c r="K88" s="57" t="s">
        <v>936</v>
      </c>
      <c r="L88" s="57" t="s">
        <v>91</v>
      </c>
      <c r="M88" s="57" t="s">
        <v>92</v>
      </c>
      <c r="N88" s="57" t="n">
        <v>48</v>
      </c>
      <c r="O88" s="57" t="s">
        <v>2879</v>
      </c>
      <c r="P88" s="58" t="n">
        <v>0.036</v>
      </c>
      <c r="Q88" s="59" t="s">
        <v>3069</v>
      </c>
      <c r="R88" s="77" t="s">
        <v>3105</v>
      </c>
      <c r="S88" s="168" t="s">
        <v>3024</v>
      </c>
      <c r="T88" s="87"/>
      <c r="U88" s="87"/>
      <c r="V88" s="61"/>
      <c r="W88" s="61"/>
      <c r="X88" s="61"/>
      <c r="Y88" s="61"/>
      <c r="Z88" s="61"/>
    </row>
    <row r="89" s="4" customFormat="true" ht="5.25" hidden="false" customHeight="true" outlineLevel="2" collapsed="false">
      <c r="A89" s="135"/>
      <c r="B89" s="135"/>
      <c r="C89" s="135"/>
      <c r="D89" s="135"/>
      <c r="E89" s="135"/>
      <c r="F89" s="135"/>
      <c r="G89" s="135"/>
      <c r="H89" s="135"/>
      <c r="I89" s="135"/>
      <c r="J89" s="135"/>
      <c r="K89" s="135"/>
      <c r="L89" s="135"/>
      <c r="M89" s="135"/>
      <c r="N89" s="135"/>
      <c r="O89" s="135"/>
      <c r="P89" s="135"/>
      <c r="Q89" s="135"/>
      <c r="R89" s="135"/>
      <c r="S89" s="136"/>
    </row>
    <row r="90" s="50" customFormat="true" ht="27" hidden="false" customHeight="true" outlineLevel="1" collapsed="false">
      <c r="A90" s="49" t="s">
        <v>3108</v>
      </c>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c r="DA90" s="49"/>
      <c r="DB90" s="49"/>
      <c r="DC90" s="49"/>
      <c r="DD90" s="49"/>
      <c r="DE90" s="49"/>
      <c r="DF90" s="49"/>
      <c r="DG90" s="49"/>
      <c r="DH90" s="49"/>
      <c r="DI90" s="49"/>
      <c r="DJ90" s="49"/>
      <c r="DK90" s="49"/>
      <c r="DL90" s="49"/>
      <c r="DM90" s="49"/>
      <c r="DN90" s="49"/>
      <c r="DO90" s="49"/>
      <c r="DP90" s="49"/>
      <c r="DQ90" s="49"/>
      <c r="DR90" s="49"/>
      <c r="DS90" s="49"/>
      <c r="DT90" s="49"/>
      <c r="DU90" s="49"/>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49"/>
      <c r="HW90" s="49"/>
      <c r="HX90" s="49"/>
      <c r="HY90" s="49"/>
      <c r="HZ90" s="49"/>
      <c r="IA90" s="49"/>
      <c r="IB90" s="49"/>
      <c r="IC90" s="49"/>
      <c r="ID90" s="49"/>
      <c r="IE90" s="49"/>
      <c r="IF90" s="49"/>
      <c r="IG90" s="49"/>
      <c r="IH90" s="49"/>
      <c r="II90" s="49"/>
      <c r="IJ90" s="49"/>
      <c r="IK90" s="49"/>
      <c r="IL90" s="49"/>
      <c r="IM90" s="49"/>
      <c r="IN90" s="49"/>
      <c r="IO90" s="49"/>
      <c r="IP90" s="49"/>
      <c r="IQ90" s="49"/>
      <c r="IR90" s="49"/>
      <c r="IS90" s="49"/>
      <c r="IT90" s="49"/>
      <c r="IU90" s="49"/>
      <c r="IV90" s="49"/>
      <c r="IW90" s="49"/>
    </row>
    <row r="91" s="62" customFormat="true" ht="115" hidden="false" customHeight="true" outlineLevel="2" collapsed="false">
      <c r="A91" s="51" t="s">
        <v>3109</v>
      </c>
      <c r="B91" s="57"/>
      <c r="C91" s="57"/>
      <c r="D91" s="53" t="s">
        <v>3110</v>
      </c>
      <c r="E91" s="53" t="s">
        <v>89</v>
      </c>
      <c r="F91" s="54" t="n">
        <v>484.39</v>
      </c>
      <c r="G91" s="55"/>
      <c r="H91" s="56" t="str">
        <f aca="false">IF(ISBLANK(G91),"",IF(ISNUMBER(F91),ROUND(F91*G91,2),"Укажите цену"))</f>
        <v/>
      </c>
      <c r="I91" s="57" t="s">
        <v>936</v>
      </c>
      <c r="J91" s="26" t="s">
        <v>936</v>
      </c>
      <c r="K91" s="57" t="s">
        <v>936</v>
      </c>
      <c r="L91" s="57" t="s">
        <v>91</v>
      </c>
      <c r="M91" s="57" t="s">
        <v>92</v>
      </c>
      <c r="N91" s="57" t="n">
        <v>48</v>
      </c>
      <c r="O91" s="57" t="s">
        <v>2879</v>
      </c>
      <c r="P91" s="58" t="n">
        <v>0.036</v>
      </c>
      <c r="Q91" s="59" t="s">
        <v>3052</v>
      </c>
      <c r="R91" s="77" t="s">
        <v>3111</v>
      </c>
      <c r="S91" s="212" t="s">
        <v>96</v>
      </c>
      <c r="T91" s="87"/>
      <c r="U91" s="87"/>
      <c r="V91" s="61"/>
      <c r="W91" s="61"/>
      <c r="X91" s="61"/>
      <c r="Y91" s="61"/>
      <c r="Z91" s="61"/>
    </row>
    <row r="92" s="62" customFormat="true" ht="115" hidden="false" customHeight="true" outlineLevel="2" collapsed="false">
      <c r="A92" s="51" t="s">
        <v>3112</v>
      </c>
      <c r="B92" s="57"/>
      <c r="C92" s="57"/>
      <c r="D92" s="53" t="s">
        <v>3113</v>
      </c>
      <c r="E92" s="53" t="s">
        <v>89</v>
      </c>
      <c r="F92" s="54" t="n">
        <v>484.39</v>
      </c>
      <c r="G92" s="55"/>
      <c r="H92" s="56" t="str">
        <f aca="false">IF(ISBLANK(G92),"",IF(ISNUMBER(F92),ROUND(F92*G92,2),"Укажите цену"))</f>
        <v/>
      </c>
      <c r="I92" s="57" t="s">
        <v>936</v>
      </c>
      <c r="J92" s="26" t="s">
        <v>936</v>
      </c>
      <c r="K92" s="57" t="s">
        <v>936</v>
      </c>
      <c r="L92" s="57" t="s">
        <v>91</v>
      </c>
      <c r="M92" s="57" t="s">
        <v>92</v>
      </c>
      <c r="N92" s="57" t="n">
        <v>48</v>
      </c>
      <c r="O92" s="57" t="s">
        <v>2879</v>
      </c>
      <c r="P92" s="58" t="n">
        <v>0.036</v>
      </c>
      <c r="Q92" s="59" t="s">
        <v>3052</v>
      </c>
      <c r="R92" s="77" t="s">
        <v>3111</v>
      </c>
      <c r="S92" s="148" t="s">
        <v>96</v>
      </c>
      <c r="T92" s="87"/>
      <c r="U92" s="87"/>
      <c r="V92" s="61"/>
      <c r="W92" s="61"/>
      <c r="X92" s="61"/>
      <c r="Y92" s="61"/>
      <c r="Z92" s="61"/>
    </row>
    <row r="93" s="62" customFormat="true" ht="115" hidden="false" customHeight="true" outlineLevel="2" collapsed="false">
      <c r="A93" s="51" t="s">
        <v>3114</v>
      </c>
      <c r="B93" s="57"/>
      <c r="C93" s="57"/>
      <c r="D93" s="53" t="s">
        <v>3115</v>
      </c>
      <c r="E93" s="53" t="s">
        <v>89</v>
      </c>
      <c r="F93" s="54" t="n">
        <v>616.5</v>
      </c>
      <c r="G93" s="55"/>
      <c r="H93" s="56" t="str">
        <f aca="false">IF(ISBLANK(G93),"",IF(ISNUMBER(F93),ROUND(F93*G93,2),"Укажите цену"))</f>
        <v/>
      </c>
      <c r="I93" s="57" t="s">
        <v>936</v>
      </c>
      <c r="J93" s="26" t="s">
        <v>936</v>
      </c>
      <c r="K93" s="57" t="s">
        <v>936</v>
      </c>
      <c r="L93" s="57" t="s">
        <v>91</v>
      </c>
      <c r="M93" s="57" t="s">
        <v>92</v>
      </c>
      <c r="N93" s="57" t="n">
        <v>48</v>
      </c>
      <c r="O93" s="57" t="s">
        <v>2879</v>
      </c>
      <c r="P93" s="58" t="n">
        <v>0.036</v>
      </c>
      <c r="Q93" s="59" t="s">
        <v>3061</v>
      </c>
      <c r="R93" s="77" t="s">
        <v>3116</v>
      </c>
      <c r="S93" s="148" t="s">
        <v>96</v>
      </c>
      <c r="T93" s="87"/>
      <c r="U93" s="87"/>
      <c r="V93" s="61"/>
      <c r="W93" s="61"/>
      <c r="X93" s="61"/>
      <c r="Y93" s="61"/>
      <c r="Z93" s="61"/>
    </row>
    <row r="94" s="62" customFormat="true" ht="115" hidden="false" customHeight="true" outlineLevel="2" collapsed="false">
      <c r="A94" s="51" t="s">
        <v>3117</v>
      </c>
      <c r="B94" s="57"/>
      <c r="C94" s="57"/>
      <c r="D94" s="53" t="s">
        <v>3118</v>
      </c>
      <c r="E94" s="53" t="s">
        <v>89</v>
      </c>
      <c r="F94" s="54" t="n">
        <v>616.5</v>
      </c>
      <c r="G94" s="55"/>
      <c r="H94" s="56" t="str">
        <f aca="false">IF(ISBLANK(G94),"",IF(ISNUMBER(F94),ROUND(F94*G94,2),"Укажите цену"))</f>
        <v/>
      </c>
      <c r="I94" s="57" t="s">
        <v>936</v>
      </c>
      <c r="J94" s="26" t="s">
        <v>936</v>
      </c>
      <c r="K94" s="57" t="s">
        <v>936</v>
      </c>
      <c r="L94" s="57" t="s">
        <v>91</v>
      </c>
      <c r="M94" s="57" t="s">
        <v>92</v>
      </c>
      <c r="N94" s="57" t="n">
        <v>48</v>
      </c>
      <c r="O94" s="57" t="s">
        <v>2879</v>
      </c>
      <c r="P94" s="58" t="n">
        <v>0.036</v>
      </c>
      <c r="Q94" s="59" t="s">
        <v>3061</v>
      </c>
      <c r="R94" s="77" t="s">
        <v>3116</v>
      </c>
      <c r="S94" s="148" t="s">
        <v>96</v>
      </c>
      <c r="T94" s="87"/>
      <c r="U94" s="87"/>
      <c r="V94" s="61"/>
      <c r="W94" s="61"/>
      <c r="X94" s="61"/>
      <c r="Y94" s="61"/>
      <c r="Z94" s="61"/>
    </row>
    <row r="95" s="62" customFormat="true" ht="115" hidden="false" customHeight="true" outlineLevel="2" collapsed="false">
      <c r="A95" s="51" t="s">
        <v>3119</v>
      </c>
      <c r="B95" s="57"/>
      <c r="C95" s="57"/>
      <c r="D95" s="53" t="s">
        <v>3120</v>
      </c>
      <c r="E95" s="53" t="s">
        <v>89</v>
      </c>
      <c r="F95" s="54" t="n">
        <v>375.12</v>
      </c>
      <c r="G95" s="55"/>
      <c r="H95" s="56" t="str">
        <f aca="false">IF(ISBLANK(G95),"",IF(ISNUMBER(F95),ROUND(F95*G95,2),"Укажите цену"))</f>
        <v/>
      </c>
      <c r="I95" s="57" t="s">
        <v>936</v>
      </c>
      <c r="J95" s="26" t="s">
        <v>936</v>
      </c>
      <c r="K95" s="57" t="s">
        <v>936</v>
      </c>
      <c r="L95" s="57" t="s">
        <v>91</v>
      </c>
      <c r="M95" s="57" t="s">
        <v>92</v>
      </c>
      <c r="N95" s="57" t="n">
        <v>48</v>
      </c>
      <c r="O95" s="57" t="s">
        <v>2879</v>
      </c>
      <c r="P95" s="58" t="n">
        <v>0.036</v>
      </c>
      <c r="Q95" s="59" t="s">
        <v>3069</v>
      </c>
      <c r="R95" s="77" t="s">
        <v>3121</v>
      </c>
      <c r="S95" s="168" t="s">
        <v>3024</v>
      </c>
      <c r="T95" s="87"/>
      <c r="U95" s="87"/>
      <c r="V95" s="61"/>
      <c r="W95" s="61"/>
      <c r="X95" s="61"/>
      <c r="Y95" s="61"/>
      <c r="Z95" s="61"/>
    </row>
    <row r="96" s="62" customFormat="true" ht="115" hidden="false" customHeight="true" outlineLevel="2" collapsed="false">
      <c r="A96" s="51" t="s">
        <v>3122</v>
      </c>
      <c r="B96" s="57"/>
      <c r="C96" s="57"/>
      <c r="D96" s="53" t="s">
        <v>3123</v>
      </c>
      <c r="E96" s="53" t="s">
        <v>89</v>
      </c>
      <c r="F96" s="54" t="n">
        <v>375.12</v>
      </c>
      <c r="G96" s="55"/>
      <c r="H96" s="56" t="str">
        <f aca="false">IF(ISBLANK(G96),"",IF(ISNUMBER(F96),ROUND(F96*G96,2),"Укажите цену"))</f>
        <v/>
      </c>
      <c r="I96" s="57" t="s">
        <v>936</v>
      </c>
      <c r="J96" s="26" t="s">
        <v>936</v>
      </c>
      <c r="K96" s="57" t="s">
        <v>936</v>
      </c>
      <c r="L96" s="57" t="s">
        <v>91</v>
      </c>
      <c r="M96" s="57" t="s">
        <v>92</v>
      </c>
      <c r="N96" s="57" t="n">
        <v>48</v>
      </c>
      <c r="O96" s="57" t="s">
        <v>2879</v>
      </c>
      <c r="P96" s="58" t="n">
        <v>0.036</v>
      </c>
      <c r="Q96" s="59" t="s">
        <v>3069</v>
      </c>
      <c r="R96" s="77" t="s">
        <v>3121</v>
      </c>
      <c r="S96" s="168" t="s">
        <v>3024</v>
      </c>
      <c r="T96" s="87"/>
      <c r="U96" s="87"/>
      <c r="V96" s="61"/>
      <c r="W96" s="61"/>
      <c r="X96" s="61"/>
      <c r="Y96" s="61"/>
      <c r="Z96" s="61"/>
    </row>
    <row r="97" s="4" customFormat="true" ht="5.25" hidden="false" customHeight="true" outlineLevel="2" collapsed="false">
      <c r="A97" s="135"/>
      <c r="B97" s="135"/>
      <c r="C97" s="135"/>
      <c r="D97" s="135"/>
      <c r="E97" s="135"/>
      <c r="F97" s="135"/>
      <c r="G97" s="135"/>
      <c r="H97" s="135"/>
      <c r="I97" s="135"/>
      <c r="J97" s="135"/>
      <c r="K97" s="135"/>
      <c r="L97" s="135"/>
      <c r="M97" s="135"/>
      <c r="N97" s="135"/>
      <c r="O97" s="135"/>
      <c r="P97" s="135"/>
      <c r="Q97" s="135"/>
      <c r="R97" s="135"/>
      <c r="S97" s="136"/>
    </row>
    <row r="98" s="50" customFormat="true" ht="27" hidden="false" customHeight="true" outlineLevel="1" collapsed="false">
      <c r="A98" s="49" t="s">
        <v>3124</v>
      </c>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49"/>
      <c r="DL98" s="49"/>
      <c r="DM98" s="49"/>
      <c r="DN98" s="49"/>
      <c r="DO98" s="49"/>
      <c r="DP98" s="49"/>
      <c r="DQ98" s="49"/>
      <c r="DR98" s="49"/>
      <c r="DS98" s="49"/>
      <c r="DT98" s="49"/>
      <c r="DU98" s="49"/>
      <c r="DV98" s="49"/>
      <c r="DW98" s="49"/>
      <c r="DX98" s="49"/>
      <c r="DY98" s="49"/>
      <c r="DZ98" s="49"/>
      <c r="EA98" s="49"/>
      <c r="EB98" s="49"/>
      <c r="EC98" s="49"/>
      <c r="ED98" s="49"/>
      <c r="EE98" s="49"/>
      <c r="EF98" s="49"/>
      <c r="EG98" s="49"/>
      <c r="EH98" s="49"/>
      <c r="EI98" s="49"/>
      <c r="EJ98" s="49"/>
      <c r="EK98" s="49"/>
      <c r="EL98" s="49"/>
      <c r="EM98" s="49"/>
      <c r="EN98" s="49"/>
      <c r="EO98" s="49"/>
      <c r="EP98" s="49"/>
      <c r="EQ98" s="49"/>
      <c r="ER98" s="49"/>
      <c r="ES98" s="49"/>
      <c r="ET98" s="49"/>
      <c r="EU98" s="49"/>
      <c r="EV98" s="49"/>
      <c r="EW98" s="49"/>
      <c r="EX98" s="49"/>
      <c r="EY98" s="49"/>
      <c r="EZ98" s="49"/>
      <c r="FA98" s="49"/>
      <c r="FB98" s="49"/>
      <c r="FC98" s="49"/>
      <c r="FD98" s="49"/>
      <c r="FE98" s="49"/>
      <c r="FF98" s="49"/>
      <c r="FG98" s="49"/>
      <c r="FH98" s="49"/>
      <c r="FI98" s="49"/>
      <c r="FJ98" s="49"/>
      <c r="FK98" s="49"/>
      <c r="FL98" s="49"/>
      <c r="FM98" s="49"/>
      <c r="FN98" s="49"/>
      <c r="FO98" s="49"/>
      <c r="FP98" s="49"/>
      <c r="FQ98" s="49"/>
      <c r="FR98" s="49"/>
      <c r="FS98" s="49"/>
      <c r="FT98" s="49"/>
      <c r="FU98" s="49"/>
      <c r="FV98" s="49"/>
      <c r="FW98" s="49"/>
      <c r="FX98" s="49"/>
      <c r="FY98" s="49"/>
      <c r="FZ98" s="49"/>
      <c r="GA98" s="49"/>
      <c r="GB98" s="49"/>
      <c r="GC98" s="49"/>
      <c r="GD98" s="49"/>
      <c r="GE98" s="49"/>
      <c r="GF98" s="49"/>
      <c r="GG98" s="49"/>
      <c r="GH98" s="49"/>
      <c r="GI98" s="49"/>
      <c r="GJ98" s="49"/>
      <c r="GK98" s="49"/>
      <c r="GL98" s="49"/>
      <c r="GM98" s="49"/>
      <c r="GN98" s="49"/>
      <c r="GO98" s="49"/>
      <c r="GP98" s="49"/>
      <c r="GQ98" s="49"/>
      <c r="GR98" s="49"/>
      <c r="GS98" s="49"/>
      <c r="GT98" s="49"/>
      <c r="GU98" s="49"/>
      <c r="GV98" s="49"/>
      <c r="GW98" s="49"/>
      <c r="GX98" s="49"/>
      <c r="GY98" s="49"/>
      <c r="GZ98" s="49"/>
      <c r="HA98" s="49"/>
      <c r="HB98" s="49"/>
      <c r="HC98" s="49"/>
      <c r="HD98" s="49"/>
      <c r="HE98" s="49"/>
      <c r="HF98" s="49"/>
      <c r="HG98" s="49"/>
      <c r="HH98" s="49"/>
      <c r="HI98" s="49"/>
      <c r="HJ98" s="49"/>
      <c r="HK98" s="49"/>
      <c r="HL98" s="49"/>
      <c r="HM98" s="49"/>
      <c r="HN98" s="49"/>
      <c r="HO98" s="49"/>
      <c r="HP98" s="49"/>
      <c r="HQ98" s="49"/>
      <c r="HR98" s="49"/>
      <c r="HS98" s="49"/>
      <c r="HT98" s="49"/>
      <c r="HU98" s="49"/>
      <c r="HV98" s="49"/>
      <c r="HW98" s="49"/>
      <c r="HX98" s="49"/>
      <c r="HY98" s="49"/>
      <c r="HZ98" s="49"/>
      <c r="IA98" s="49"/>
      <c r="IB98" s="49"/>
      <c r="IC98" s="49"/>
      <c r="ID98" s="49"/>
      <c r="IE98" s="49"/>
      <c r="IF98" s="49"/>
      <c r="IG98" s="49"/>
      <c r="IH98" s="49"/>
      <c r="II98" s="49"/>
      <c r="IJ98" s="49"/>
      <c r="IK98" s="49"/>
      <c r="IL98" s="49"/>
      <c r="IM98" s="49"/>
      <c r="IN98" s="49"/>
      <c r="IO98" s="49"/>
      <c r="IP98" s="49"/>
      <c r="IQ98" s="49"/>
      <c r="IR98" s="49"/>
      <c r="IS98" s="49"/>
      <c r="IT98" s="49"/>
      <c r="IU98" s="49"/>
      <c r="IV98" s="49"/>
      <c r="IW98" s="49"/>
    </row>
    <row r="99" s="62" customFormat="true" ht="115" hidden="false" customHeight="true" outlineLevel="2" collapsed="false">
      <c r="A99" s="51" t="s">
        <v>3125</v>
      </c>
      <c r="B99" s="57"/>
      <c r="C99" s="57"/>
      <c r="D99" s="53" t="s">
        <v>3126</v>
      </c>
      <c r="E99" s="53" t="s">
        <v>89</v>
      </c>
      <c r="F99" s="54" t="n">
        <v>484.39</v>
      </c>
      <c r="G99" s="55"/>
      <c r="H99" s="56" t="str">
        <f aca="false">IF(ISBLANK(G99),"",IF(ISNUMBER(F99),ROUND(F99*G99,2),"Укажите цену"))</f>
        <v/>
      </c>
      <c r="I99" s="57" t="s">
        <v>936</v>
      </c>
      <c r="J99" s="26" t="s">
        <v>936</v>
      </c>
      <c r="K99" s="57" t="s">
        <v>936</v>
      </c>
      <c r="L99" s="57" t="s">
        <v>91</v>
      </c>
      <c r="M99" s="57" t="s">
        <v>92</v>
      </c>
      <c r="N99" s="57" t="n">
        <v>48</v>
      </c>
      <c r="O99" s="57" t="s">
        <v>2879</v>
      </c>
      <c r="P99" s="58" t="n">
        <v>0.036</v>
      </c>
      <c r="Q99" s="59" t="s">
        <v>3052</v>
      </c>
      <c r="R99" s="77" t="s">
        <v>3127</v>
      </c>
      <c r="S99" s="212" t="s">
        <v>96</v>
      </c>
      <c r="T99" s="87"/>
      <c r="U99" s="87"/>
      <c r="V99" s="61"/>
      <c r="W99" s="61"/>
      <c r="X99" s="61"/>
      <c r="Y99" s="61"/>
      <c r="Z99" s="61"/>
    </row>
    <row r="100" s="62" customFormat="true" ht="115" hidden="false" customHeight="true" outlineLevel="2" collapsed="false">
      <c r="A100" s="51" t="s">
        <v>3128</v>
      </c>
      <c r="B100" s="57"/>
      <c r="C100" s="57"/>
      <c r="D100" s="53" t="s">
        <v>3129</v>
      </c>
      <c r="E100" s="53" t="s">
        <v>89</v>
      </c>
      <c r="F100" s="54" t="n">
        <v>484.39</v>
      </c>
      <c r="G100" s="55"/>
      <c r="H100" s="56" t="str">
        <f aca="false">IF(ISBLANK(G100),"",IF(ISNUMBER(F100),ROUND(F100*G100,2),"Укажите цену"))</f>
        <v/>
      </c>
      <c r="I100" s="57" t="s">
        <v>936</v>
      </c>
      <c r="J100" s="26" t="s">
        <v>936</v>
      </c>
      <c r="K100" s="57" t="s">
        <v>936</v>
      </c>
      <c r="L100" s="57" t="s">
        <v>91</v>
      </c>
      <c r="M100" s="57" t="s">
        <v>92</v>
      </c>
      <c r="N100" s="57" t="n">
        <v>48</v>
      </c>
      <c r="O100" s="57" t="s">
        <v>2879</v>
      </c>
      <c r="P100" s="58" t="n">
        <v>0.036</v>
      </c>
      <c r="Q100" s="59" t="s">
        <v>3052</v>
      </c>
      <c r="R100" s="77" t="s">
        <v>3127</v>
      </c>
      <c r="S100" s="148" t="s">
        <v>96</v>
      </c>
      <c r="T100" s="87"/>
      <c r="U100" s="87"/>
      <c r="V100" s="61"/>
      <c r="W100" s="61"/>
      <c r="X100" s="61"/>
      <c r="Y100" s="61"/>
      <c r="Z100" s="61"/>
    </row>
    <row r="101" s="62" customFormat="true" ht="115" hidden="false" customHeight="true" outlineLevel="2" collapsed="false">
      <c r="A101" s="51" t="s">
        <v>3130</v>
      </c>
      <c r="B101" s="57"/>
      <c r="C101" s="57"/>
      <c r="D101" s="53" t="s">
        <v>3131</v>
      </c>
      <c r="E101" s="53" t="s">
        <v>89</v>
      </c>
      <c r="F101" s="54" t="n">
        <v>484.39</v>
      </c>
      <c r="G101" s="55"/>
      <c r="H101" s="56" t="str">
        <f aca="false">IF(ISBLANK(G101),"",IF(ISNUMBER(F101),ROUND(F101*G101,2),"Укажите цену"))</f>
        <v/>
      </c>
      <c r="I101" s="57" t="s">
        <v>936</v>
      </c>
      <c r="J101" s="26" t="s">
        <v>936</v>
      </c>
      <c r="K101" s="57" t="s">
        <v>936</v>
      </c>
      <c r="L101" s="57" t="s">
        <v>91</v>
      </c>
      <c r="M101" s="57" t="s">
        <v>92</v>
      </c>
      <c r="N101" s="57" t="n">
        <v>48</v>
      </c>
      <c r="O101" s="57" t="s">
        <v>2879</v>
      </c>
      <c r="P101" s="58" t="n">
        <v>0.036</v>
      </c>
      <c r="Q101" s="59" t="s">
        <v>3052</v>
      </c>
      <c r="R101" s="77" t="s">
        <v>3127</v>
      </c>
      <c r="S101" s="148" t="s">
        <v>96</v>
      </c>
      <c r="T101" s="87"/>
      <c r="U101" s="87"/>
      <c r="V101" s="61"/>
      <c r="W101" s="61"/>
      <c r="X101" s="61"/>
      <c r="Y101" s="61"/>
      <c r="Z101" s="61"/>
    </row>
    <row r="102" s="62" customFormat="true" ht="115" hidden="false" customHeight="true" outlineLevel="2" collapsed="false">
      <c r="A102" s="51" t="s">
        <v>3132</v>
      </c>
      <c r="B102" s="57"/>
      <c r="C102" s="57"/>
      <c r="D102" s="53" t="s">
        <v>3133</v>
      </c>
      <c r="E102" s="53" t="s">
        <v>89</v>
      </c>
      <c r="F102" s="54" t="n">
        <v>616.5</v>
      </c>
      <c r="G102" s="55"/>
      <c r="H102" s="56" t="str">
        <f aca="false">IF(ISBLANK(G102),"",IF(ISNUMBER(F102),ROUND(F102*G102,2),"Укажите цену"))</f>
        <v/>
      </c>
      <c r="I102" s="57" t="s">
        <v>936</v>
      </c>
      <c r="J102" s="26" t="s">
        <v>936</v>
      </c>
      <c r="K102" s="57" t="s">
        <v>936</v>
      </c>
      <c r="L102" s="57" t="s">
        <v>91</v>
      </c>
      <c r="M102" s="57" t="s">
        <v>92</v>
      </c>
      <c r="N102" s="57" t="n">
        <v>48</v>
      </c>
      <c r="O102" s="57" t="s">
        <v>2879</v>
      </c>
      <c r="P102" s="58" t="n">
        <v>0.036</v>
      </c>
      <c r="Q102" s="59" t="s">
        <v>3061</v>
      </c>
      <c r="R102" s="77" t="s">
        <v>3134</v>
      </c>
      <c r="S102" s="148" t="s">
        <v>96</v>
      </c>
      <c r="T102" s="87"/>
      <c r="U102" s="87"/>
      <c r="V102" s="61"/>
      <c r="W102" s="61"/>
      <c r="X102" s="61"/>
      <c r="Y102" s="61"/>
      <c r="Z102" s="61"/>
    </row>
    <row r="103" s="62" customFormat="true" ht="115" hidden="false" customHeight="true" outlineLevel="2" collapsed="false">
      <c r="A103" s="51" t="s">
        <v>3135</v>
      </c>
      <c r="B103" s="57"/>
      <c r="C103" s="57"/>
      <c r="D103" s="53" t="s">
        <v>3136</v>
      </c>
      <c r="E103" s="53" t="s">
        <v>89</v>
      </c>
      <c r="F103" s="54" t="n">
        <v>616.5</v>
      </c>
      <c r="G103" s="55"/>
      <c r="H103" s="56" t="str">
        <f aca="false">IF(ISBLANK(G103),"",IF(ISNUMBER(F103),ROUND(F103*G103,2),"Укажите цену"))</f>
        <v/>
      </c>
      <c r="I103" s="57" t="s">
        <v>936</v>
      </c>
      <c r="J103" s="26" t="s">
        <v>936</v>
      </c>
      <c r="K103" s="57" t="s">
        <v>936</v>
      </c>
      <c r="L103" s="57" t="s">
        <v>91</v>
      </c>
      <c r="M103" s="57" t="s">
        <v>92</v>
      </c>
      <c r="N103" s="57" t="n">
        <v>48</v>
      </c>
      <c r="O103" s="57" t="s">
        <v>2879</v>
      </c>
      <c r="P103" s="58" t="n">
        <v>0.036</v>
      </c>
      <c r="Q103" s="59" t="s">
        <v>3061</v>
      </c>
      <c r="R103" s="77" t="s">
        <v>3134</v>
      </c>
      <c r="S103" s="148" t="s">
        <v>96</v>
      </c>
      <c r="T103" s="87"/>
      <c r="U103" s="87"/>
      <c r="V103" s="61"/>
      <c r="W103" s="61"/>
      <c r="X103" s="61"/>
      <c r="Y103" s="61"/>
      <c r="Z103" s="61"/>
    </row>
    <row r="104" s="62" customFormat="true" ht="115" hidden="false" customHeight="true" outlineLevel="2" collapsed="false">
      <c r="A104" s="51" t="s">
        <v>3137</v>
      </c>
      <c r="B104" s="57"/>
      <c r="C104" s="57"/>
      <c r="D104" s="53" t="s">
        <v>3138</v>
      </c>
      <c r="E104" s="53" t="s">
        <v>89</v>
      </c>
      <c r="F104" s="54" t="n">
        <v>616.5</v>
      </c>
      <c r="G104" s="55"/>
      <c r="H104" s="56" t="str">
        <f aca="false">IF(ISBLANK(G104),"",IF(ISNUMBER(F104),ROUND(F104*G104,2),"Укажите цену"))</f>
        <v/>
      </c>
      <c r="I104" s="57" t="s">
        <v>936</v>
      </c>
      <c r="J104" s="26" t="s">
        <v>936</v>
      </c>
      <c r="K104" s="57" t="s">
        <v>936</v>
      </c>
      <c r="L104" s="57" t="s">
        <v>91</v>
      </c>
      <c r="M104" s="57" t="s">
        <v>92</v>
      </c>
      <c r="N104" s="57" t="n">
        <v>48</v>
      </c>
      <c r="O104" s="57" t="s">
        <v>2879</v>
      </c>
      <c r="P104" s="58" t="n">
        <v>0.036</v>
      </c>
      <c r="Q104" s="59" t="s">
        <v>3061</v>
      </c>
      <c r="R104" s="77" t="s">
        <v>3134</v>
      </c>
      <c r="S104" s="148" t="s">
        <v>96</v>
      </c>
      <c r="T104" s="87"/>
      <c r="U104" s="87"/>
      <c r="V104" s="61"/>
      <c r="W104" s="61"/>
      <c r="X104" s="61"/>
      <c r="Y104" s="61"/>
      <c r="Z104" s="61"/>
    </row>
    <row r="105" s="62" customFormat="true" ht="115" hidden="false" customHeight="true" outlineLevel="2" collapsed="false">
      <c r="A105" s="51" t="s">
        <v>3139</v>
      </c>
      <c r="B105" s="57"/>
      <c r="C105" s="57"/>
      <c r="D105" s="53" t="s">
        <v>3140</v>
      </c>
      <c r="E105" s="53" t="s">
        <v>89</v>
      </c>
      <c r="F105" s="54" t="n">
        <v>375.12</v>
      </c>
      <c r="G105" s="55"/>
      <c r="H105" s="56" t="str">
        <f aca="false">IF(ISBLANK(G105),"",IF(ISNUMBER(F105),ROUND(F105*G105,2),"Укажите цену"))</f>
        <v/>
      </c>
      <c r="I105" s="57" t="s">
        <v>936</v>
      </c>
      <c r="J105" s="26" t="s">
        <v>936</v>
      </c>
      <c r="K105" s="57" t="s">
        <v>936</v>
      </c>
      <c r="L105" s="57" t="s">
        <v>91</v>
      </c>
      <c r="M105" s="57" t="s">
        <v>92</v>
      </c>
      <c r="N105" s="57" t="n">
        <v>48</v>
      </c>
      <c r="O105" s="57" t="s">
        <v>2879</v>
      </c>
      <c r="P105" s="58" t="n">
        <v>0.036</v>
      </c>
      <c r="Q105" s="59" t="s">
        <v>3069</v>
      </c>
      <c r="R105" s="77" t="s">
        <v>3141</v>
      </c>
      <c r="S105" s="168" t="s">
        <v>3024</v>
      </c>
      <c r="T105" s="87"/>
      <c r="U105" s="87"/>
      <c r="V105" s="61"/>
      <c r="W105" s="61"/>
      <c r="X105" s="61"/>
      <c r="Y105" s="61"/>
      <c r="Z105" s="61"/>
    </row>
    <row r="106" s="62" customFormat="true" ht="115" hidden="false" customHeight="true" outlineLevel="2" collapsed="false">
      <c r="A106" s="51" t="s">
        <v>3142</v>
      </c>
      <c r="B106" s="57"/>
      <c r="C106" s="57"/>
      <c r="D106" s="53" t="s">
        <v>3143</v>
      </c>
      <c r="E106" s="53" t="s">
        <v>89</v>
      </c>
      <c r="F106" s="54" t="n">
        <v>375.12</v>
      </c>
      <c r="G106" s="55"/>
      <c r="H106" s="56" t="str">
        <f aca="false">IF(ISBLANK(G106),"",IF(ISNUMBER(F106),ROUND(F106*G106,2),"Укажите цену"))</f>
        <v/>
      </c>
      <c r="I106" s="57" t="s">
        <v>936</v>
      </c>
      <c r="J106" s="26" t="s">
        <v>936</v>
      </c>
      <c r="K106" s="57" t="s">
        <v>936</v>
      </c>
      <c r="L106" s="57" t="s">
        <v>91</v>
      </c>
      <c r="M106" s="57" t="s">
        <v>92</v>
      </c>
      <c r="N106" s="57" t="n">
        <v>48</v>
      </c>
      <c r="O106" s="57" t="s">
        <v>2879</v>
      </c>
      <c r="P106" s="58" t="n">
        <v>0.036</v>
      </c>
      <c r="Q106" s="59" t="s">
        <v>3069</v>
      </c>
      <c r="R106" s="77" t="s">
        <v>3141</v>
      </c>
      <c r="S106" s="168" t="s">
        <v>3024</v>
      </c>
      <c r="T106" s="87"/>
      <c r="U106" s="87"/>
      <c r="V106" s="61"/>
      <c r="W106" s="61"/>
      <c r="X106" s="61"/>
      <c r="Y106" s="61"/>
      <c r="Z106" s="61"/>
    </row>
    <row r="107" s="62" customFormat="true" ht="115" hidden="false" customHeight="true" outlineLevel="2" collapsed="false">
      <c r="A107" s="51" t="s">
        <v>3144</v>
      </c>
      <c r="B107" s="57"/>
      <c r="C107" s="57"/>
      <c r="D107" s="53" t="s">
        <v>3145</v>
      </c>
      <c r="E107" s="53" t="s">
        <v>89</v>
      </c>
      <c r="F107" s="54" t="n">
        <v>375.12</v>
      </c>
      <c r="G107" s="55"/>
      <c r="H107" s="56" t="str">
        <f aca="false">IF(ISBLANK(G107),"",IF(ISNUMBER(F107),ROUND(F107*G107,2),"Укажите цену"))</f>
        <v/>
      </c>
      <c r="I107" s="57" t="s">
        <v>936</v>
      </c>
      <c r="J107" s="26" t="s">
        <v>936</v>
      </c>
      <c r="K107" s="57" t="s">
        <v>936</v>
      </c>
      <c r="L107" s="57" t="s">
        <v>91</v>
      </c>
      <c r="M107" s="57" t="s">
        <v>92</v>
      </c>
      <c r="N107" s="57" t="n">
        <v>48</v>
      </c>
      <c r="O107" s="57" t="s">
        <v>2879</v>
      </c>
      <c r="P107" s="58" t="n">
        <v>0.036</v>
      </c>
      <c r="Q107" s="59" t="s">
        <v>3069</v>
      </c>
      <c r="R107" s="77" t="s">
        <v>3141</v>
      </c>
      <c r="S107" s="168" t="s">
        <v>3024</v>
      </c>
      <c r="T107" s="87"/>
      <c r="U107" s="87"/>
      <c r="V107" s="61"/>
      <c r="W107" s="61"/>
      <c r="X107" s="61"/>
      <c r="Y107" s="61"/>
      <c r="Z107" s="61"/>
    </row>
    <row r="108" customFormat="false" ht="30" hidden="false" customHeight="true" outlineLevel="1" collapsed="false">
      <c r="F108" s="109" t="s">
        <v>633</v>
      </c>
      <c r="G108" s="109"/>
      <c r="H108" s="109" t="n">
        <f aca="false">IF(COUNTIFS(H5:H107,"Укажите цену")&gt;0,"Укажите цены",SUM(H5:H107))</f>
        <v>0</v>
      </c>
    </row>
  </sheetData>
  <mergeCells count="12">
    <mergeCell ref="A1:R1"/>
    <mergeCell ref="A2:H2"/>
    <mergeCell ref="A4:H4"/>
    <mergeCell ref="A29:H29"/>
    <mergeCell ref="A54:H54"/>
    <mergeCell ref="A75:R75"/>
    <mergeCell ref="A76:H76"/>
    <mergeCell ref="A89:R89"/>
    <mergeCell ref="A90:H90"/>
    <mergeCell ref="A97:R97"/>
    <mergeCell ref="A98:H98"/>
    <mergeCell ref="F108:G108"/>
  </mergeCells>
  <hyperlinks>
    <hyperlink ref="R5" r:id="rId1" display="http://gofile.me/649X4/AvJzT6BB4"/>
    <hyperlink ref="R6" r:id="rId2" display="http://gofile.me/649X4/peGKR8uGZ"/>
    <hyperlink ref="R7" r:id="rId3" display="http://gofile.me/649X4/XqNIMw9aP"/>
    <hyperlink ref="R8" r:id="rId4" display="http://gofile.me/649X4/me5Iv11RG"/>
    <hyperlink ref="R9" r:id="rId5" display="http://gofile.me/649X4/me5Iv11RG"/>
    <hyperlink ref="R10" r:id="rId6" display="http://gofile.me/649X4/kRYNvZ1GI"/>
    <hyperlink ref="R11" r:id="rId7" display="http://gofile.me/649X4/UgAAoWnGq"/>
    <hyperlink ref="R12" r:id="rId8" display="http://gofile.me/649X4/FVDxoB61r"/>
    <hyperlink ref="R13" r:id="rId9" display="http://gofile.me/649X4/CaeyccTOq"/>
    <hyperlink ref="R14" r:id="rId10" display="http://gofile.me/649X4/Cvq0B7k27"/>
    <hyperlink ref="R15" r:id="rId11" display="http://gofile.me/649X4/AQCqL5Pmi"/>
    <hyperlink ref="R16" r:id="rId12" display="http://gofile.me/649X4/lMvhfkG1l"/>
    <hyperlink ref="R17" r:id="rId13" display="http://gofile.me/649X4/lMvhfkG1l"/>
    <hyperlink ref="R18" r:id="rId14" display="http://gofile.me/649X4/NEZNZ6h1i"/>
    <hyperlink ref="R19" r:id="rId15" display="http://gofile.me/649X4/ZUXoPPU6g"/>
    <hyperlink ref="R20" r:id="rId16" display="http://gofile.me/649X4/V41H4Ygrd"/>
    <hyperlink ref="R21" r:id="rId17" display="http://gofile.me/649X4/zy2GXtYlQ"/>
    <hyperlink ref="R22" r:id="rId18" display="http://gofile.me/649X4/rajMarcCR"/>
    <hyperlink ref="R23" r:id="rId19" display="http://gofile.me/649X4/ClRI8exf9"/>
    <hyperlink ref="R24" r:id="rId20" display="http://gofile.me/649X4/gqSAa8PkJ"/>
    <hyperlink ref="R25" r:id="rId21" display="http://gofile.me/649X4/qlvo80c5d"/>
    <hyperlink ref="R26" r:id="rId22" display="http://gofile.me/649X4/xCvKmkjoM"/>
    <hyperlink ref="R27" r:id="rId23" display="http://gofile.me/649X4/KKkWKWTLT"/>
    <hyperlink ref="R28" r:id="rId24" display="http://gofile.me/649X4/KKkWKWTLT"/>
    <hyperlink ref="R30" r:id="rId25" display="http://gofile.me/649X4/pqSku8oTC"/>
    <hyperlink ref="R31" r:id="rId26" display="http://gofile.me/649X4/pqSku8oTC"/>
    <hyperlink ref="R32" r:id="rId27" display="http://gofile.me/649X4/peGKR8uGZ"/>
    <hyperlink ref="R33" r:id="rId28" display="http://gofile.me/649X4/xwVCnau6K"/>
    <hyperlink ref="R34" r:id="rId29" display="http://gofile.me/649X4/xwVCnau6K"/>
    <hyperlink ref="R35" r:id="rId30" display="http://gofile.me/649X4/UgAAoWnGq"/>
    <hyperlink ref="R36" r:id="rId31" display="http://gofile.me/649X4/MBMyHr1Fj"/>
    <hyperlink ref="R37" r:id="rId32" display="http://gofile.me/649X4/MBMyHr1Fj"/>
    <hyperlink ref="R38" r:id="rId33" display="http://gofile.me/649X4/Cvq0B7k27"/>
    <hyperlink ref="R39" r:id="rId34" display="http://gofile.me/649X4/pLFvIu4P8"/>
    <hyperlink ref="R40" r:id="rId35" display="http://gofile.me/649X4/pLFvIu4P8"/>
    <hyperlink ref="R41" r:id="rId36" display="http://gofile.me/649X4/ZUXoPPU6g"/>
    <hyperlink ref="R42" r:id="rId37" display="http://gofile.me/649X4/9HQYIBh3d"/>
    <hyperlink ref="R43" r:id="rId38" display="http://gofile.me/649X4/9HQYIBh3d"/>
    <hyperlink ref="R44" r:id="rId39" display="http://gofile.me/649X4/zy2GXtYlQ"/>
    <hyperlink ref="R45" r:id="rId40" display="http://gofile.me/649X4/zy2GXtYlQ"/>
    <hyperlink ref="R46" r:id="rId41" display="http://gofile.me/649X4/05rvdIxt5"/>
    <hyperlink ref="R47" r:id="rId42" display="http://gofile.me/649X4/05rvdIxt5"/>
    <hyperlink ref="R48" r:id="rId43" display="http://gofile.me/649X4/ClRI8exf9"/>
    <hyperlink ref="R49" r:id="rId44" display="http://gofile.me/649X4/ClRI8exf9"/>
    <hyperlink ref="R50" r:id="rId45" display="http://gofile.me/649X4/LZ7vyE1nV"/>
    <hyperlink ref="S50" r:id="rId46" display="http://gofile.me/649X4/wZZpyjwc8"/>
    <hyperlink ref="R51" r:id="rId47" display="http://gofile.me/649X4/LZ7vyE1nV"/>
    <hyperlink ref="S51" r:id="rId48" display="http://gofile.me/649X4/wZZpyjwc8"/>
    <hyperlink ref="R52" r:id="rId49" display="http://gofile.me/649X4/qlvo80c5d"/>
    <hyperlink ref="R53" r:id="rId50" display="http://gofile.me/649X4/qlvo80c5d"/>
    <hyperlink ref="R55" r:id="rId51" display="http://gofile.me/649X4/LTAUWqrJH"/>
    <hyperlink ref="R56" r:id="rId52" display="http://gofile.me/649X4/LTAUWqrJH"/>
    <hyperlink ref="R57" r:id="rId53" display="http://gofile.me/649X4/DDMFS2JUx"/>
    <hyperlink ref="R58" r:id="rId54" display="http://gofile.me/649X4/DDMFS2JUx"/>
    <hyperlink ref="R59" r:id="rId55" display="http://gofile.me/649X4/9zg1Yx9V1"/>
    <hyperlink ref="R60" r:id="rId56" display="http://gofile.me/649X4/9zg1Yx9V1"/>
    <hyperlink ref="R61" r:id="rId57" display="http://gofile.me/649X4/ThgedCR0K"/>
    <hyperlink ref="R62" r:id="rId58" display="http://gofile.me/649X4/ThgedCR0K"/>
    <hyperlink ref="R63" r:id="rId59" display="http://gofile.me/649X4/W4LaQIr7b"/>
    <hyperlink ref="R64" r:id="rId60" display="http://gofile.me/649X4/W4LaQIr7b"/>
    <hyperlink ref="R65" r:id="rId61" display="http://gofile.me/649X4/QqhJolu1M"/>
    <hyperlink ref="R66" r:id="rId62" display="http://gofile.me/649X4/QqhJolu1M"/>
    <hyperlink ref="R67" r:id="rId63" display="http://gofile.me/649X4/05rvdIxt5"/>
    <hyperlink ref="R68" r:id="rId64" display="http://gofile.me/649X4/05rvdIxt5"/>
    <hyperlink ref="R69" r:id="rId65" display="http://gofile.me/649X4/BMpyHb9xF"/>
    <hyperlink ref="R70" r:id="rId66" display="http://gofile.me/649X4/BMpyHb9xF"/>
    <hyperlink ref="R71" r:id="rId67" display="http://gofile.me/649X4/ZLhX1SuXo"/>
    <hyperlink ref="S71" r:id="rId68" display="http://gofile.me/649X4/wZZpyjwc8"/>
    <hyperlink ref="R72" r:id="rId69" display="http://gofile.me/649X4/ZLhX1SuXo"/>
    <hyperlink ref="S72" r:id="rId70" display="http://gofile.me/649X4/wZZpyjwc8"/>
    <hyperlink ref="R73" r:id="rId71" display="http://gofile.me/649X4/oEtq0FX5W"/>
    <hyperlink ref="S73" r:id="rId72" display="http://gofile.me/649X4/wZZpyjwc8"/>
    <hyperlink ref="R74" r:id="rId73" display="http://gofile.me/649X4/oEtq0FX5W"/>
    <hyperlink ref="S74" r:id="rId74" display="http://gofile.me/649X4/wZZpyjwc8"/>
    <hyperlink ref="R77" r:id="rId75" display="http://gofile.me/649X4/aPN1FdE7Y"/>
    <hyperlink ref="R78" r:id="rId76" display="http://gofile.me/649X4/aPN1FdE7Y"/>
    <hyperlink ref="R79" r:id="rId77" display="http://gofile.me/649X4/6CiEXXLYM"/>
    <hyperlink ref="R80" r:id="rId78" display="http://gofile.me/649X4/6CiEXXLYM"/>
    <hyperlink ref="R81" r:id="rId79" display="http://gofile.me/649X4/nrq2fZwN7"/>
    <hyperlink ref="R82" r:id="rId80" display="http://gofile.me/649X4/nrq2fZwN7"/>
    <hyperlink ref="R83" r:id="rId81" display="http://gofile.me/649X4/oeFEDrjY5"/>
    <hyperlink ref="R84" r:id="rId82" display="http://gofile.me/649X4/oeFEDrjY5"/>
    <hyperlink ref="R85" r:id="rId83" display="http://gofile.me/649X4/d19aarYJe"/>
    <hyperlink ref="S85" r:id="rId84" display="http://gofile.me/649X4/wZZpyjwc8"/>
    <hyperlink ref="R86" r:id="rId85" display="http://gofile.me/649X4/d19aarYJe"/>
    <hyperlink ref="S86" r:id="rId86" display="http://gofile.me/649X4/wZZpyjwc8"/>
    <hyperlink ref="R87" r:id="rId87" display="http://gofile.me/649X4/cCZIddwfz"/>
    <hyperlink ref="S87" r:id="rId88" display="http://gofile.me/649X4/wZZpyjwc8"/>
    <hyperlink ref="R88" r:id="rId89" display="http://gofile.me/649X4/cCZIddwfz"/>
    <hyperlink ref="S88" r:id="rId90" display="http://gofile.me/649X4/wZZpyjwc8"/>
    <hyperlink ref="R91" r:id="rId91" display="http://gofile.me/649X4/jOQj0iHlo"/>
    <hyperlink ref="R92" r:id="rId92" display="http://gofile.me/649X4/jOQj0iHlo"/>
    <hyperlink ref="R93" r:id="rId93" display="http://gofile.me/649X4/lZUPNkd0H"/>
    <hyperlink ref="R94" r:id="rId94" display="http://gofile.me/649X4/lZUPNkd0H"/>
    <hyperlink ref="R95" r:id="rId95" display="http://gofile.me/649X4/cRiTPGVl3"/>
    <hyperlink ref="S95" r:id="rId96" display="http://gofile.me/649X4/wZZpyjwc8"/>
    <hyperlink ref="R96" r:id="rId97" display="http://gofile.me/649X4/cRiTPGVl3"/>
    <hyperlink ref="S96" r:id="rId98" display="http://gofile.me/649X4/wZZpyjwc8"/>
    <hyperlink ref="R99" r:id="rId99" display="http://gofile.me/649X4/CNfI9aTJq"/>
    <hyperlink ref="R100" r:id="rId100" display="http://gofile.me/649X4/CNfI9aTJq"/>
    <hyperlink ref="R101" r:id="rId101" display="http://gofile.me/649X4/CNfI9aTJq"/>
    <hyperlink ref="R102" r:id="rId102" display="http://gofile.me/649X4/l9NZxgwBQ"/>
    <hyperlink ref="R103" r:id="rId103" display="http://gofile.me/649X4/l9NZxgwBQ"/>
    <hyperlink ref="R104" r:id="rId104" display="http://gofile.me/649X4/l9NZxgwBQ"/>
    <hyperlink ref="R105" r:id="rId105" display="http://gofile.me/649X4/zv9IMwSOZ"/>
    <hyperlink ref="S105" r:id="rId106" display="http://gofile.me/649X4/wZZpyjwc8"/>
    <hyperlink ref="R106" r:id="rId107" display="http://gofile.me/649X4/zv9IMwSOZ"/>
    <hyperlink ref="S106" r:id="rId108" display="http://gofile.me/649X4/wZZpyjwc8"/>
    <hyperlink ref="R107" r:id="rId109" display="http://gofile.me/649X4/zv9IMwSOZ"/>
    <hyperlink ref="S107" r:id="rId110" display="http://gofile.me/649X4/wZZpyjwc8"/>
  </hyperlinks>
  <printOptions headings="false" gridLines="false" gridLinesSet="true" horizontalCentered="false" verticalCentered="false"/>
  <pageMargins left="0.314583333333333" right="0.314583333333333" top="0.314583333333333" bottom="0.314583333333333" header="0.511811023622047" footer="0.310416666666667"/>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drawing r:id="rId11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true"/>
  </sheetPr>
  <dimension ref="A1:IF4"/>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75390625" defaultRowHeight="50.1" customHeight="true" zeroHeight="false" outlineLevelRow="0" outlineLevelCol="0"/>
  <cols>
    <col collapsed="false" customWidth="true" hidden="false" outlineLevel="0" max="1" min="1" style="213" width="15.13"/>
    <col collapsed="false" customWidth="true" hidden="false" outlineLevel="0" max="3" min="2" style="214" width="17.12"/>
    <col collapsed="false" customWidth="true" hidden="false" outlineLevel="0" max="4" min="4" style="215" width="11.63"/>
    <col collapsed="false" customWidth="true" hidden="false" outlineLevel="0" max="5" min="5" style="215" width="6.75"/>
    <col collapsed="false" customWidth="true" hidden="false" outlineLevel="0" max="6" min="6" style="214" width="32.63"/>
    <col collapsed="false" customWidth="true" hidden="false" outlineLevel="0" max="7" min="7" style="214" width="6.51"/>
    <col collapsed="false" customWidth="true" hidden="false" outlineLevel="0" max="8" min="8" style="214" width="6.57"/>
    <col collapsed="false" customWidth="true" hidden="false" outlineLevel="0" max="9" min="9" style="214" width="9.4"/>
    <col collapsed="false" customWidth="true" hidden="false" outlineLevel="0" max="10" min="10" style="216" width="6.75"/>
    <col collapsed="false" customWidth="true" hidden="false" outlineLevel="0" max="11" min="11" style="214" width="10.3"/>
    <col collapsed="false" customWidth="true" hidden="false" outlineLevel="0" max="12" min="12" style="216" width="6.37"/>
    <col collapsed="false" customWidth="true" hidden="false" outlineLevel="0" max="13" min="13" style="214" width="11"/>
    <col collapsed="false" customWidth="true" hidden="false" outlineLevel="0" max="24" min="14" style="150" width="9"/>
    <col collapsed="false" customWidth="false" hidden="false" outlineLevel="0" max="98" min="25" style="214" width="8.75"/>
  </cols>
  <sheetData>
    <row r="1" customFormat="false" ht="5" hidden="false" customHeight="true" outlineLevel="0" collapsed="false">
      <c r="A1" s="217"/>
      <c r="B1" s="217"/>
      <c r="C1" s="217"/>
      <c r="D1" s="217"/>
      <c r="E1" s="217"/>
      <c r="F1" s="217"/>
      <c r="G1" s="217"/>
      <c r="H1" s="217"/>
      <c r="I1" s="217"/>
      <c r="J1" s="217"/>
      <c r="K1" s="217"/>
      <c r="L1" s="217"/>
      <c r="M1" s="217"/>
      <c r="N1" s="218"/>
      <c r="O1" s="218"/>
      <c r="P1" s="218"/>
      <c r="Q1" s="218"/>
      <c r="R1" s="218"/>
      <c r="S1" s="218"/>
      <c r="T1" s="218"/>
      <c r="U1" s="218"/>
      <c r="V1" s="218"/>
      <c r="W1" s="218"/>
      <c r="X1" s="218"/>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c r="AX1" s="219"/>
      <c r="AY1" s="219"/>
      <c r="AZ1" s="219"/>
      <c r="BA1" s="219"/>
      <c r="BB1" s="219"/>
      <c r="BC1" s="219"/>
      <c r="BD1" s="219"/>
      <c r="BE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19"/>
      <c r="CE1" s="219"/>
      <c r="CF1" s="219"/>
      <c r="CG1" s="219"/>
      <c r="CH1" s="219"/>
      <c r="CI1" s="219"/>
      <c r="CJ1" s="219"/>
      <c r="CK1" s="219"/>
      <c r="CL1" s="219"/>
      <c r="CM1" s="219"/>
      <c r="CN1" s="219"/>
      <c r="CO1" s="219"/>
      <c r="CP1" s="219"/>
      <c r="CQ1" s="219"/>
      <c r="CR1" s="219"/>
      <c r="CS1" s="219"/>
      <c r="CT1" s="219"/>
      <c r="CU1" s="219"/>
      <c r="CV1" s="219"/>
      <c r="CW1" s="219"/>
      <c r="CX1" s="219"/>
      <c r="CY1" s="219"/>
      <c r="CZ1" s="219"/>
      <c r="DA1" s="219"/>
      <c r="DB1" s="219"/>
      <c r="DC1" s="219"/>
      <c r="DD1" s="219"/>
      <c r="DE1" s="219"/>
      <c r="DF1" s="219"/>
      <c r="DG1" s="219"/>
      <c r="DH1" s="219"/>
      <c r="DI1" s="219"/>
      <c r="DJ1" s="219"/>
      <c r="DK1" s="219"/>
      <c r="DL1" s="219"/>
      <c r="DM1" s="219"/>
      <c r="DN1" s="219"/>
      <c r="DO1" s="219"/>
      <c r="DP1" s="219"/>
      <c r="DQ1" s="219"/>
      <c r="DR1" s="219"/>
      <c r="DS1" s="219"/>
      <c r="DT1" s="219"/>
      <c r="DU1" s="219"/>
      <c r="DV1" s="219"/>
      <c r="DW1" s="219"/>
      <c r="DX1" s="219"/>
      <c r="DY1" s="219"/>
      <c r="DZ1" s="219"/>
      <c r="EA1" s="219"/>
      <c r="EB1" s="219"/>
      <c r="EC1" s="219"/>
      <c r="ED1" s="219"/>
      <c r="EE1" s="219"/>
      <c r="EF1" s="219"/>
      <c r="EG1" s="219"/>
      <c r="EH1" s="219"/>
      <c r="EI1" s="219"/>
      <c r="EJ1" s="219"/>
      <c r="EK1" s="219"/>
      <c r="EL1" s="219"/>
      <c r="EM1" s="219"/>
      <c r="EN1" s="219"/>
      <c r="EO1" s="219"/>
      <c r="EP1" s="219"/>
      <c r="EQ1" s="219"/>
      <c r="ER1" s="219"/>
      <c r="ES1" s="219"/>
      <c r="ET1" s="219"/>
      <c r="EU1" s="219"/>
      <c r="EV1" s="219"/>
      <c r="EW1" s="219"/>
      <c r="EX1" s="219"/>
      <c r="EY1" s="219"/>
      <c r="EZ1" s="219"/>
      <c r="FA1" s="219"/>
      <c r="FB1" s="219"/>
      <c r="FC1" s="219"/>
      <c r="FD1" s="219"/>
      <c r="FE1" s="219"/>
      <c r="FF1" s="219"/>
      <c r="FG1" s="219"/>
      <c r="FH1" s="219"/>
      <c r="FI1" s="219"/>
      <c r="FJ1" s="219"/>
      <c r="FK1" s="219"/>
      <c r="FL1" s="219"/>
      <c r="FM1" s="219"/>
      <c r="FN1" s="219"/>
      <c r="FO1" s="219"/>
      <c r="FP1" s="219"/>
      <c r="FQ1" s="219"/>
      <c r="FR1" s="219"/>
      <c r="FS1" s="219"/>
      <c r="FT1" s="219"/>
      <c r="FU1" s="219"/>
      <c r="FV1" s="219"/>
      <c r="FW1" s="219"/>
      <c r="FX1" s="219"/>
      <c r="FY1" s="219"/>
      <c r="FZ1" s="219"/>
      <c r="GA1" s="219"/>
      <c r="GB1" s="219"/>
      <c r="GC1" s="219"/>
      <c r="GD1" s="219"/>
      <c r="GE1" s="219"/>
      <c r="GF1" s="219"/>
      <c r="GG1" s="219"/>
      <c r="GH1" s="219"/>
      <c r="GI1" s="219"/>
      <c r="GJ1" s="219"/>
      <c r="GK1" s="219"/>
      <c r="GL1" s="219"/>
      <c r="GM1" s="219"/>
      <c r="GN1" s="219"/>
      <c r="GO1" s="219"/>
      <c r="GP1" s="219"/>
      <c r="GQ1" s="219"/>
      <c r="GR1" s="219"/>
      <c r="GS1" s="219"/>
      <c r="GT1" s="219"/>
      <c r="GU1" s="219"/>
      <c r="GV1" s="219"/>
      <c r="GW1" s="219"/>
      <c r="GX1" s="219"/>
      <c r="GY1" s="219"/>
      <c r="GZ1" s="219"/>
      <c r="HA1" s="219"/>
      <c r="HB1" s="219"/>
      <c r="HC1" s="219"/>
      <c r="HD1" s="219"/>
      <c r="HE1" s="219"/>
      <c r="HF1" s="219"/>
      <c r="HG1" s="219"/>
      <c r="HH1" s="219"/>
      <c r="HI1" s="219"/>
      <c r="HJ1" s="219"/>
      <c r="HK1" s="219"/>
      <c r="HL1" s="219"/>
      <c r="HM1" s="219"/>
      <c r="HN1" s="219"/>
      <c r="HO1" s="219"/>
      <c r="HP1" s="219"/>
      <c r="HQ1" s="219"/>
      <c r="HR1" s="219"/>
      <c r="HS1" s="219"/>
      <c r="HT1" s="219"/>
      <c r="HU1" s="219"/>
      <c r="HV1" s="219"/>
      <c r="HW1" s="218"/>
      <c r="HX1" s="218"/>
      <c r="HY1" s="218"/>
      <c r="HZ1" s="218"/>
      <c r="IA1" s="218"/>
      <c r="IB1" s="218"/>
      <c r="IC1" s="218"/>
      <c r="ID1" s="218"/>
      <c r="IE1" s="219"/>
      <c r="IF1" s="219"/>
    </row>
    <row r="2" s="224" customFormat="true" ht="30" hidden="false" customHeight="true" outlineLevel="0" collapsed="false">
      <c r="A2" s="46" t="s">
        <v>3146</v>
      </c>
      <c r="B2" s="46" t="s">
        <v>3147</v>
      </c>
      <c r="C2" s="46" t="s">
        <v>3148</v>
      </c>
      <c r="D2" s="46" t="s">
        <v>3149</v>
      </c>
      <c r="E2" s="46" t="s">
        <v>3150</v>
      </c>
      <c r="F2" s="46" t="s">
        <v>3151</v>
      </c>
      <c r="G2" s="46" t="s">
        <v>3152</v>
      </c>
      <c r="H2" s="46" t="s">
        <v>3153</v>
      </c>
      <c r="I2" s="46" t="s">
        <v>3154</v>
      </c>
      <c r="J2" s="46" t="s">
        <v>3155</v>
      </c>
      <c r="K2" s="46" t="s">
        <v>3156</v>
      </c>
      <c r="L2" s="46" t="s">
        <v>3157</v>
      </c>
      <c r="M2" s="46" t="s">
        <v>3158</v>
      </c>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220"/>
      <c r="BF2" s="220"/>
      <c r="BG2" s="220"/>
      <c r="BH2" s="220"/>
      <c r="BI2" s="220"/>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220"/>
      <c r="CH2" s="220"/>
      <c r="CI2" s="220"/>
      <c r="CJ2" s="220"/>
      <c r="CK2" s="220"/>
      <c r="CL2" s="220"/>
      <c r="CM2" s="220"/>
      <c r="CN2" s="220"/>
      <c r="CO2" s="220"/>
      <c r="CP2" s="220"/>
      <c r="CQ2" s="220"/>
      <c r="CR2" s="220"/>
      <c r="CS2" s="220"/>
      <c r="CT2" s="220"/>
      <c r="CU2" s="220"/>
      <c r="CV2" s="220"/>
      <c r="CW2" s="220"/>
      <c r="CX2" s="220"/>
      <c r="CY2" s="220"/>
      <c r="CZ2" s="220"/>
      <c r="DA2" s="220"/>
      <c r="DB2" s="220"/>
      <c r="DC2" s="220"/>
      <c r="DD2" s="220"/>
      <c r="DE2" s="220"/>
      <c r="DF2" s="220"/>
      <c r="DG2" s="220"/>
      <c r="DH2" s="220"/>
      <c r="DI2" s="220"/>
      <c r="DJ2" s="220"/>
      <c r="DK2" s="220"/>
      <c r="DL2" s="220"/>
      <c r="DM2" s="220"/>
      <c r="DN2" s="220"/>
      <c r="DO2" s="220"/>
      <c r="DP2" s="220"/>
      <c r="DQ2" s="220"/>
      <c r="DR2" s="220"/>
      <c r="DS2" s="220"/>
      <c r="DT2" s="220"/>
      <c r="DU2" s="220"/>
      <c r="DV2" s="220"/>
      <c r="DW2" s="220"/>
      <c r="DX2" s="220"/>
      <c r="DY2" s="220"/>
      <c r="DZ2" s="220"/>
      <c r="EA2" s="220"/>
      <c r="EB2" s="220"/>
      <c r="EC2" s="220"/>
      <c r="ED2" s="220"/>
      <c r="EE2" s="220"/>
      <c r="EF2" s="220"/>
      <c r="EG2" s="220"/>
      <c r="EH2" s="220"/>
      <c r="EI2" s="220"/>
      <c r="EJ2" s="220"/>
      <c r="EK2" s="220"/>
      <c r="EL2" s="220"/>
      <c r="EM2" s="220"/>
      <c r="EN2" s="220"/>
      <c r="EO2" s="220"/>
      <c r="EP2" s="220"/>
      <c r="EQ2" s="220"/>
      <c r="ER2" s="220"/>
      <c r="ES2" s="220"/>
      <c r="ET2" s="220"/>
      <c r="EU2" s="220"/>
      <c r="EV2" s="220"/>
      <c r="EW2" s="220"/>
      <c r="EX2" s="220"/>
      <c r="EY2" s="220"/>
      <c r="EZ2" s="220"/>
      <c r="FA2" s="220"/>
      <c r="FB2" s="220"/>
      <c r="FC2" s="220"/>
      <c r="FD2" s="220"/>
      <c r="FE2" s="220"/>
      <c r="FF2" s="220"/>
      <c r="FG2" s="220"/>
      <c r="FH2" s="220"/>
      <c r="FI2" s="220"/>
      <c r="FJ2" s="220"/>
      <c r="FK2" s="220"/>
      <c r="FL2" s="220"/>
      <c r="FM2" s="220"/>
      <c r="FN2" s="220"/>
      <c r="FO2" s="220"/>
      <c r="FP2" s="220"/>
      <c r="FQ2" s="220"/>
      <c r="FR2" s="220"/>
      <c r="FS2" s="220"/>
      <c r="FT2" s="220"/>
      <c r="FU2" s="220"/>
      <c r="FV2" s="220"/>
      <c r="FW2" s="220"/>
      <c r="FX2" s="220"/>
      <c r="FY2" s="220"/>
      <c r="FZ2" s="220"/>
      <c r="GA2" s="220"/>
      <c r="GB2" s="220"/>
      <c r="GC2" s="220"/>
      <c r="GD2" s="220"/>
      <c r="GE2" s="220"/>
      <c r="GF2" s="220"/>
      <c r="GG2" s="220"/>
      <c r="GH2" s="220"/>
      <c r="GI2" s="220"/>
      <c r="GJ2" s="220"/>
      <c r="GK2" s="220"/>
      <c r="GL2" s="220"/>
      <c r="GM2" s="220"/>
      <c r="GN2" s="220"/>
      <c r="GO2" s="220"/>
      <c r="GP2" s="220"/>
      <c r="GQ2" s="220"/>
      <c r="GR2" s="220"/>
      <c r="GS2" s="220"/>
      <c r="GT2" s="220"/>
      <c r="GU2" s="220"/>
      <c r="GV2" s="220"/>
      <c r="GW2" s="220"/>
      <c r="GX2" s="220"/>
      <c r="GY2" s="220"/>
      <c r="GZ2" s="220"/>
      <c r="HA2" s="220"/>
      <c r="HB2" s="220"/>
      <c r="HC2" s="220"/>
      <c r="HD2" s="220"/>
      <c r="HE2" s="220"/>
      <c r="HF2" s="220"/>
      <c r="HG2" s="220"/>
      <c r="HH2" s="220"/>
      <c r="HI2" s="220"/>
      <c r="HJ2" s="220"/>
      <c r="HK2" s="220"/>
      <c r="HL2" s="220"/>
      <c r="HM2" s="220"/>
      <c r="HN2" s="220"/>
      <c r="HO2" s="220"/>
      <c r="HP2" s="220"/>
      <c r="HQ2" s="220"/>
      <c r="HR2" s="220"/>
      <c r="HS2" s="220"/>
      <c r="HT2" s="220"/>
      <c r="HU2" s="220"/>
      <c r="HV2" s="220"/>
      <c r="HW2" s="220"/>
      <c r="HX2" s="220"/>
      <c r="HY2" s="220"/>
      <c r="HZ2" s="220"/>
      <c r="IA2" s="220"/>
      <c r="IB2" s="220"/>
      <c r="IC2" s="220"/>
      <c r="ID2" s="221"/>
      <c r="IE2" s="222"/>
      <c r="IF2" s="223"/>
    </row>
    <row r="3" customFormat="false" ht="50.1" hidden="false" customHeight="true" outlineLevel="0" collapsed="false">
      <c r="A3" s="47" t="s">
        <v>3159</v>
      </c>
      <c r="B3" s="47"/>
      <c r="C3" s="47"/>
      <c r="D3" s="47"/>
      <c r="E3" s="47"/>
      <c r="F3" s="47"/>
      <c r="G3" s="47"/>
      <c r="H3" s="47"/>
      <c r="I3" s="47"/>
      <c r="J3" s="47"/>
      <c r="K3" s="47"/>
      <c r="L3" s="47"/>
      <c r="M3" s="47"/>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N3" s="225"/>
      <c r="BO3" s="225"/>
      <c r="BP3" s="225"/>
      <c r="BQ3" s="225"/>
      <c r="BR3" s="225"/>
      <c r="BS3" s="225"/>
      <c r="BT3" s="225"/>
      <c r="BU3" s="225"/>
      <c r="BV3" s="225"/>
      <c r="BW3" s="225"/>
      <c r="BX3" s="225"/>
      <c r="BY3" s="225"/>
      <c r="BZ3" s="225"/>
      <c r="CA3" s="225"/>
      <c r="CB3" s="225"/>
      <c r="CC3" s="225"/>
      <c r="CD3" s="225"/>
      <c r="CE3" s="225"/>
      <c r="CF3" s="225"/>
      <c r="CG3" s="225"/>
      <c r="CH3" s="225"/>
      <c r="CI3" s="225"/>
      <c r="CJ3" s="225"/>
      <c r="CK3" s="225"/>
      <c r="CL3" s="225"/>
      <c r="CM3" s="225"/>
      <c r="CN3" s="225"/>
      <c r="CO3" s="225"/>
      <c r="CP3" s="225"/>
      <c r="CQ3" s="225"/>
      <c r="CR3" s="225"/>
      <c r="CS3" s="225"/>
      <c r="CT3" s="225"/>
      <c r="CU3" s="225"/>
      <c r="CV3" s="225"/>
      <c r="CW3" s="225"/>
      <c r="CX3" s="225"/>
      <c r="CY3" s="225"/>
      <c r="CZ3" s="225"/>
      <c r="DA3" s="225"/>
      <c r="DB3" s="225"/>
      <c r="DC3" s="225"/>
      <c r="DD3" s="225"/>
      <c r="DE3" s="225"/>
      <c r="DF3" s="225"/>
      <c r="DG3" s="225"/>
      <c r="DH3" s="225"/>
      <c r="DI3" s="225"/>
      <c r="DJ3" s="225"/>
      <c r="DK3" s="225"/>
      <c r="DL3" s="225"/>
      <c r="DM3" s="225"/>
      <c r="DN3" s="225"/>
      <c r="DO3" s="225"/>
      <c r="DP3" s="225"/>
      <c r="DQ3" s="225"/>
      <c r="DR3" s="225"/>
      <c r="DS3" s="225"/>
      <c r="DT3" s="225"/>
      <c r="DU3" s="225"/>
      <c r="DV3" s="225"/>
      <c r="DW3" s="225"/>
      <c r="DX3" s="225"/>
      <c r="DY3" s="225"/>
      <c r="DZ3" s="225"/>
      <c r="EA3" s="225"/>
      <c r="EB3" s="225"/>
      <c r="EC3" s="225"/>
      <c r="ED3" s="225"/>
      <c r="EE3" s="225"/>
      <c r="EF3" s="225"/>
      <c r="EG3" s="225"/>
      <c r="EH3" s="225"/>
      <c r="EI3" s="225"/>
      <c r="EJ3" s="225"/>
      <c r="EK3" s="225"/>
      <c r="EL3" s="225"/>
      <c r="EM3" s="225"/>
      <c r="EN3" s="225"/>
      <c r="EO3" s="225"/>
      <c r="EP3" s="225"/>
      <c r="EQ3" s="225"/>
      <c r="ER3" s="225"/>
      <c r="ES3" s="225"/>
      <c r="ET3" s="225"/>
      <c r="EU3" s="225"/>
      <c r="EV3" s="225"/>
      <c r="EW3" s="225"/>
      <c r="EX3" s="225"/>
      <c r="EY3" s="225"/>
      <c r="EZ3" s="225"/>
      <c r="FA3" s="225"/>
      <c r="FB3" s="225"/>
      <c r="FC3" s="225"/>
      <c r="FD3" s="225"/>
      <c r="FE3" s="225"/>
      <c r="FF3" s="225"/>
      <c r="FG3" s="225"/>
      <c r="FH3" s="225"/>
      <c r="FI3" s="225"/>
      <c r="FJ3" s="225"/>
      <c r="FK3" s="225"/>
      <c r="FL3" s="225"/>
      <c r="FM3" s="225"/>
      <c r="FN3" s="225"/>
      <c r="FO3" s="225"/>
      <c r="FP3" s="225"/>
      <c r="FQ3" s="225"/>
      <c r="FR3" s="225"/>
      <c r="FS3" s="225"/>
      <c r="FT3" s="225"/>
      <c r="FU3" s="225"/>
      <c r="FV3" s="225"/>
      <c r="FW3" s="225"/>
      <c r="FX3" s="225"/>
      <c r="FY3" s="225"/>
      <c r="FZ3" s="225"/>
      <c r="GA3" s="225"/>
      <c r="GB3" s="225"/>
      <c r="GC3" s="225"/>
      <c r="GD3" s="225"/>
      <c r="GE3" s="225"/>
      <c r="GF3" s="225"/>
      <c r="GG3" s="225"/>
      <c r="GH3" s="225"/>
      <c r="GI3" s="225"/>
      <c r="GJ3" s="225"/>
      <c r="GK3" s="225"/>
      <c r="GL3" s="225"/>
      <c r="GM3" s="225"/>
      <c r="GN3" s="225"/>
      <c r="GO3" s="225"/>
      <c r="GP3" s="225"/>
      <c r="GQ3" s="225"/>
      <c r="GR3" s="225"/>
      <c r="GS3" s="225"/>
      <c r="GT3" s="225"/>
      <c r="GU3" s="225"/>
      <c r="GV3" s="225"/>
      <c r="GW3" s="225"/>
      <c r="GX3" s="225"/>
      <c r="GY3" s="225"/>
      <c r="GZ3" s="225"/>
      <c r="HA3" s="225"/>
      <c r="HB3" s="225"/>
      <c r="HC3" s="225"/>
      <c r="HD3" s="225"/>
      <c r="HE3" s="225"/>
      <c r="HF3" s="225"/>
      <c r="HG3" s="225"/>
      <c r="HH3" s="225"/>
      <c r="HI3" s="225"/>
      <c r="HJ3" s="225"/>
      <c r="HK3" s="225"/>
      <c r="HL3" s="225"/>
      <c r="HM3" s="225"/>
      <c r="HN3" s="225"/>
      <c r="HO3" s="225"/>
      <c r="HP3" s="225"/>
      <c r="HQ3" s="225"/>
      <c r="HR3" s="225"/>
      <c r="HS3" s="225"/>
      <c r="HT3" s="225"/>
      <c r="HU3" s="225"/>
      <c r="HV3" s="226"/>
    </row>
    <row r="4" customFormat="false" ht="27" hidden="false" customHeight="true" outlineLevel="0" collapsed="false">
      <c r="A4" s="49" t="s">
        <v>3160</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row>
  </sheetData>
  <mergeCells count="3">
    <mergeCell ref="A1:M1"/>
    <mergeCell ref="A3:M3"/>
    <mergeCell ref="A4:H4"/>
  </mergeCells>
  <printOptions headings="false" gridLines="false" gridLinesSet="true" horizontalCentered="false" verticalCentered="false"/>
  <pageMargins left="0.279861111111111" right="0.240277777777778" top="0.309722222222222"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1" manualBreakCount="1">
    <brk id="4" man="true" max="16383" min="0"/>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true"/>
  </sheetPr>
  <dimension ref="A1:IF4"/>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75390625" defaultRowHeight="50.1" customHeight="true" zeroHeight="false" outlineLevelRow="0" outlineLevelCol="0"/>
  <cols>
    <col collapsed="false" customWidth="true" hidden="false" outlineLevel="0" max="1" min="1" style="213" width="16.63"/>
    <col collapsed="false" customWidth="true" hidden="false" outlineLevel="0" max="3" min="2" style="214" width="17.12"/>
    <col collapsed="false" customWidth="true" hidden="false" outlineLevel="0" max="4" min="4" style="215" width="11.63"/>
    <col collapsed="false" customWidth="true" hidden="false" outlineLevel="0" max="5" min="5" style="215" width="5.93"/>
    <col collapsed="false" customWidth="true" hidden="false" outlineLevel="0" max="6" min="6" style="214" width="32.63"/>
    <col collapsed="false" customWidth="true" hidden="false" outlineLevel="0" max="7" min="7" style="214" width="6.18"/>
    <col collapsed="false" customWidth="true" hidden="false" outlineLevel="0" max="8" min="8" style="214" width="6.57"/>
    <col collapsed="false" customWidth="true" hidden="false" outlineLevel="0" max="9" min="9" style="214" width="9.15"/>
    <col collapsed="false" customWidth="true" hidden="false" outlineLevel="0" max="10" min="10" style="216" width="6.75"/>
    <col collapsed="false" customWidth="true" hidden="false" outlineLevel="0" max="11" min="11" style="214" width="9.41"/>
    <col collapsed="false" customWidth="true" hidden="false" outlineLevel="0" max="12" min="12" style="216" width="6.37"/>
    <col collapsed="false" customWidth="true" hidden="false" outlineLevel="0" max="13" min="13" style="214" width="11.11"/>
    <col collapsed="false" customWidth="true" hidden="false" outlineLevel="0" max="24" min="14" style="150" width="9"/>
    <col collapsed="false" customWidth="false" hidden="false" outlineLevel="0" max="98" min="25" style="214" width="8.75"/>
  </cols>
  <sheetData>
    <row r="1" customFormat="false" ht="5" hidden="false" customHeight="true" outlineLevel="0" collapsed="false">
      <c r="A1" s="217"/>
      <c r="B1" s="217"/>
      <c r="C1" s="217"/>
      <c r="D1" s="217"/>
      <c r="E1" s="217"/>
      <c r="F1" s="217"/>
      <c r="G1" s="217"/>
      <c r="H1" s="217"/>
      <c r="I1" s="217"/>
      <c r="J1" s="217"/>
      <c r="K1" s="217"/>
      <c r="L1" s="217"/>
      <c r="M1" s="217"/>
      <c r="N1" s="218"/>
      <c r="O1" s="218"/>
      <c r="P1" s="218"/>
      <c r="Q1" s="218"/>
      <c r="R1" s="218"/>
      <c r="S1" s="218"/>
      <c r="T1" s="218"/>
      <c r="U1" s="218"/>
      <c r="V1" s="218"/>
      <c r="W1" s="218"/>
      <c r="X1" s="218"/>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c r="AX1" s="219"/>
      <c r="AY1" s="219"/>
      <c r="AZ1" s="219"/>
      <c r="BA1" s="219"/>
      <c r="BB1" s="219"/>
      <c r="BC1" s="219"/>
      <c r="BD1" s="219"/>
      <c r="BE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19"/>
      <c r="CE1" s="219"/>
      <c r="CF1" s="219"/>
      <c r="CG1" s="219"/>
      <c r="CH1" s="219"/>
      <c r="CI1" s="219"/>
      <c r="CJ1" s="219"/>
      <c r="CK1" s="219"/>
      <c r="CL1" s="219"/>
      <c r="CM1" s="219"/>
      <c r="CN1" s="219"/>
      <c r="CO1" s="219"/>
      <c r="CP1" s="219"/>
      <c r="CQ1" s="219"/>
      <c r="CR1" s="219"/>
      <c r="CS1" s="219"/>
      <c r="CT1" s="219"/>
      <c r="CU1" s="219"/>
      <c r="CV1" s="219"/>
      <c r="CW1" s="219"/>
      <c r="CX1" s="219"/>
      <c r="CY1" s="219"/>
      <c r="CZ1" s="219"/>
      <c r="DA1" s="219"/>
      <c r="DB1" s="219"/>
      <c r="DC1" s="219"/>
      <c r="DD1" s="219"/>
      <c r="DE1" s="219"/>
      <c r="DF1" s="219"/>
      <c r="DG1" s="219"/>
      <c r="DH1" s="219"/>
      <c r="DI1" s="219"/>
      <c r="DJ1" s="219"/>
      <c r="DK1" s="219"/>
      <c r="DL1" s="219"/>
      <c r="DM1" s="219"/>
      <c r="DN1" s="219"/>
      <c r="DO1" s="219"/>
      <c r="DP1" s="219"/>
      <c r="DQ1" s="219"/>
      <c r="DR1" s="219"/>
      <c r="DS1" s="219"/>
      <c r="DT1" s="219"/>
      <c r="DU1" s="219"/>
      <c r="DV1" s="219"/>
      <c r="DW1" s="219"/>
      <c r="DX1" s="219"/>
      <c r="DY1" s="219"/>
      <c r="DZ1" s="219"/>
      <c r="EA1" s="219"/>
      <c r="EB1" s="219"/>
      <c r="EC1" s="219"/>
      <c r="ED1" s="219"/>
      <c r="EE1" s="219"/>
      <c r="EF1" s="219"/>
      <c r="EG1" s="219"/>
      <c r="EH1" s="219"/>
      <c r="EI1" s="219"/>
      <c r="EJ1" s="219"/>
      <c r="EK1" s="219"/>
      <c r="EL1" s="219"/>
      <c r="EM1" s="219"/>
      <c r="EN1" s="219"/>
      <c r="EO1" s="219"/>
      <c r="EP1" s="219"/>
      <c r="EQ1" s="219"/>
      <c r="ER1" s="219"/>
      <c r="ES1" s="219"/>
      <c r="ET1" s="219"/>
      <c r="EU1" s="219"/>
      <c r="EV1" s="219"/>
      <c r="EW1" s="219"/>
      <c r="EX1" s="219"/>
      <c r="EY1" s="219"/>
      <c r="EZ1" s="219"/>
      <c r="FA1" s="219"/>
      <c r="FB1" s="219"/>
      <c r="FC1" s="219"/>
      <c r="FD1" s="219"/>
      <c r="FE1" s="219"/>
      <c r="FF1" s="219"/>
      <c r="FG1" s="219"/>
      <c r="FH1" s="219"/>
      <c r="FI1" s="219"/>
      <c r="FJ1" s="219"/>
      <c r="FK1" s="219"/>
      <c r="FL1" s="219"/>
      <c r="FM1" s="219"/>
      <c r="FN1" s="219"/>
      <c r="FO1" s="219"/>
      <c r="FP1" s="219"/>
      <c r="FQ1" s="219"/>
      <c r="FR1" s="219"/>
      <c r="FS1" s="219"/>
      <c r="FT1" s="219"/>
      <c r="FU1" s="219"/>
      <c r="FV1" s="219"/>
      <c r="FW1" s="219"/>
      <c r="FX1" s="219"/>
      <c r="FY1" s="219"/>
      <c r="FZ1" s="219"/>
      <c r="GA1" s="219"/>
      <c r="GB1" s="219"/>
      <c r="GC1" s="219"/>
      <c r="GD1" s="219"/>
      <c r="GE1" s="219"/>
      <c r="GF1" s="219"/>
      <c r="GG1" s="219"/>
      <c r="GH1" s="219"/>
      <c r="GI1" s="219"/>
      <c r="GJ1" s="219"/>
      <c r="GK1" s="219"/>
      <c r="GL1" s="219"/>
      <c r="GM1" s="219"/>
      <c r="GN1" s="219"/>
      <c r="GO1" s="219"/>
      <c r="GP1" s="219"/>
      <c r="GQ1" s="219"/>
      <c r="GR1" s="219"/>
      <c r="GS1" s="219"/>
      <c r="GT1" s="219"/>
      <c r="GU1" s="219"/>
      <c r="GV1" s="219"/>
      <c r="GW1" s="219"/>
      <c r="GX1" s="219"/>
      <c r="GY1" s="219"/>
      <c r="GZ1" s="219"/>
      <c r="HA1" s="219"/>
      <c r="HB1" s="219"/>
      <c r="HC1" s="219"/>
      <c r="HD1" s="219"/>
      <c r="HE1" s="219"/>
      <c r="HF1" s="219"/>
      <c r="HG1" s="219"/>
      <c r="HH1" s="219"/>
      <c r="HI1" s="219"/>
      <c r="HJ1" s="219"/>
      <c r="HK1" s="219"/>
      <c r="HL1" s="219"/>
      <c r="HM1" s="219"/>
      <c r="HN1" s="219"/>
      <c r="HO1" s="219"/>
      <c r="HP1" s="219"/>
      <c r="HQ1" s="219"/>
      <c r="HR1" s="219"/>
      <c r="HS1" s="219"/>
      <c r="HT1" s="219"/>
      <c r="HU1" s="219"/>
      <c r="HV1" s="219"/>
      <c r="HW1" s="218"/>
      <c r="HX1" s="218"/>
      <c r="HY1" s="218"/>
      <c r="HZ1" s="218"/>
      <c r="IA1" s="218"/>
      <c r="IB1" s="218"/>
      <c r="IC1" s="218"/>
      <c r="ID1" s="218"/>
      <c r="IE1" s="219"/>
      <c r="IF1" s="219"/>
    </row>
    <row r="2" s="224" customFormat="true" ht="30" hidden="false" customHeight="true" outlineLevel="0" collapsed="false">
      <c r="A2" s="46" t="s">
        <v>3161</v>
      </c>
      <c r="B2" s="46" t="s">
        <v>3147</v>
      </c>
      <c r="C2" s="46" t="s">
        <v>3148</v>
      </c>
      <c r="D2" s="46" t="s">
        <v>3149</v>
      </c>
      <c r="E2" s="46" t="s">
        <v>3150</v>
      </c>
      <c r="F2" s="46" t="s">
        <v>3151</v>
      </c>
      <c r="G2" s="46" t="s">
        <v>3152</v>
      </c>
      <c r="H2" s="46" t="s">
        <v>3153</v>
      </c>
      <c r="I2" s="46" t="s">
        <v>3154</v>
      </c>
      <c r="J2" s="46" t="s">
        <v>3155</v>
      </c>
      <c r="K2" s="46" t="s">
        <v>3156</v>
      </c>
      <c r="L2" s="46" t="s">
        <v>3157</v>
      </c>
      <c r="M2" s="46" t="s">
        <v>3158</v>
      </c>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220"/>
      <c r="BF2" s="220"/>
      <c r="BG2" s="220"/>
      <c r="BH2" s="220"/>
      <c r="BI2" s="220"/>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220"/>
      <c r="CH2" s="220"/>
      <c r="CI2" s="220"/>
      <c r="CJ2" s="220"/>
      <c r="CK2" s="220"/>
      <c r="CL2" s="220"/>
      <c r="CM2" s="220"/>
      <c r="CN2" s="220"/>
      <c r="CO2" s="220"/>
      <c r="CP2" s="220"/>
      <c r="CQ2" s="220"/>
      <c r="CR2" s="220"/>
      <c r="CS2" s="220"/>
      <c r="CT2" s="220"/>
      <c r="CU2" s="220"/>
      <c r="CV2" s="220"/>
      <c r="CW2" s="220"/>
      <c r="CX2" s="220"/>
      <c r="CY2" s="220"/>
      <c r="CZ2" s="220"/>
      <c r="DA2" s="220"/>
      <c r="DB2" s="220"/>
      <c r="DC2" s="220"/>
      <c r="DD2" s="220"/>
      <c r="DE2" s="220"/>
      <c r="DF2" s="220"/>
      <c r="DG2" s="220"/>
      <c r="DH2" s="220"/>
      <c r="DI2" s="220"/>
      <c r="DJ2" s="220"/>
      <c r="DK2" s="220"/>
      <c r="DL2" s="220"/>
      <c r="DM2" s="220"/>
      <c r="DN2" s="220"/>
      <c r="DO2" s="220"/>
      <c r="DP2" s="220"/>
      <c r="DQ2" s="220"/>
      <c r="DR2" s="220"/>
      <c r="DS2" s="220"/>
      <c r="DT2" s="220"/>
      <c r="DU2" s="220"/>
      <c r="DV2" s="220"/>
      <c r="DW2" s="220"/>
      <c r="DX2" s="220"/>
      <c r="DY2" s="220"/>
      <c r="DZ2" s="220"/>
      <c r="EA2" s="220"/>
      <c r="EB2" s="220"/>
      <c r="EC2" s="220"/>
      <c r="ED2" s="220"/>
      <c r="EE2" s="220"/>
      <c r="EF2" s="220"/>
      <c r="EG2" s="220"/>
      <c r="EH2" s="220"/>
      <c r="EI2" s="220"/>
      <c r="EJ2" s="220"/>
      <c r="EK2" s="220"/>
      <c r="EL2" s="220"/>
      <c r="EM2" s="220"/>
      <c r="EN2" s="220"/>
      <c r="EO2" s="220"/>
      <c r="EP2" s="220"/>
      <c r="EQ2" s="220"/>
      <c r="ER2" s="220"/>
      <c r="ES2" s="220"/>
      <c r="ET2" s="220"/>
      <c r="EU2" s="220"/>
      <c r="EV2" s="220"/>
      <c r="EW2" s="220"/>
      <c r="EX2" s="220"/>
      <c r="EY2" s="220"/>
      <c r="EZ2" s="220"/>
      <c r="FA2" s="220"/>
      <c r="FB2" s="220"/>
      <c r="FC2" s="220"/>
      <c r="FD2" s="220"/>
      <c r="FE2" s="220"/>
      <c r="FF2" s="220"/>
      <c r="FG2" s="220"/>
      <c r="FH2" s="220"/>
      <c r="FI2" s="220"/>
      <c r="FJ2" s="220"/>
      <c r="FK2" s="220"/>
      <c r="FL2" s="220"/>
      <c r="FM2" s="220"/>
      <c r="FN2" s="220"/>
      <c r="FO2" s="220"/>
      <c r="FP2" s="220"/>
      <c r="FQ2" s="220"/>
      <c r="FR2" s="220"/>
      <c r="FS2" s="220"/>
      <c r="FT2" s="220"/>
      <c r="FU2" s="220"/>
      <c r="FV2" s="220"/>
      <c r="FW2" s="220"/>
      <c r="FX2" s="220"/>
      <c r="FY2" s="220"/>
      <c r="FZ2" s="220"/>
      <c r="GA2" s="220"/>
      <c r="GB2" s="220"/>
      <c r="GC2" s="220"/>
      <c r="GD2" s="220"/>
      <c r="GE2" s="220"/>
      <c r="GF2" s="220"/>
      <c r="GG2" s="220"/>
      <c r="GH2" s="220"/>
      <c r="GI2" s="220"/>
      <c r="GJ2" s="220"/>
      <c r="GK2" s="220"/>
      <c r="GL2" s="220"/>
      <c r="GM2" s="220"/>
      <c r="GN2" s="220"/>
      <c r="GO2" s="220"/>
      <c r="GP2" s="220"/>
      <c r="GQ2" s="220"/>
      <c r="GR2" s="220"/>
      <c r="GS2" s="220"/>
      <c r="GT2" s="220"/>
      <c r="GU2" s="220"/>
      <c r="GV2" s="220"/>
      <c r="GW2" s="220"/>
      <c r="GX2" s="220"/>
      <c r="GY2" s="220"/>
      <c r="GZ2" s="220"/>
      <c r="HA2" s="220"/>
      <c r="HB2" s="220"/>
      <c r="HC2" s="220"/>
      <c r="HD2" s="220"/>
      <c r="HE2" s="220"/>
      <c r="HF2" s="220"/>
      <c r="HG2" s="220"/>
      <c r="HH2" s="220"/>
      <c r="HI2" s="220"/>
      <c r="HJ2" s="220"/>
      <c r="HK2" s="220"/>
      <c r="HL2" s="220"/>
      <c r="HM2" s="220"/>
      <c r="HN2" s="220"/>
      <c r="HO2" s="220"/>
      <c r="HP2" s="220"/>
      <c r="HQ2" s="220"/>
      <c r="HR2" s="220"/>
      <c r="HS2" s="220"/>
      <c r="HT2" s="220"/>
      <c r="HU2" s="220"/>
      <c r="HV2" s="220"/>
      <c r="HW2" s="220"/>
      <c r="HX2" s="220"/>
      <c r="HY2" s="220"/>
      <c r="HZ2" s="220"/>
      <c r="IA2" s="220"/>
      <c r="IB2" s="220"/>
      <c r="IC2" s="220"/>
      <c r="ID2" s="221"/>
      <c r="IE2" s="222"/>
      <c r="IF2" s="223"/>
    </row>
    <row r="3" customFormat="false" ht="40" hidden="false" customHeight="true" outlineLevel="0" collapsed="false">
      <c r="A3" s="47" t="s">
        <v>3162</v>
      </c>
      <c r="B3" s="47"/>
      <c r="C3" s="47"/>
      <c r="D3" s="47"/>
      <c r="E3" s="47"/>
      <c r="F3" s="47"/>
      <c r="G3" s="47"/>
      <c r="H3" s="47"/>
      <c r="I3" s="47"/>
      <c r="J3" s="47"/>
      <c r="K3" s="47"/>
      <c r="L3" s="47"/>
      <c r="M3" s="47"/>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N3" s="225"/>
      <c r="BO3" s="225"/>
      <c r="BP3" s="225"/>
      <c r="BQ3" s="225"/>
      <c r="BR3" s="225"/>
      <c r="BS3" s="225"/>
      <c r="BT3" s="225"/>
      <c r="BU3" s="225"/>
      <c r="BV3" s="225"/>
      <c r="BW3" s="225"/>
      <c r="BX3" s="225"/>
      <c r="BY3" s="225"/>
      <c r="BZ3" s="225"/>
      <c r="CA3" s="225"/>
      <c r="CB3" s="225"/>
      <c r="CC3" s="225"/>
      <c r="CD3" s="225"/>
      <c r="CE3" s="225"/>
      <c r="CF3" s="225"/>
      <c r="CG3" s="225"/>
      <c r="CH3" s="225"/>
      <c r="CI3" s="225"/>
      <c r="CJ3" s="225"/>
      <c r="CK3" s="225"/>
      <c r="CL3" s="225"/>
      <c r="CM3" s="225"/>
      <c r="CN3" s="225"/>
      <c r="CO3" s="225"/>
      <c r="CP3" s="225"/>
      <c r="CQ3" s="225"/>
      <c r="CR3" s="225"/>
      <c r="CS3" s="225"/>
      <c r="CT3" s="225"/>
      <c r="CU3" s="225"/>
      <c r="CV3" s="225"/>
      <c r="CW3" s="225"/>
      <c r="CX3" s="225"/>
      <c r="CY3" s="225"/>
      <c r="CZ3" s="225"/>
      <c r="DA3" s="225"/>
      <c r="DB3" s="225"/>
      <c r="DC3" s="225"/>
      <c r="DD3" s="225"/>
      <c r="DE3" s="225"/>
      <c r="DF3" s="225"/>
      <c r="DG3" s="225"/>
      <c r="DH3" s="225"/>
      <c r="DI3" s="225"/>
      <c r="DJ3" s="225"/>
      <c r="DK3" s="225"/>
      <c r="DL3" s="225"/>
      <c r="DM3" s="225"/>
      <c r="DN3" s="225"/>
      <c r="DO3" s="225"/>
      <c r="DP3" s="225"/>
      <c r="DQ3" s="225"/>
      <c r="DR3" s="225"/>
      <c r="DS3" s="225"/>
      <c r="DT3" s="225"/>
      <c r="DU3" s="225"/>
      <c r="DV3" s="225"/>
      <c r="DW3" s="225"/>
      <c r="DX3" s="225"/>
      <c r="DY3" s="225"/>
      <c r="DZ3" s="225"/>
      <c r="EA3" s="225"/>
      <c r="EB3" s="225"/>
      <c r="EC3" s="225"/>
      <c r="ED3" s="225"/>
      <c r="EE3" s="225"/>
      <c r="EF3" s="225"/>
      <c r="EG3" s="225"/>
      <c r="EH3" s="225"/>
      <c r="EI3" s="225"/>
      <c r="EJ3" s="225"/>
      <c r="EK3" s="225"/>
      <c r="EL3" s="225"/>
      <c r="EM3" s="225"/>
      <c r="EN3" s="225"/>
      <c r="EO3" s="225"/>
      <c r="EP3" s="225"/>
      <c r="EQ3" s="225"/>
      <c r="ER3" s="225"/>
      <c r="ES3" s="225"/>
      <c r="ET3" s="225"/>
      <c r="EU3" s="225"/>
      <c r="EV3" s="225"/>
      <c r="EW3" s="225"/>
      <c r="EX3" s="225"/>
      <c r="EY3" s="225"/>
      <c r="EZ3" s="225"/>
      <c r="FA3" s="225"/>
      <c r="FB3" s="225"/>
      <c r="FC3" s="225"/>
      <c r="FD3" s="225"/>
      <c r="FE3" s="225"/>
      <c r="FF3" s="225"/>
      <c r="FG3" s="225"/>
      <c r="FH3" s="225"/>
      <c r="FI3" s="225"/>
      <c r="FJ3" s="225"/>
      <c r="FK3" s="225"/>
      <c r="FL3" s="225"/>
      <c r="FM3" s="225"/>
      <c r="FN3" s="225"/>
      <c r="FO3" s="225"/>
      <c r="FP3" s="225"/>
      <c r="FQ3" s="225"/>
      <c r="FR3" s="225"/>
      <c r="FS3" s="225"/>
      <c r="FT3" s="225"/>
      <c r="FU3" s="225"/>
      <c r="FV3" s="225"/>
      <c r="FW3" s="225"/>
      <c r="FX3" s="225"/>
      <c r="FY3" s="225"/>
      <c r="FZ3" s="225"/>
      <c r="GA3" s="225"/>
      <c r="GB3" s="225"/>
      <c r="GC3" s="225"/>
      <c r="GD3" s="225"/>
      <c r="GE3" s="225"/>
      <c r="GF3" s="225"/>
      <c r="GG3" s="225"/>
      <c r="GH3" s="225"/>
      <c r="GI3" s="225"/>
      <c r="GJ3" s="225"/>
      <c r="GK3" s="225"/>
      <c r="GL3" s="225"/>
      <c r="GM3" s="225"/>
      <c r="GN3" s="225"/>
      <c r="GO3" s="225"/>
      <c r="GP3" s="225"/>
      <c r="GQ3" s="225"/>
      <c r="GR3" s="225"/>
      <c r="GS3" s="225"/>
      <c r="GT3" s="225"/>
      <c r="GU3" s="225"/>
      <c r="GV3" s="225"/>
      <c r="GW3" s="225"/>
      <c r="GX3" s="225"/>
      <c r="GY3" s="225"/>
      <c r="GZ3" s="225"/>
      <c r="HA3" s="225"/>
      <c r="HB3" s="225"/>
      <c r="HC3" s="225"/>
      <c r="HD3" s="225"/>
      <c r="HE3" s="225"/>
      <c r="HF3" s="225"/>
      <c r="HG3" s="225"/>
      <c r="HH3" s="225"/>
      <c r="HI3" s="225"/>
      <c r="HJ3" s="225"/>
      <c r="HK3" s="225"/>
      <c r="HL3" s="225"/>
      <c r="HM3" s="225"/>
      <c r="HN3" s="225"/>
      <c r="HO3" s="225"/>
      <c r="HP3" s="225"/>
      <c r="HQ3" s="225"/>
      <c r="HR3" s="225"/>
      <c r="HS3" s="225"/>
      <c r="HT3" s="225"/>
      <c r="HU3" s="225"/>
      <c r="HV3" s="226"/>
    </row>
    <row r="4" customFormat="false" ht="27" hidden="false" customHeight="true" outlineLevel="0" collapsed="false">
      <c r="A4" s="49" t="s">
        <v>3163</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row>
  </sheetData>
  <mergeCells count="3">
    <mergeCell ref="A1:M1"/>
    <mergeCell ref="A3:M3"/>
    <mergeCell ref="A4:H4"/>
  </mergeCells>
  <printOptions headings="false" gridLines="false" gridLinesSet="true" horizontalCentered="false" verticalCentered="false"/>
  <pageMargins left="0.309722222222222" right="0.240277777777778" top="0.309722222222222" bottom="0.309722222222222" header="0.511811023622047" footer="0.309722222222222"/>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S726"/>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9" defaultRowHeight="13.2" customHeight="false" zeroHeight="false" outlineLevelRow="1" outlineLevelCol="0"/>
  <cols>
    <col collapsed="false" customWidth="true" hidden="false" outlineLevel="0" max="9" min="1" style="62" width="16.63"/>
    <col collapsed="false" customWidth="true" hidden="false" outlineLevel="0" max="10" min="10" style="227" width="16.63"/>
    <col collapsed="false" customWidth="true" hidden="false" outlineLevel="0" max="11" min="11" style="42" width="16.63"/>
    <col collapsed="false" customWidth="false" hidden="false" outlineLevel="0" max="12" min="12" style="62" width="9"/>
    <col collapsed="false" customWidth="true" hidden="false" outlineLevel="0" max="13" min="13" style="36" width="14"/>
    <col collapsed="false" customWidth="true" hidden="false" outlineLevel="0" max="14" min="14" style="36" width="17"/>
    <col collapsed="false" customWidth="true" hidden="false" outlineLevel="0" max="15" min="15" style="36" width="54"/>
    <col collapsed="false" customWidth="true" hidden="false" outlineLevel="0" max="16" min="16" style="36" width="21"/>
    <col collapsed="false" customWidth="true" hidden="false" outlineLevel="0" max="17" min="17" style="36" width="22"/>
    <col collapsed="false" customWidth="true" hidden="false" outlineLevel="0" max="18" min="18" style="36" width="19"/>
    <col collapsed="false" customWidth="true" hidden="false" outlineLevel="0" max="19" min="19" style="36" width="23"/>
    <col collapsed="false" customWidth="false" hidden="false" outlineLevel="0" max="99" min="20" style="62" width="9"/>
  </cols>
  <sheetData>
    <row r="1" s="4" customFormat="true" ht="5" hidden="false" customHeight="true" outlineLevel="0" collapsed="false">
      <c r="A1" s="3"/>
      <c r="B1" s="3"/>
      <c r="C1" s="3"/>
      <c r="D1" s="3"/>
      <c r="E1" s="3"/>
      <c r="F1" s="3"/>
      <c r="G1" s="3"/>
      <c r="H1" s="3"/>
      <c r="I1" s="3"/>
      <c r="J1" s="3"/>
      <c r="K1" s="3"/>
      <c r="M1" s="228" t="inlineStr">
        <is>
          <t>Выберите модель и укажите количество к заказу.</t>
        </is>
      </c>
      <c r="N1" s="228"/>
      <c r="O1" s="228"/>
      <c r="P1" s="228"/>
      <c r="Q1" s="228"/>
      <c r="R1" s="228"/>
      <c r="S1" s="228"/>
    </row>
    <row r="2" s="4" customFormat="true" ht="30" hidden="false" customHeight="true" outlineLevel="0" collapsed="false">
      <c r="A2" s="46" t="s">
        <v>3164</v>
      </c>
      <c r="B2" s="46"/>
      <c r="C2" s="46"/>
      <c r="D2" s="46"/>
      <c r="E2" s="46"/>
      <c r="F2" s="46"/>
      <c r="G2" s="46"/>
      <c r="H2" s="46"/>
      <c r="I2" s="46"/>
      <c r="J2" s="46"/>
      <c r="K2" s="46"/>
    </row>
    <row r="3" s="62" customFormat="true" ht="110" hidden="false" customHeight="true" outlineLevel="1" collapsed="false">
      <c r="A3" s="47" t="inlineStr">
        <is>
          <t>3. MOQ: 300 шт. / коробка, можно смешивать модели и цвета, заказ кратный 20.
4. Цвет: черный. Отметка желтого цвета - имеется черный или белый цвет.</t>
        </is>
      </c>
      <c r="B3" s="47"/>
      <c r="C3" s="47"/>
      <c r="D3" s="47"/>
      <c r="E3" s="47"/>
      <c r="F3" s="47" t="s">
        <v>3147</v>
      </c>
      <c r="G3" s="47"/>
      <c r="H3" s="47"/>
      <c r="I3" s="47"/>
      <c r="J3" s="47"/>
      <c r="K3" s="47"/>
      <c r="M3" s="229" t="inlineStr">
        <is>
          <t>№</t>
        </is>
      </c>
      <c r="N3" s="229" t="s">
        <v>3165</v>
      </c>
      <c r="O3" s="229" t="s">
        <v>3166</v>
      </c>
      <c r="P3" s="229" t="s">
        <v>3167</v>
      </c>
      <c r="Q3" s="229" t="s">
        <v>73</v>
      </c>
      <c r="R3" s="229" t="s">
        <v>74</v>
      </c>
      <c r="S3" s="229" t="s">
        <v>75</v>
      </c>
    </row>
    <row r="4" s="62" customFormat="true" ht="32" hidden="false" customHeight="true" outlineLevel="1" collapsed="false">
      <c r="A4" s="51" t="s">
        <v>3168</v>
      </c>
      <c r="B4" s="230" t="s">
        <v>3169</v>
      </c>
      <c r="C4" s="230"/>
      <c r="D4" s="230" t="s">
        <v>3170</v>
      </c>
      <c r="E4" s="230"/>
      <c r="F4" s="231" t="s">
        <v>3171</v>
      </c>
      <c r="G4" s="231"/>
      <c r="H4" s="231" t="s">
        <v>3172</v>
      </c>
      <c r="I4" s="231"/>
      <c r="J4" s="230" t="s">
        <v>3173</v>
      </c>
      <c r="K4" s="230"/>
      <c r="M4" s="301" t="n">
        <v>1</v>
      </c>
      <c r="N4" s="232" t="s">
        <v>3174</v>
      </c>
      <c r="O4" s="233" t="s">
        <v>3175</v>
      </c>
      <c r="P4" s="232" t="s">
        <v>3176</v>
      </c>
      <c r="Q4" s="54" t="n">
        <v>122.32</v>
      </c>
      <c r="R4" s="55"/>
      <c r="S4" s="56" t="str">
        <f aca="false">IF(ISBLANK(R4),"",IF(ISNUMBER(Q4),ROUND(Q4*R4,2),"Укажите цену"))</f>
        <v/>
      </c>
    </row>
    <row r="5" s="67" customFormat="true" ht="32" hidden="false" customHeight="true" outlineLevel="1" collapsed="false">
      <c r="A5" s="51" t="s">
        <v>3175</v>
      </c>
      <c r="B5" s="234" t="s">
        <v>3177</v>
      </c>
      <c r="C5" s="234" t="s">
        <v>3178</v>
      </c>
      <c r="D5" s="234" t="s">
        <v>3179</v>
      </c>
      <c r="E5" s="234" t="s">
        <v>3180</v>
      </c>
      <c r="F5" s="234" t="s">
        <v>3181</v>
      </c>
      <c r="G5" s="234" t="s">
        <v>3182</v>
      </c>
      <c r="H5" s="235" t="s">
        <v>3183</v>
      </c>
      <c r="I5" s="235" t="s">
        <v>3184</v>
      </c>
      <c r="J5" s="234" t="s">
        <v>3185</v>
      </c>
      <c r="K5" s="234" t="s">
        <v>3186</v>
      </c>
      <c r="M5" s="301" t="n">
        <v>2</v>
      </c>
      <c r="N5" s="232" t="s">
        <v>3174</v>
      </c>
      <c r="O5" s="233" t="s">
        <v>3177</v>
      </c>
      <c r="P5" s="232" t="s">
        <v>3176</v>
      </c>
      <c r="Q5" s="54" t="n">
        <v>122.32</v>
      </c>
      <c r="R5" s="55"/>
      <c r="S5" s="56" t="str">
        <f aca="false">IF(ISBLANK(R5),"",IF(ISNUMBER(Q5),ROUND(Q5*R5,2),"Укажите цену"))</f>
        <v/>
      </c>
    </row>
    <row r="6" s="67" customFormat="true" ht="32" hidden="false" customHeight="true" outlineLevel="1" collapsed="false">
      <c r="A6" s="51" t="s">
        <v>3187</v>
      </c>
      <c r="B6" s="234" t="s">
        <v>3188</v>
      </c>
      <c r="C6" s="234" t="s">
        <v>3189</v>
      </c>
      <c r="D6" s="234" t="s">
        <v>3190</v>
      </c>
      <c r="E6" s="234" t="s">
        <v>3191</v>
      </c>
      <c r="F6" s="234" t="s">
        <v>3192</v>
      </c>
      <c r="G6" s="234" t="s">
        <v>3193</v>
      </c>
      <c r="H6" s="235" t="s">
        <v>3194</v>
      </c>
      <c r="I6" s="235" t="s">
        <v>3195</v>
      </c>
      <c r="J6" s="234" t="s">
        <v>3196</v>
      </c>
      <c r="K6" s="234" t="s">
        <v>3197</v>
      </c>
      <c r="M6" s="301" t="n">
        <v>3</v>
      </c>
      <c r="N6" s="232" t="s">
        <v>3174</v>
      </c>
      <c r="O6" s="233" t="s">
        <v>3178</v>
      </c>
      <c r="P6" s="232" t="s">
        <v>3176</v>
      </c>
      <c r="Q6" s="54" t="n">
        <v>122.32</v>
      </c>
      <c r="R6" s="55"/>
      <c r="S6" s="56" t="str">
        <f aca="false">IF(ISBLANK(R6),"",IF(ISNUMBER(Q6),ROUND(Q6*R6,2),"Укажите цену"))</f>
        <v/>
      </c>
    </row>
    <row r="7" s="67" customFormat="true" ht="32" hidden="false" customHeight="true" outlineLevel="1" collapsed="false">
      <c r="A7" s="51" t="s">
        <v>3198</v>
      </c>
      <c r="B7" s="234" t="s">
        <v>3199</v>
      </c>
      <c r="C7" s="234" t="s">
        <v>3200</v>
      </c>
      <c r="D7" s="234" t="s">
        <v>3201</v>
      </c>
      <c r="E7" s="234" t="s">
        <v>3202</v>
      </c>
      <c r="F7" s="234" t="s">
        <v>3203</v>
      </c>
      <c r="G7" s="234" t="s">
        <v>3204</v>
      </c>
      <c r="H7" s="235" t="s">
        <v>3205</v>
      </c>
      <c r="I7" s="235" t="s">
        <v>3206</v>
      </c>
      <c r="J7" s="234" t="s">
        <v>3207</v>
      </c>
      <c r="K7" s="234" t="s">
        <v>3208</v>
      </c>
      <c r="M7" s="301" t="n">
        <v>4</v>
      </c>
      <c r="N7" s="232" t="s">
        <v>3174</v>
      </c>
      <c r="O7" s="233" t="s">
        <v>3179</v>
      </c>
      <c r="P7" s="232" t="s">
        <v>3176</v>
      </c>
      <c r="Q7" s="54" t="n">
        <v>122.32</v>
      </c>
      <c r="R7" s="55"/>
      <c r="S7" s="56" t="str">
        <f aca="false">IF(ISBLANK(R7),"",IF(ISNUMBER(Q7),ROUND(Q7*R7,2),"Укажите цену"))</f>
        <v/>
      </c>
    </row>
    <row r="8" s="67" customFormat="true" ht="32" hidden="false" customHeight="true" outlineLevel="1" collapsed="false">
      <c r="A8" s="51" t="s">
        <v>3209</v>
      </c>
      <c r="B8" s="234" t="s">
        <v>3210</v>
      </c>
      <c r="C8" s="234" t="s">
        <v>3211</v>
      </c>
      <c r="D8" s="234" t="s">
        <v>3212</v>
      </c>
      <c r="E8" s="234" t="s">
        <v>3213</v>
      </c>
      <c r="F8" s="234" t="s">
        <v>3214</v>
      </c>
      <c r="G8" s="234" t="s">
        <v>3215</v>
      </c>
      <c r="H8" s="235" t="s">
        <v>3216</v>
      </c>
      <c r="I8" s="235" t="s">
        <v>3217</v>
      </c>
      <c r="J8" s="234" t="s">
        <v>3218</v>
      </c>
      <c r="K8" s="234"/>
      <c r="M8" s="301" t="n">
        <v>5</v>
      </c>
      <c r="N8" s="232" t="s">
        <v>3174</v>
      </c>
      <c r="O8" s="233" t="s">
        <v>3180</v>
      </c>
      <c r="P8" s="232" t="s">
        <v>3176</v>
      </c>
      <c r="Q8" s="54" t="n">
        <v>122.32</v>
      </c>
      <c r="R8" s="55"/>
      <c r="S8" s="56" t="str">
        <f aca="false">IF(ISBLANK(R8),"",IF(ISNUMBER(Q8),ROUND(Q8*R8,2),"Укажите цену"))</f>
        <v/>
      </c>
    </row>
    <row r="9" s="67" customFormat="true" ht="32" hidden="false" customHeight="true" outlineLevel="1" collapsed="false">
      <c r="A9" s="51" t="s">
        <v>3219</v>
      </c>
      <c r="B9" s="234" t="s">
        <v>3220</v>
      </c>
      <c r="C9" s="234" t="s">
        <v>3221</v>
      </c>
      <c r="D9" s="234" t="s">
        <v>3222</v>
      </c>
      <c r="E9" s="234" t="s">
        <v>3223</v>
      </c>
      <c r="F9" s="234" t="s">
        <v>3224</v>
      </c>
      <c r="G9" s="236" t="s">
        <v>3225</v>
      </c>
      <c r="H9" s="237" t="s">
        <v>3226</v>
      </c>
      <c r="I9" s="235" t="s">
        <v>3227</v>
      </c>
      <c r="J9" s="234" t="s">
        <v>3228</v>
      </c>
      <c r="K9" s="234"/>
      <c r="M9" s="301" t="n">
        <v>6</v>
      </c>
      <c r="N9" s="232" t="s">
        <v>3174</v>
      </c>
      <c r="O9" s="233" t="s">
        <v>3181</v>
      </c>
      <c r="P9" s="232" t="s">
        <v>3176</v>
      </c>
      <c r="Q9" s="54" t="n">
        <v>122.32</v>
      </c>
      <c r="R9" s="55"/>
      <c r="S9" s="56" t="str">
        <f aca="false">IF(ISBLANK(R9),"",IF(ISNUMBER(Q9),ROUND(Q9*R9,2),"Укажите цену"))</f>
        <v/>
      </c>
    </row>
    <row r="10" s="67" customFormat="true" ht="32" hidden="false" customHeight="true" outlineLevel="1" collapsed="false">
      <c r="A10" s="51" t="s">
        <v>3229</v>
      </c>
      <c r="B10" s="234" t="s">
        <v>3230</v>
      </c>
      <c r="C10" s="234" t="s">
        <v>3231</v>
      </c>
      <c r="D10" s="234" t="s">
        <v>3232</v>
      </c>
      <c r="E10" s="234" t="s">
        <v>3233</v>
      </c>
      <c r="F10" s="234" t="s">
        <v>3234</v>
      </c>
      <c r="G10" s="236" t="s">
        <v>3235</v>
      </c>
      <c r="H10" s="235" t="s">
        <v>3236</v>
      </c>
      <c r="I10" s="235" t="s">
        <v>3237</v>
      </c>
      <c r="J10" s="238" t="s">
        <v>3238</v>
      </c>
      <c r="K10" s="238"/>
      <c r="M10" s="301" t="n">
        <v>7</v>
      </c>
      <c r="N10" s="232" t="s">
        <v>3174</v>
      </c>
      <c r="O10" s="233" t="s">
        <v>3182</v>
      </c>
      <c r="P10" s="232" t="s">
        <v>3176</v>
      </c>
      <c r="Q10" s="54" t="n">
        <v>122.32</v>
      </c>
      <c r="R10" s="55"/>
      <c r="S10" s="56" t="str">
        <f aca="false">IF(ISBLANK(R10),"",IF(ISNUMBER(Q10),ROUND(Q10*R10,2),"Укажите цену"))</f>
        <v/>
      </c>
    </row>
    <row r="11" s="67" customFormat="true" ht="32" hidden="false" customHeight="true" outlineLevel="1" collapsed="false">
      <c r="A11" s="51" t="s">
        <v>3239</v>
      </c>
      <c r="B11" s="234" t="s">
        <v>3240</v>
      </c>
      <c r="C11" s="234" t="s">
        <v>3241</v>
      </c>
      <c r="D11" s="234" t="s">
        <v>3242</v>
      </c>
      <c r="E11" s="234" t="s">
        <v>3243</v>
      </c>
      <c r="F11" s="234" t="s">
        <v>3244</v>
      </c>
      <c r="G11" s="236" t="s">
        <v>3245</v>
      </c>
      <c r="H11" s="235" t="s">
        <v>3246</v>
      </c>
      <c r="I11" s="235" t="s">
        <v>3247</v>
      </c>
      <c r="J11" s="238" t="s">
        <v>3248</v>
      </c>
      <c r="K11" s="239"/>
      <c r="M11" s="301" t="n">
        <v>8</v>
      </c>
      <c r="N11" s="232" t="s">
        <v>3174</v>
      </c>
      <c r="O11" s="233" t="s">
        <v>3183</v>
      </c>
      <c r="P11" s="232" t="s">
        <v>3176</v>
      </c>
      <c r="Q11" s="54" t="n">
        <v>122.32</v>
      </c>
      <c r="R11" s="55"/>
      <c r="S11" s="56" t="str">
        <f aca="false">IF(ISBLANK(R11),"",IF(ISNUMBER(Q11),ROUND(Q11*R11,2),"Укажите цену"))</f>
        <v/>
      </c>
    </row>
    <row r="12" s="67" customFormat="true" ht="32" hidden="false" customHeight="true" outlineLevel="1" collapsed="false">
      <c r="A12" s="51" t="s">
        <v>3249</v>
      </c>
      <c r="B12" s="234" t="s">
        <v>3250</v>
      </c>
      <c r="C12" s="239" t="s">
        <v>3251</v>
      </c>
      <c r="D12" s="234" t="s">
        <v>3252</v>
      </c>
      <c r="E12" s="234" t="s">
        <v>3253</v>
      </c>
      <c r="F12" s="234" t="s">
        <v>3254</v>
      </c>
      <c r="G12" s="236" t="s">
        <v>3255</v>
      </c>
      <c r="H12" s="235" t="s">
        <v>3256</v>
      </c>
      <c r="I12" s="235" t="s">
        <v>3257</v>
      </c>
      <c r="J12" s="234" t="s">
        <v>3258</v>
      </c>
      <c r="K12" s="234"/>
      <c r="M12" s="301" t="n">
        <v>9</v>
      </c>
      <c r="N12" s="232" t="s">
        <v>3174</v>
      </c>
      <c r="O12" s="233" t="s">
        <v>3184</v>
      </c>
      <c r="P12" s="232" t="s">
        <v>3176</v>
      </c>
      <c r="Q12" s="54" t="n">
        <v>122.32</v>
      </c>
      <c r="R12" s="55"/>
      <c r="S12" s="56" t="str">
        <f aca="false">IF(ISBLANK(R12),"",IF(ISNUMBER(Q12),ROUND(Q12*R12,2),"Укажите цену"))</f>
        <v/>
      </c>
    </row>
    <row r="13" s="67" customFormat="true" ht="32" hidden="false" customHeight="true" outlineLevel="1" collapsed="false">
      <c r="A13" s="51" t="s">
        <v>3259</v>
      </c>
      <c r="B13" s="234" t="s">
        <v>3260</v>
      </c>
      <c r="C13" s="234" t="s">
        <v>3261</v>
      </c>
      <c r="D13" s="234" t="s">
        <v>3262</v>
      </c>
      <c r="E13" s="234" t="s">
        <v>3263</v>
      </c>
      <c r="F13" s="234" t="s">
        <v>3264</v>
      </c>
      <c r="G13" s="236" t="s">
        <v>3265</v>
      </c>
      <c r="H13" s="235" t="s">
        <v>3266</v>
      </c>
      <c r="I13" s="235" t="s">
        <v>3267</v>
      </c>
      <c r="J13" s="234" t="s">
        <v>3268</v>
      </c>
      <c r="K13" s="234"/>
      <c r="M13" s="301" t="n">
        <v>10</v>
      </c>
      <c r="N13" s="232" t="s">
        <v>3174</v>
      </c>
      <c r="O13" s="233" t="s">
        <v>3185</v>
      </c>
      <c r="P13" s="232" t="s">
        <v>3176</v>
      </c>
      <c r="Q13" s="54" t="n">
        <v>122.32</v>
      </c>
      <c r="R13" s="55"/>
      <c r="S13" s="56" t="str">
        <f aca="false">IF(ISBLANK(R13),"",IF(ISNUMBER(Q13),ROUND(Q13*R13,2),"Укажите цену"))</f>
        <v/>
      </c>
    </row>
    <row r="14" s="67" customFormat="true" ht="32" hidden="false" customHeight="true" outlineLevel="1" collapsed="false">
      <c r="A14" s="51" t="s">
        <v>3269</v>
      </c>
      <c r="B14" s="234" t="s">
        <v>3270</v>
      </c>
      <c r="C14" s="234" t="s">
        <v>3271</v>
      </c>
      <c r="D14" s="234" t="s">
        <v>3272</v>
      </c>
      <c r="E14" s="234" t="s">
        <v>3273</v>
      </c>
      <c r="F14" s="234" t="s">
        <v>3274</v>
      </c>
      <c r="G14" s="236" t="s">
        <v>3275</v>
      </c>
      <c r="H14" s="235" t="s">
        <v>3276</v>
      </c>
      <c r="I14" s="235" t="s">
        <v>3277</v>
      </c>
      <c r="J14" s="234" t="s">
        <v>3278</v>
      </c>
      <c r="K14" s="234"/>
      <c r="M14" s="301" t="n">
        <v>11</v>
      </c>
      <c r="N14" s="232" t="s">
        <v>3174</v>
      </c>
      <c r="O14" s="233" t="s">
        <v>3186</v>
      </c>
      <c r="P14" s="232" t="s">
        <v>3176</v>
      </c>
      <c r="Q14" s="54" t="n">
        <v>122.32</v>
      </c>
      <c r="R14" s="55"/>
      <c r="S14" s="56" t="str">
        <f aca="false">IF(ISBLANK(R14),"",IF(ISNUMBER(Q14),ROUND(Q14*R14,2),"Укажите цену"))</f>
        <v/>
      </c>
    </row>
    <row r="15" s="67" customFormat="true" ht="32" hidden="false" customHeight="true" outlineLevel="1" collapsed="false">
      <c r="A15" s="51" t="s">
        <v>3279</v>
      </c>
      <c r="B15" s="234" t="s">
        <v>3280</v>
      </c>
      <c r="C15" s="234" t="s">
        <v>3281</v>
      </c>
      <c r="D15" s="234" t="s">
        <v>3282</v>
      </c>
      <c r="E15" s="234" t="s">
        <v>3283</v>
      </c>
      <c r="F15" s="234" t="s">
        <v>3277</v>
      </c>
      <c r="G15" s="236" t="s">
        <v>3284</v>
      </c>
      <c r="H15" s="235" t="s">
        <v>3285</v>
      </c>
      <c r="I15" s="235" t="s">
        <v>3286</v>
      </c>
      <c r="J15" s="234" t="s">
        <v>3287</v>
      </c>
      <c r="K15" s="234"/>
      <c r="M15" s="301" t="n">
        <v>12</v>
      </c>
      <c r="N15" s="232" t="s">
        <v>3174</v>
      </c>
      <c r="O15" s="233" t="s">
        <v>3187</v>
      </c>
      <c r="P15" s="232" t="s">
        <v>3176</v>
      </c>
      <c r="Q15" s="54" t="n">
        <v>122.32</v>
      </c>
      <c r="R15" s="55"/>
      <c r="S15" s="56" t="str">
        <f aca="false">IF(ISBLANK(R15),"",IF(ISNUMBER(Q15),ROUND(Q15*R15,2),"Укажите цену"))</f>
        <v/>
      </c>
    </row>
    <row r="16" s="67" customFormat="true" ht="32" hidden="false" customHeight="true" outlineLevel="1" collapsed="false">
      <c r="A16" s="51" t="s">
        <v>3288</v>
      </c>
      <c r="B16" s="234" t="s">
        <v>3289</v>
      </c>
      <c r="C16" s="234" t="s">
        <v>3290</v>
      </c>
      <c r="D16" s="234" t="s">
        <v>3291</v>
      </c>
      <c r="E16" s="234" t="s">
        <v>3292</v>
      </c>
      <c r="F16" s="234" t="s">
        <v>3293</v>
      </c>
      <c r="G16" s="236" t="s">
        <v>3294</v>
      </c>
      <c r="H16" s="235" t="s">
        <v>3295</v>
      </c>
      <c r="I16" s="235" t="s">
        <v>3296</v>
      </c>
      <c r="J16" s="234" t="s">
        <v>3297</v>
      </c>
      <c r="K16" s="234"/>
      <c r="M16" s="301" t="n">
        <v>13</v>
      </c>
      <c r="N16" s="232" t="s">
        <v>3174</v>
      </c>
      <c r="O16" s="233" t="s">
        <v>3188</v>
      </c>
      <c r="P16" s="232" t="s">
        <v>3176</v>
      </c>
      <c r="Q16" s="54" t="n">
        <v>122.32</v>
      </c>
      <c r="R16" s="55"/>
      <c r="S16" s="56" t="str">
        <f aca="false">IF(ISBLANK(R16),"",IF(ISNUMBER(Q16),ROUND(Q16*R16,2),"Укажите цену"))</f>
        <v/>
      </c>
    </row>
    <row r="17" s="67" customFormat="true" ht="32" hidden="false" customHeight="true" outlineLevel="1" collapsed="false">
      <c r="A17" s="51" t="s">
        <v>3298</v>
      </c>
      <c r="B17" s="234" t="s">
        <v>3299</v>
      </c>
      <c r="C17" s="234" t="s">
        <v>3300</v>
      </c>
      <c r="D17" s="234" t="s">
        <v>3301</v>
      </c>
      <c r="E17" s="234" t="s">
        <v>3302</v>
      </c>
      <c r="F17" s="234" t="s">
        <v>3303</v>
      </c>
      <c r="G17" s="236" t="s">
        <v>3304</v>
      </c>
      <c r="H17" s="235" t="s">
        <v>3305</v>
      </c>
      <c r="I17" s="235" t="s">
        <v>3306</v>
      </c>
      <c r="J17" s="234" t="s">
        <v>3307</v>
      </c>
      <c r="K17" s="234"/>
      <c r="M17" s="301" t="n">
        <v>14</v>
      </c>
      <c r="N17" s="232" t="s">
        <v>3174</v>
      </c>
      <c r="O17" s="233" t="s">
        <v>3189</v>
      </c>
      <c r="P17" s="232" t="s">
        <v>3176</v>
      </c>
      <c r="Q17" s="54" t="n">
        <v>122.32</v>
      </c>
      <c r="R17" s="55"/>
      <c r="S17" s="56" t="str">
        <f aca="false">IF(ISBLANK(R17),"",IF(ISNUMBER(Q17),ROUND(Q17*R17,2),"Укажите цену"))</f>
        <v/>
      </c>
    </row>
    <row r="18" s="67" customFormat="true" ht="32" hidden="false" customHeight="true" outlineLevel="1" collapsed="false">
      <c r="A18" s="51" t="s">
        <v>3308</v>
      </c>
      <c r="B18" s="234" t="s">
        <v>3309</v>
      </c>
      <c r="C18" s="234" t="s">
        <v>3310</v>
      </c>
      <c r="D18" s="234" t="s">
        <v>3311</v>
      </c>
      <c r="E18" s="234" t="s">
        <v>3312</v>
      </c>
      <c r="F18" s="234" t="s">
        <v>3236</v>
      </c>
      <c r="G18" s="236" t="s">
        <v>3286</v>
      </c>
      <c r="H18" s="237" t="s">
        <v>3313</v>
      </c>
      <c r="I18" s="235" t="s">
        <v>3314</v>
      </c>
      <c r="J18" s="234" t="s">
        <v>3315</v>
      </c>
      <c r="K18" s="234"/>
      <c r="M18" s="301" t="n">
        <v>15</v>
      </c>
      <c r="N18" s="232" t="s">
        <v>3174</v>
      </c>
      <c r="O18" s="233" t="s">
        <v>3190</v>
      </c>
      <c r="P18" s="232" t="s">
        <v>3176</v>
      </c>
      <c r="Q18" s="54" t="n">
        <v>122.32</v>
      </c>
      <c r="R18" s="55"/>
      <c r="S18" s="56" t="str">
        <f aca="false">IF(ISBLANK(R18),"",IF(ISNUMBER(Q18),ROUND(Q18*R18,2),"Укажите цену"))</f>
        <v/>
      </c>
    </row>
    <row r="19" s="67" customFormat="true" ht="36" hidden="false" customHeight="true" outlineLevel="1" collapsed="false">
      <c r="A19" s="51" t="s">
        <v>3316</v>
      </c>
      <c r="B19" s="234" t="s">
        <v>3317</v>
      </c>
      <c r="C19" s="234" t="s">
        <v>3318</v>
      </c>
      <c r="D19" s="240" t="s">
        <v>3319</v>
      </c>
      <c r="E19" s="234" t="s">
        <v>3320</v>
      </c>
      <c r="F19" s="234" t="s">
        <v>3321</v>
      </c>
      <c r="G19" s="236" t="s">
        <v>3322</v>
      </c>
      <c r="H19" s="235" t="s">
        <v>3323</v>
      </c>
      <c r="I19" s="235" t="s">
        <v>3324</v>
      </c>
      <c r="J19" s="234" t="s">
        <v>3325</v>
      </c>
      <c r="K19" s="234"/>
      <c r="M19" s="301" t="n">
        <v>16</v>
      </c>
      <c r="N19" s="232" t="s">
        <v>3174</v>
      </c>
      <c r="O19" s="233" t="s">
        <v>3191</v>
      </c>
      <c r="P19" s="232" t="s">
        <v>3176</v>
      </c>
      <c r="Q19" s="54" t="n">
        <v>122.32</v>
      </c>
      <c r="R19" s="55"/>
      <c r="S19" s="56" t="str">
        <f aca="false">IF(ISBLANK(R19),"",IF(ISNUMBER(Q19),ROUND(Q19*R19,2),"Укажите цену"))</f>
        <v/>
      </c>
    </row>
    <row r="20" s="67" customFormat="true" ht="32" hidden="false" customHeight="true" outlineLevel="1" collapsed="false">
      <c r="A20" s="51" t="s">
        <v>3326</v>
      </c>
      <c r="B20" s="234" t="s">
        <v>3327</v>
      </c>
      <c r="C20" s="234" t="s">
        <v>3328</v>
      </c>
      <c r="D20" s="240" t="s">
        <v>3329</v>
      </c>
      <c r="E20" s="234" t="s">
        <v>3330</v>
      </c>
      <c r="F20" s="234" t="s">
        <v>3331</v>
      </c>
      <c r="G20" s="236"/>
      <c r="H20" s="235" t="s">
        <v>3332</v>
      </c>
      <c r="I20" s="235" t="s">
        <v>3333</v>
      </c>
      <c r="J20" s="234" t="s">
        <v>3334</v>
      </c>
      <c r="K20" s="234"/>
      <c r="M20" s="301" t="n">
        <v>17</v>
      </c>
      <c r="N20" s="232" t="s">
        <v>3174</v>
      </c>
      <c r="O20" s="233" t="s">
        <v>3192</v>
      </c>
      <c r="P20" s="232" t="s">
        <v>3176</v>
      </c>
      <c r="Q20" s="54" t="n">
        <v>122.32</v>
      </c>
      <c r="R20" s="55"/>
      <c r="S20" s="56" t="str">
        <f aca="false">IF(ISBLANK(R20),"",IF(ISNUMBER(Q20),ROUND(Q20*R20,2),"Укажите цену"))</f>
        <v/>
      </c>
    </row>
    <row r="21" s="67" customFormat="true" ht="32" hidden="false" customHeight="true" outlineLevel="1" collapsed="false">
      <c r="A21" s="51" t="s">
        <v>3335</v>
      </c>
      <c r="B21" s="234" t="s">
        <v>3336</v>
      </c>
      <c r="C21" s="234" t="s">
        <v>3337</v>
      </c>
      <c r="D21" s="234" t="s">
        <v>3338</v>
      </c>
      <c r="E21" s="234" t="s">
        <v>3339</v>
      </c>
      <c r="F21" s="234" t="s">
        <v>3340</v>
      </c>
      <c r="G21" s="236"/>
      <c r="H21" s="235" t="s">
        <v>3341</v>
      </c>
      <c r="I21" s="235" t="s">
        <v>3342</v>
      </c>
      <c r="J21" s="234" t="s">
        <v>3343</v>
      </c>
      <c r="K21" s="234"/>
      <c r="M21" s="301" t="n">
        <v>18</v>
      </c>
      <c r="N21" s="232" t="s">
        <v>3174</v>
      </c>
      <c r="O21" s="233" t="s">
        <v>3193</v>
      </c>
      <c r="P21" s="232" t="s">
        <v>3176</v>
      </c>
      <c r="Q21" s="54" t="n">
        <v>122.32</v>
      </c>
      <c r="R21" s="55"/>
      <c r="S21" s="56" t="str">
        <f aca="false">IF(ISBLANK(R21),"",IF(ISNUMBER(Q21),ROUND(Q21*R21,2),"Укажите цену"))</f>
        <v/>
      </c>
    </row>
    <row r="22" s="67" customFormat="true" ht="32" hidden="false" customHeight="true" outlineLevel="1" collapsed="false">
      <c r="A22" s="51" t="s">
        <v>3344</v>
      </c>
      <c r="B22" s="234" t="s">
        <v>3345</v>
      </c>
      <c r="C22" s="234" t="s">
        <v>3346</v>
      </c>
      <c r="D22" s="234" t="s">
        <v>3347</v>
      </c>
      <c r="E22" s="234" t="s">
        <v>3348</v>
      </c>
      <c r="F22" s="234" t="s">
        <v>3349</v>
      </c>
      <c r="G22" s="236"/>
      <c r="H22" s="235" t="s">
        <v>3350</v>
      </c>
      <c r="I22" s="236" t="s">
        <v>3351</v>
      </c>
      <c r="J22" s="234" t="s">
        <v>3352</v>
      </c>
      <c r="K22" s="234"/>
      <c r="M22" s="301" t="n">
        <v>19</v>
      </c>
      <c r="N22" s="232" t="s">
        <v>3174</v>
      </c>
      <c r="O22" s="233" t="s">
        <v>3194</v>
      </c>
      <c r="P22" s="232" t="s">
        <v>3176</v>
      </c>
      <c r="Q22" s="54" t="n">
        <v>122.32</v>
      </c>
      <c r="R22" s="55"/>
      <c r="S22" s="56" t="str">
        <f aca="false">IF(ISBLANK(R22),"",IF(ISNUMBER(Q22),ROUND(Q22*R22,2),"Укажите цену"))</f>
        <v/>
      </c>
    </row>
    <row r="23" s="67" customFormat="true" ht="32" hidden="false" customHeight="true" outlineLevel="1" collapsed="false">
      <c r="A23" s="51" t="s">
        <v>3353</v>
      </c>
      <c r="B23" s="234" t="s">
        <v>3354</v>
      </c>
      <c r="C23" s="234" t="s">
        <v>3355</v>
      </c>
      <c r="D23" s="234" t="s">
        <v>3356</v>
      </c>
      <c r="E23" s="234" t="s">
        <v>3357</v>
      </c>
      <c r="F23" s="234" t="s">
        <v>3358</v>
      </c>
      <c r="G23" s="236"/>
      <c r="H23" s="235" t="s">
        <v>3359</v>
      </c>
      <c r="I23" s="236" t="s">
        <v>3360</v>
      </c>
      <c r="J23" s="234" t="s">
        <v>3361</v>
      </c>
      <c r="K23" s="234"/>
      <c r="M23" s="301" t="n">
        <v>20</v>
      </c>
      <c r="N23" s="232" t="s">
        <v>3174</v>
      </c>
      <c r="O23" s="233" t="s">
        <v>3195</v>
      </c>
      <c r="P23" s="232" t="s">
        <v>3176</v>
      </c>
      <c r="Q23" s="54" t="n">
        <v>122.32</v>
      </c>
      <c r="R23" s="55"/>
      <c r="S23" s="56" t="str">
        <f aca="false">IF(ISBLANK(R23),"",IF(ISNUMBER(Q23),ROUND(Q23*R23,2),"Укажите цену"))</f>
        <v/>
      </c>
    </row>
    <row r="24" s="67" customFormat="true" ht="32" hidden="false" customHeight="true" outlineLevel="1" collapsed="false">
      <c r="A24" s="51" t="s">
        <v>3362</v>
      </c>
      <c r="B24" s="234" t="s">
        <v>3363</v>
      </c>
      <c r="C24" s="234" t="s">
        <v>3364</v>
      </c>
      <c r="D24" s="234" t="s">
        <v>3365</v>
      </c>
      <c r="E24" s="234" t="s">
        <v>3366</v>
      </c>
      <c r="F24" s="234" t="s">
        <v>3367</v>
      </c>
      <c r="G24" s="236"/>
      <c r="H24" s="235" t="s">
        <v>3368</v>
      </c>
      <c r="I24" s="236" t="s">
        <v>3369</v>
      </c>
      <c r="J24" s="234" t="s">
        <v>3370</v>
      </c>
      <c r="K24" s="234"/>
      <c r="M24" s="301" t="n">
        <v>21</v>
      </c>
      <c r="N24" s="232" t="s">
        <v>3174</v>
      </c>
      <c r="O24" s="233" t="s">
        <v>3196</v>
      </c>
      <c r="P24" s="232" t="s">
        <v>3176</v>
      </c>
      <c r="Q24" s="54" t="n">
        <v>122.32</v>
      </c>
      <c r="R24" s="55"/>
      <c r="S24" s="56" t="str">
        <f aca="false">IF(ISBLANK(R24),"",IF(ISNUMBER(Q24),ROUND(Q24*R24,2),"Укажите цену"))</f>
        <v/>
      </c>
    </row>
    <row r="25" s="67" customFormat="true" ht="32" hidden="false" customHeight="true" outlineLevel="1" collapsed="false">
      <c r="A25" s="51" t="s">
        <v>3371</v>
      </c>
      <c r="B25" s="234" t="s">
        <v>3372</v>
      </c>
      <c r="C25" s="239" t="s">
        <v>3373</v>
      </c>
      <c r="D25" s="234" t="s">
        <v>3374</v>
      </c>
      <c r="E25" s="234" t="s">
        <v>3375</v>
      </c>
      <c r="F25" s="234" t="s">
        <v>3376</v>
      </c>
      <c r="G25" s="236"/>
      <c r="H25" s="235" t="s">
        <v>3377</v>
      </c>
      <c r="I25" s="236" t="s">
        <v>3378</v>
      </c>
      <c r="J25" s="234" t="s">
        <v>3379</v>
      </c>
      <c r="K25" s="234"/>
      <c r="M25" s="301" t="n">
        <v>22</v>
      </c>
      <c r="N25" s="232" t="s">
        <v>3174</v>
      </c>
      <c r="O25" s="233" t="s">
        <v>3197</v>
      </c>
      <c r="P25" s="232" t="s">
        <v>3176</v>
      </c>
      <c r="Q25" s="54" t="n">
        <v>122.32</v>
      </c>
      <c r="R25" s="55"/>
      <c r="S25" s="56" t="str">
        <f aca="false">IF(ISBLANK(R25),"",IF(ISNUMBER(Q25),ROUND(Q25*R25,2),"Укажите цену"))</f>
        <v/>
      </c>
    </row>
    <row r="26" s="67" customFormat="true" ht="32" hidden="false" customHeight="true" outlineLevel="1" collapsed="false">
      <c r="A26" s="236"/>
      <c r="B26" s="234" t="s">
        <v>3380</v>
      </c>
      <c r="C26" s="239" t="s">
        <v>3381</v>
      </c>
      <c r="D26" s="234" t="s">
        <v>3382</v>
      </c>
      <c r="E26" s="234" t="s">
        <v>3383</v>
      </c>
      <c r="F26" s="234" t="s">
        <v>3384</v>
      </c>
      <c r="G26" s="236"/>
      <c r="H26" s="235" t="s">
        <v>3385</v>
      </c>
      <c r="I26" s="236" t="s">
        <v>3386</v>
      </c>
      <c r="J26" s="234" t="s">
        <v>3387</v>
      </c>
      <c r="K26" s="234"/>
      <c r="M26" s="301" t="n">
        <v>23</v>
      </c>
      <c r="N26" s="232" t="s">
        <v>3174</v>
      </c>
      <c r="O26" s="233" t="s">
        <v>3198</v>
      </c>
      <c r="P26" s="232" t="s">
        <v>3176</v>
      </c>
      <c r="Q26" s="54" t="n">
        <v>122.32</v>
      </c>
      <c r="R26" s="55"/>
      <c r="S26" s="56" t="str">
        <f aca="false">IF(ISBLANK(R26),"",IF(ISNUMBER(Q26),ROUND(Q26*R26,2),"Укажите цену"))</f>
        <v/>
      </c>
    </row>
    <row r="27" s="67" customFormat="true" ht="32" hidden="false" customHeight="true" outlineLevel="1" collapsed="false">
      <c r="A27" s="236"/>
      <c r="B27" s="234" t="s">
        <v>3388</v>
      </c>
      <c r="C27" s="234" t="s">
        <v>3389</v>
      </c>
      <c r="D27" s="234" t="s">
        <v>3390</v>
      </c>
      <c r="E27" s="234" t="s">
        <v>3391</v>
      </c>
      <c r="F27" s="234" t="s">
        <v>3392</v>
      </c>
      <c r="G27" s="236"/>
      <c r="H27" s="235" t="s">
        <v>3393</v>
      </c>
      <c r="I27" s="236" t="s">
        <v>3378</v>
      </c>
      <c r="J27" s="234" t="s">
        <v>3394</v>
      </c>
      <c r="K27" s="234"/>
      <c r="M27" s="301" t="n">
        <v>24</v>
      </c>
      <c r="N27" s="232" t="s">
        <v>3174</v>
      </c>
      <c r="O27" s="233" t="s">
        <v>3199</v>
      </c>
      <c r="P27" s="232" t="s">
        <v>3176</v>
      </c>
      <c r="Q27" s="54" t="n">
        <v>122.32</v>
      </c>
      <c r="R27" s="55"/>
      <c r="S27" s="56" t="str">
        <f aca="false">IF(ISBLANK(R27),"",IF(ISNUMBER(Q27),ROUND(Q27*R27,2),"Укажите цену"))</f>
        <v/>
      </c>
    </row>
    <row r="28" s="67" customFormat="true" ht="32" hidden="false" customHeight="true" outlineLevel="1" collapsed="false">
      <c r="A28" s="236"/>
      <c r="B28" s="234" t="s">
        <v>3395</v>
      </c>
      <c r="C28" s="234" t="s">
        <v>3396</v>
      </c>
      <c r="D28" s="234" t="s">
        <v>3397</v>
      </c>
      <c r="E28" s="234" t="s">
        <v>3398</v>
      </c>
      <c r="F28" s="234" t="s">
        <v>3399</v>
      </c>
      <c r="G28" s="236"/>
      <c r="H28" s="235" t="s">
        <v>3400</v>
      </c>
      <c r="I28" s="236" t="s">
        <v>3401</v>
      </c>
      <c r="J28" s="234" t="s">
        <v>3402</v>
      </c>
      <c r="K28" s="234"/>
      <c r="M28" s="301" t="n">
        <v>25</v>
      </c>
      <c r="N28" s="232" t="s">
        <v>3174</v>
      </c>
      <c r="O28" s="233" t="s">
        <v>3200</v>
      </c>
      <c r="P28" s="232" t="s">
        <v>3176</v>
      </c>
      <c r="Q28" s="54" t="n">
        <v>122.32</v>
      </c>
      <c r="R28" s="55"/>
      <c r="S28" s="56" t="str">
        <f aca="false">IF(ISBLANK(R28),"",IF(ISNUMBER(Q28),ROUND(Q28*R28,2),"Укажите цену"))</f>
        <v/>
      </c>
    </row>
    <row r="29" s="67" customFormat="true" ht="32" hidden="false" customHeight="true" outlineLevel="1" collapsed="false">
      <c r="A29" s="236"/>
      <c r="B29" s="234" t="s">
        <v>3403</v>
      </c>
      <c r="C29" s="234" t="s">
        <v>3404</v>
      </c>
      <c r="D29" s="234" t="s">
        <v>3405</v>
      </c>
      <c r="E29" s="234" t="s">
        <v>3406</v>
      </c>
      <c r="F29" s="234" t="s">
        <v>3407</v>
      </c>
      <c r="G29" s="236"/>
      <c r="H29" s="235" t="s">
        <v>3408</v>
      </c>
      <c r="I29" s="236" t="s">
        <v>3409</v>
      </c>
      <c r="J29" s="234" t="s">
        <v>3410</v>
      </c>
      <c r="K29" s="234"/>
      <c r="M29" s="301" t="n">
        <v>26</v>
      </c>
      <c r="N29" s="232" t="s">
        <v>3174</v>
      </c>
      <c r="O29" s="233" t="s">
        <v>3201</v>
      </c>
      <c r="P29" s="232" t="s">
        <v>3176</v>
      </c>
      <c r="Q29" s="54" t="n">
        <v>122.32</v>
      </c>
      <c r="R29" s="55"/>
      <c r="S29" s="56" t="str">
        <f aca="false">IF(ISBLANK(R29),"",IF(ISNUMBER(Q29),ROUND(Q29*R29,2),"Укажите цену"))</f>
        <v/>
      </c>
    </row>
    <row r="30" s="67" customFormat="true" ht="32" hidden="false" customHeight="true" outlineLevel="1" collapsed="false">
      <c r="A30" s="236"/>
      <c r="B30" s="234" t="s">
        <v>3411</v>
      </c>
      <c r="C30" s="234" t="s">
        <v>3412</v>
      </c>
      <c r="D30" s="234" t="s">
        <v>3180</v>
      </c>
      <c r="E30" s="234" t="s">
        <v>3413</v>
      </c>
      <c r="F30" s="234" t="s">
        <v>3414</v>
      </c>
      <c r="G30" s="236"/>
      <c r="H30" s="235" t="s">
        <v>3415</v>
      </c>
      <c r="I30" s="236" t="s">
        <v>3416</v>
      </c>
      <c r="J30" s="234" t="s">
        <v>3417</v>
      </c>
      <c r="K30" s="234"/>
      <c r="M30" s="301" t="n">
        <v>27</v>
      </c>
      <c r="N30" s="232" t="s">
        <v>3174</v>
      </c>
      <c r="O30" s="233" t="s">
        <v>3202</v>
      </c>
      <c r="P30" s="232" t="s">
        <v>3176</v>
      </c>
      <c r="Q30" s="54" t="n">
        <v>122.32</v>
      </c>
      <c r="R30" s="55"/>
      <c r="S30" s="56" t="str">
        <f aca="false">IF(ISBLANK(R30),"",IF(ISNUMBER(Q30),ROUND(Q30*R30,2),"Укажите цену"))</f>
        <v/>
      </c>
    </row>
    <row r="31" s="67" customFormat="true" ht="32" hidden="false" customHeight="true" outlineLevel="1" collapsed="false">
      <c r="A31" s="236"/>
      <c r="B31" s="234" t="s">
        <v>3418</v>
      </c>
      <c r="C31" s="234" t="s">
        <v>3419</v>
      </c>
      <c r="D31" s="234" t="s">
        <v>3202</v>
      </c>
      <c r="E31" s="234" t="s">
        <v>3420</v>
      </c>
      <c r="F31" s="234" t="s">
        <v>3421</v>
      </c>
      <c r="G31" s="236"/>
      <c r="H31" s="235" t="s">
        <v>3422</v>
      </c>
      <c r="I31" s="236" t="s">
        <v>3423</v>
      </c>
      <c r="J31" s="234" t="s">
        <v>3424</v>
      </c>
      <c r="K31" s="234"/>
      <c r="M31" s="301" t="n">
        <v>28</v>
      </c>
      <c r="N31" s="232" t="s">
        <v>3174</v>
      </c>
      <c r="O31" s="233" t="s">
        <v>3203</v>
      </c>
      <c r="P31" s="232" t="s">
        <v>3176</v>
      </c>
      <c r="Q31" s="54" t="n">
        <v>122.32</v>
      </c>
      <c r="R31" s="55"/>
      <c r="S31" s="56" t="str">
        <f aca="false">IF(ISBLANK(R31),"",IF(ISNUMBER(Q31),ROUND(Q31*R31,2),"Укажите цену"))</f>
        <v/>
      </c>
    </row>
    <row r="32" s="67" customFormat="true" ht="32" hidden="false" customHeight="true" outlineLevel="1" collapsed="false">
      <c r="A32" s="236"/>
      <c r="B32" s="234" t="s">
        <v>3425</v>
      </c>
      <c r="C32" s="234" t="s">
        <v>3426</v>
      </c>
      <c r="D32" s="234" t="s">
        <v>3213</v>
      </c>
      <c r="E32" s="234" t="s">
        <v>3427</v>
      </c>
      <c r="F32" s="234" t="s">
        <v>3428</v>
      </c>
      <c r="G32" s="236"/>
      <c r="H32" s="235" t="s">
        <v>3429</v>
      </c>
      <c r="I32" s="236" t="s">
        <v>3430</v>
      </c>
      <c r="J32" s="234" t="s">
        <v>3431</v>
      </c>
      <c r="K32" s="234"/>
      <c r="M32" s="301" t="n">
        <v>29</v>
      </c>
      <c r="N32" s="232" t="s">
        <v>3174</v>
      </c>
      <c r="O32" s="233" t="s">
        <v>3204</v>
      </c>
      <c r="P32" s="232" t="s">
        <v>3176</v>
      </c>
      <c r="Q32" s="54" t="n">
        <v>122.32</v>
      </c>
      <c r="R32" s="55"/>
      <c r="S32" s="56" t="str">
        <f aca="false">IF(ISBLANK(R32),"",IF(ISNUMBER(Q32),ROUND(Q32*R32,2),"Укажите цену"))</f>
        <v/>
      </c>
    </row>
    <row r="33" s="67" customFormat="true" ht="32" hidden="false" customHeight="true" outlineLevel="1" collapsed="false">
      <c r="A33" s="236"/>
      <c r="B33" s="234" t="s">
        <v>3432</v>
      </c>
      <c r="C33" s="234" t="s">
        <v>3433</v>
      </c>
      <c r="D33" s="234" t="s">
        <v>3223</v>
      </c>
      <c r="E33" s="234" t="s">
        <v>3434</v>
      </c>
      <c r="F33" s="234" t="s">
        <v>3435</v>
      </c>
      <c r="G33" s="236"/>
      <c r="H33" s="235" t="s">
        <v>3436</v>
      </c>
      <c r="I33" s="236" t="s">
        <v>3437</v>
      </c>
      <c r="J33" s="234" t="s">
        <v>3438</v>
      </c>
      <c r="K33" s="234"/>
      <c r="M33" s="301" t="n">
        <v>30</v>
      </c>
      <c r="N33" s="232" t="s">
        <v>3174</v>
      </c>
      <c r="O33" s="233" t="s">
        <v>3205</v>
      </c>
      <c r="P33" s="232" t="s">
        <v>3176</v>
      </c>
      <c r="Q33" s="54" t="n">
        <v>122.32</v>
      </c>
      <c r="R33" s="55"/>
      <c r="S33" s="56" t="str">
        <f aca="false">IF(ISBLANK(R33),"",IF(ISNUMBER(Q33),ROUND(Q33*R33,2),"Укажите цену"))</f>
        <v/>
      </c>
    </row>
    <row r="34" s="67" customFormat="true" ht="32" hidden="false" customHeight="true" outlineLevel="1" collapsed="false">
      <c r="A34" s="236"/>
      <c r="B34" s="234" t="s">
        <v>3439</v>
      </c>
      <c r="C34" s="234" t="s">
        <v>3440</v>
      </c>
      <c r="D34" s="234" t="s">
        <v>3233</v>
      </c>
      <c r="E34" s="234" t="s">
        <v>3441</v>
      </c>
      <c r="F34" s="234" t="s">
        <v>3442</v>
      </c>
      <c r="G34" s="236"/>
      <c r="H34" s="235" t="s">
        <v>3443</v>
      </c>
      <c r="I34" s="236" t="s">
        <v>3444</v>
      </c>
      <c r="J34" s="234" t="s">
        <v>3445</v>
      </c>
      <c r="K34" s="234"/>
      <c r="M34" s="301" t="n">
        <v>31</v>
      </c>
      <c r="N34" s="232" t="s">
        <v>3174</v>
      </c>
      <c r="O34" s="233" t="s">
        <v>3206</v>
      </c>
      <c r="P34" s="232" t="s">
        <v>3176</v>
      </c>
      <c r="Q34" s="54" t="n">
        <v>122.32</v>
      </c>
      <c r="R34" s="55"/>
      <c r="S34" s="56" t="str">
        <f aca="false">IF(ISBLANK(R34),"",IF(ISNUMBER(Q34),ROUND(Q34*R34,2),"Укажите цену"))</f>
        <v/>
      </c>
    </row>
    <row r="35" s="67" customFormat="true" ht="32" hidden="false" customHeight="true" outlineLevel="1" collapsed="false">
      <c r="A35" s="236"/>
      <c r="B35" s="234" t="s">
        <v>3446</v>
      </c>
      <c r="C35" s="234" t="s">
        <v>3447</v>
      </c>
      <c r="D35" s="234" t="s">
        <v>3243</v>
      </c>
      <c r="E35" s="234" t="s">
        <v>3448</v>
      </c>
      <c r="F35" s="234" t="s">
        <v>3449</v>
      </c>
      <c r="G35" s="236"/>
      <c r="H35" s="235" t="s">
        <v>3450</v>
      </c>
      <c r="I35" s="236" t="s">
        <v>3451</v>
      </c>
      <c r="J35" s="234" t="s">
        <v>3452</v>
      </c>
      <c r="K35" s="234"/>
      <c r="M35" s="301" t="n">
        <v>32</v>
      </c>
      <c r="N35" s="232" t="s">
        <v>3174</v>
      </c>
      <c r="O35" s="233" t="s">
        <v>3207</v>
      </c>
      <c r="P35" s="232" t="s">
        <v>3176</v>
      </c>
      <c r="Q35" s="54" t="n">
        <v>122.32</v>
      </c>
      <c r="R35" s="55"/>
      <c r="S35" s="56" t="str">
        <f aca="false">IF(ISBLANK(R35),"",IF(ISNUMBER(Q35),ROUND(Q35*R35,2),"Укажите цену"))</f>
        <v/>
      </c>
    </row>
    <row r="36" s="67" customFormat="true" ht="32" hidden="false" customHeight="true" outlineLevel="1" collapsed="false">
      <c r="A36" s="236"/>
      <c r="B36" s="234" t="s">
        <v>3453</v>
      </c>
      <c r="C36" s="234" t="s">
        <v>3454</v>
      </c>
      <c r="D36" s="234" t="s">
        <v>3253</v>
      </c>
      <c r="E36" s="234" t="s">
        <v>3455</v>
      </c>
      <c r="F36" s="234" t="s">
        <v>3456</v>
      </c>
      <c r="G36" s="236"/>
      <c r="H36" s="235" t="s">
        <v>3457</v>
      </c>
      <c r="I36" s="236" t="s">
        <v>3458</v>
      </c>
      <c r="J36" s="234" t="s">
        <v>3459</v>
      </c>
      <c r="K36" s="234"/>
      <c r="M36" s="301" t="n">
        <v>33</v>
      </c>
      <c r="N36" s="232" t="s">
        <v>3174</v>
      </c>
      <c r="O36" s="233" t="s">
        <v>3208</v>
      </c>
      <c r="P36" s="232" t="s">
        <v>3176</v>
      </c>
      <c r="Q36" s="54" t="n">
        <v>122.32</v>
      </c>
      <c r="R36" s="55"/>
      <c r="S36" s="56" t="str">
        <f aca="false">IF(ISBLANK(R36),"",IF(ISNUMBER(Q36),ROUND(Q36*R36,2),"Укажите цену"))</f>
        <v/>
      </c>
    </row>
    <row r="37" s="67" customFormat="true" ht="32" hidden="false" customHeight="true" outlineLevel="1" collapsed="false">
      <c r="A37" s="236"/>
      <c r="B37" s="234" t="s">
        <v>3460</v>
      </c>
      <c r="C37" s="234" t="s">
        <v>3461</v>
      </c>
      <c r="D37" s="234" t="s">
        <v>3462</v>
      </c>
      <c r="E37" s="234" t="s">
        <v>3463</v>
      </c>
      <c r="F37" s="234" t="s">
        <v>3464</v>
      </c>
      <c r="G37" s="236"/>
      <c r="H37" s="235" t="s">
        <v>3465</v>
      </c>
      <c r="I37" s="236" t="s">
        <v>3466</v>
      </c>
      <c r="J37" s="234" t="s">
        <v>3467</v>
      </c>
      <c r="K37" s="234"/>
      <c r="M37" s="301" t="n">
        <v>34</v>
      </c>
      <c r="N37" s="232" t="s">
        <v>3174</v>
      </c>
      <c r="O37" s="233" t="s">
        <v>3468</v>
      </c>
      <c r="P37" s="232" t="s">
        <v>3176</v>
      </c>
      <c r="Q37" s="54" t="n">
        <v>122.32</v>
      </c>
      <c r="R37" s="55"/>
      <c r="S37" s="56" t="str">
        <f aca="false">IF(ISBLANK(R37),"",IF(ISNUMBER(Q37),ROUND(Q37*R37,2),"Укажите цену"))</f>
        <v/>
      </c>
    </row>
    <row r="38" s="67" customFormat="true" ht="32" hidden="false" customHeight="true" outlineLevel="1" collapsed="false">
      <c r="A38" s="236"/>
      <c r="B38" s="234" t="s">
        <v>3469</v>
      </c>
      <c r="C38" s="234" t="s">
        <v>3470</v>
      </c>
      <c r="D38" s="234" t="s">
        <v>3471</v>
      </c>
      <c r="E38" s="234"/>
      <c r="F38" s="234" t="s">
        <v>3472</v>
      </c>
      <c r="G38" s="236"/>
      <c r="H38" s="235" t="s">
        <v>3473</v>
      </c>
      <c r="I38" s="236" t="s">
        <v>3474</v>
      </c>
      <c r="J38" s="234" t="s">
        <v>3475</v>
      </c>
      <c r="K38" s="234"/>
      <c r="M38" s="301" t="n">
        <v>35</v>
      </c>
      <c r="N38" s="232" t="s">
        <v>3174</v>
      </c>
      <c r="O38" s="233" t="s">
        <v>3210</v>
      </c>
      <c r="P38" s="232" t="s">
        <v>3176</v>
      </c>
      <c r="Q38" s="54" t="n">
        <v>122.32</v>
      </c>
      <c r="R38" s="55"/>
      <c r="S38" s="56" t="str">
        <f aca="false">IF(ISBLANK(R38),"",IF(ISNUMBER(Q38),ROUND(Q38*R38,2),"Укажите цену"))</f>
        <v/>
      </c>
    </row>
    <row r="39" s="67" customFormat="true" ht="32" hidden="false" customHeight="true" outlineLevel="1" collapsed="false">
      <c r="A39" s="236"/>
      <c r="B39" s="240" t="s">
        <v>3476</v>
      </c>
      <c r="C39" s="234" t="s">
        <v>3477</v>
      </c>
      <c r="D39" s="234" t="s">
        <v>3478</v>
      </c>
      <c r="E39" s="234"/>
      <c r="F39" s="234" t="s">
        <v>3479</v>
      </c>
      <c r="G39" s="236"/>
      <c r="H39" s="235" t="s">
        <v>3480</v>
      </c>
      <c r="I39" s="236" t="s">
        <v>3481</v>
      </c>
      <c r="J39" s="234" t="s">
        <v>3482</v>
      </c>
      <c r="K39" s="234"/>
      <c r="M39" s="301" t="n">
        <v>36</v>
      </c>
      <c r="N39" s="232" t="s">
        <v>3174</v>
      </c>
      <c r="O39" s="233" t="s">
        <v>3211</v>
      </c>
      <c r="P39" s="232" t="s">
        <v>3176</v>
      </c>
      <c r="Q39" s="54" t="n">
        <v>122.32</v>
      </c>
      <c r="R39" s="55"/>
      <c r="S39" s="56" t="str">
        <f aca="false">IF(ISBLANK(R39),"",IF(ISNUMBER(Q39),ROUND(Q39*R39,2),"Укажите цену"))</f>
        <v/>
      </c>
    </row>
    <row r="40" s="67" customFormat="true" ht="32" hidden="false" customHeight="true" outlineLevel="1" collapsed="false">
      <c r="A40" s="236"/>
      <c r="B40" s="240" t="s">
        <v>3483</v>
      </c>
      <c r="C40" s="234" t="s">
        <v>3484</v>
      </c>
      <c r="D40" s="234" t="s">
        <v>3485</v>
      </c>
      <c r="E40" s="234"/>
      <c r="F40" s="234" t="s">
        <v>3486</v>
      </c>
      <c r="G40" s="236"/>
      <c r="H40" s="235" t="s">
        <v>3487</v>
      </c>
      <c r="I40" s="236" t="s">
        <v>3488</v>
      </c>
      <c r="J40" s="234" t="s">
        <v>3489</v>
      </c>
      <c r="K40" s="234"/>
      <c r="M40" s="301" t="n">
        <v>37</v>
      </c>
      <c r="N40" s="232" t="s">
        <v>3174</v>
      </c>
      <c r="O40" s="233" t="s">
        <v>3212</v>
      </c>
      <c r="P40" s="232" t="s">
        <v>3176</v>
      </c>
      <c r="Q40" s="54" t="n">
        <v>122.32</v>
      </c>
      <c r="R40" s="55"/>
      <c r="S40" s="56" t="str">
        <f aca="false">IF(ISBLANK(R40),"",IF(ISNUMBER(Q40),ROUND(Q40*R40,2),"Укажите цену"))</f>
        <v/>
      </c>
    </row>
    <row r="41" s="67" customFormat="true" ht="32" hidden="false" customHeight="true" outlineLevel="1" collapsed="false">
      <c r="A41" s="236"/>
      <c r="B41" s="240" t="s">
        <v>3490</v>
      </c>
      <c r="C41" s="234" t="s">
        <v>3491</v>
      </c>
      <c r="D41" s="234" t="s">
        <v>3492</v>
      </c>
      <c r="E41" s="234"/>
      <c r="F41" s="234" t="s">
        <v>3493</v>
      </c>
      <c r="G41" s="236"/>
      <c r="H41" s="235" t="s">
        <v>3494</v>
      </c>
      <c r="I41" s="236" t="s">
        <v>3495</v>
      </c>
      <c r="J41" s="234" t="s">
        <v>3496</v>
      </c>
      <c r="K41" s="234"/>
      <c r="M41" s="301" t="n">
        <v>38</v>
      </c>
      <c r="N41" s="232" t="s">
        <v>3174</v>
      </c>
      <c r="O41" s="233" t="s">
        <v>3213</v>
      </c>
      <c r="P41" s="232" t="s">
        <v>3176</v>
      </c>
      <c r="Q41" s="54" t="n">
        <v>122.32</v>
      </c>
      <c r="R41" s="55"/>
      <c r="S41" s="56" t="str">
        <f aca="false">IF(ISBLANK(R41),"",IF(ISNUMBER(Q41),ROUND(Q41*R41,2),"Укажите цену"))</f>
        <v/>
      </c>
    </row>
    <row r="42" s="67" customFormat="true" ht="32" hidden="false" customHeight="true" outlineLevel="1" collapsed="false">
      <c r="A42" s="236"/>
      <c r="B42" s="234" t="s">
        <v>3497</v>
      </c>
      <c r="C42" s="240" t="s">
        <v>3498</v>
      </c>
      <c r="D42" s="234" t="s">
        <v>3499</v>
      </c>
      <c r="E42" s="234"/>
      <c r="F42" s="234" t="s">
        <v>3500</v>
      </c>
      <c r="G42" s="236"/>
      <c r="H42" s="235" t="s">
        <v>3501</v>
      </c>
      <c r="I42" s="236" t="s">
        <v>3332</v>
      </c>
      <c r="J42" s="234" t="s">
        <v>3502</v>
      </c>
      <c r="K42" s="234"/>
      <c r="M42" s="301" t="n">
        <v>39</v>
      </c>
      <c r="N42" s="232" t="s">
        <v>3174</v>
      </c>
      <c r="O42" s="233" t="s">
        <v>3214</v>
      </c>
      <c r="P42" s="232" t="s">
        <v>3176</v>
      </c>
      <c r="Q42" s="54" t="n">
        <v>122.32</v>
      </c>
      <c r="R42" s="55"/>
      <c r="S42" s="56" t="str">
        <f aca="false">IF(ISBLANK(R42),"",IF(ISNUMBER(Q42),ROUND(Q42*R42,2),"Укажите цену"))</f>
        <v/>
      </c>
    </row>
    <row r="43" s="67" customFormat="true" ht="32" hidden="false" customHeight="true" outlineLevel="1" collapsed="false">
      <c r="A43" s="236"/>
      <c r="B43" s="234" t="s">
        <v>3503</v>
      </c>
      <c r="C43" s="240" t="s">
        <v>3504</v>
      </c>
      <c r="D43" s="234" t="s">
        <v>3347</v>
      </c>
      <c r="E43" s="234"/>
      <c r="F43" s="234" t="s">
        <v>3505</v>
      </c>
      <c r="G43" s="236"/>
      <c r="H43" s="235" t="s">
        <v>3506</v>
      </c>
      <c r="I43" s="236" t="s">
        <v>3507</v>
      </c>
      <c r="J43" s="234" t="s">
        <v>3508</v>
      </c>
      <c r="K43" s="234"/>
      <c r="M43" s="301" t="n">
        <v>40</v>
      </c>
      <c r="N43" s="232" t="s">
        <v>3174</v>
      </c>
      <c r="O43" s="233" t="s">
        <v>3215</v>
      </c>
      <c r="P43" s="232" t="s">
        <v>3176</v>
      </c>
      <c r="Q43" s="54" t="n">
        <v>122.32</v>
      </c>
      <c r="R43" s="55"/>
      <c r="S43" s="56" t="str">
        <f aca="false">IF(ISBLANK(R43),"",IF(ISNUMBER(Q43),ROUND(Q43*R43,2),"Укажите цену"))</f>
        <v/>
      </c>
    </row>
    <row r="44" s="67" customFormat="true" ht="32" hidden="false" customHeight="true" outlineLevel="1" collapsed="false">
      <c r="A44" s="236"/>
      <c r="B44" s="234" t="s">
        <v>3509</v>
      </c>
      <c r="C44" s="236" t="s">
        <v>3299</v>
      </c>
      <c r="D44" s="234" t="s">
        <v>3356</v>
      </c>
      <c r="E44" s="234"/>
      <c r="F44" s="234" t="s">
        <v>3510</v>
      </c>
      <c r="G44" s="236"/>
      <c r="H44" s="235" t="s">
        <v>3511</v>
      </c>
      <c r="I44" s="236" t="s">
        <v>3512</v>
      </c>
      <c r="J44" s="234" t="s">
        <v>3513</v>
      </c>
      <c r="K44" s="234"/>
      <c r="M44" s="301" t="n">
        <v>41</v>
      </c>
      <c r="N44" s="232" t="s">
        <v>3174</v>
      </c>
      <c r="O44" s="233" t="s">
        <v>3216</v>
      </c>
      <c r="P44" s="232" t="s">
        <v>3176</v>
      </c>
      <c r="Q44" s="54" t="n">
        <v>122.32</v>
      </c>
      <c r="R44" s="55"/>
      <c r="S44" s="56" t="str">
        <f aca="false">IF(ISBLANK(R44),"",IF(ISNUMBER(Q44),ROUND(Q44*R44,2),"Укажите цену"))</f>
        <v/>
      </c>
    </row>
    <row r="45" s="67" customFormat="true" ht="32" hidden="false" customHeight="true" outlineLevel="1" collapsed="false">
      <c r="A45" s="236"/>
      <c r="B45" s="234" t="s">
        <v>3514</v>
      </c>
      <c r="C45" s="241" t="s">
        <v>3515</v>
      </c>
      <c r="D45" s="234" t="s">
        <v>3365</v>
      </c>
      <c r="E45" s="234"/>
      <c r="F45" s="234" t="s">
        <v>3516</v>
      </c>
      <c r="G45" s="236"/>
      <c r="H45" s="235" t="s">
        <v>3517</v>
      </c>
      <c r="I45" s="236" t="s">
        <v>3518</v>
      </c>
      <c r="J45" s="234" t="s">
        <v>3519</v>
      </c>
      <c r="K45" s="234"/>
      <c r="M45" s="301" t="n">
        <v>42</v>
      </c>
      <c r="N45" s="232" t="s">
        <v>3174</v>
      </c>
      <c r="O45" s="233" t="s">
        <v>3217</v>
      </c>
      <c r="P45" s="232" t="s">
        <v>3176</v>
      </c>
      <c r="Q45" s="54" t="n">
        <v>122.32</v>
      </c>
      <c r="R45" s="55"/>
      <c r="S45" s="56" t="str">
        <f aca="false">IF(ISBLANK(R45),"",IF(ISNUMBER(Q45),ROUND(Q45*R45,2),"Укажите цену"))</f>
        <v/>
      </c>
    </row>
    <row r="46" s="67" customFormat="true" ht="32" hidden="false" customHeight="true" outlineLevel="1" collapsed="false">
      <c r="A46" s="236"/>
      <c r="B46" s="234" t="s">
        <v>3520</v>
      </c>
      <c r="C46" s="241"/>
      <c r="D46" s="234" t="s">
        <v>3374</v>
      </c>
      <c r="E46" s="234"/>
      <c r="F46" s="234" t="s">
        <v>3521</v>
      </c>
      <c r="G46" s="236"/>
      <c r="H46" s="235" t="s">
        <v>3522</v>
      </c>
      <c r="I46" s="236" t="s">
        <v>3523</v>
      </c>
      <c r="J46" s="234" t="s">
        <v>3524</v>
      </c>
      <c r="K46" s="234"/>
      <c r="M46" s="301" t="n">
        <v>43</v>
      </c>
      <c r="N46" s="232" t="s">
        <v>3174</v>
      </c>
      <c r="O46" s="233" t="s">
        <v>3218</v>
      </c>
      <c r="P46" s="232" t="s">
        <v>3176</v>
      </c>
      <c r="Q46" s="54" t="n">
        <v>122.32</v>
      </c>
      <c r="R46" s="55"/>
      <c r="S46" s="56" t="str">
        <f aca="false">IF(ISBLANK(R46),"",IF(ISNUMBER(Q46),ROUND(Q46*R46,2),"Укажите цену"))</f>
        <v/>
      </c>
    </row>
    <row r="47" s="67" customFormat="true" ht="32" hidden="false" customHeight="true" outlineLevel="1" collapsed="false">
      <c r="A47" s="236"/>
      <c r="B47" s="234" t="s">
        <v>3525</v>
      </c>
      <c r="C47" s="241"/>
      <c r="D47" s="234" t="s">
        <v>3382</v>
      </c>
      <c r="E47" s="234"/>
      <c r="F47" s="234" t="s">
        <v>3526</v>
      </c>
      <c r="G47" s="236"/>
      <c r="H47" s="235" t="s">
        <v>3527</v>
      </c>
      <c r="I47" s="236" t="s">
        <v>3528</v>
      </c>
      <c r="J47" s="234" t="s">
        <v>3529</v>
      </c>
      <c r="K47" s="234"/>
      <c r="M47" s="301" t="n">
        <v>44</v>
      </c>
      <c r="N47" s="232" t="s">
        <v>3174</v>
      </c>
      <c r="O47" s="233" t="s">
        <v>3530</v>
      </c>
      <c r="P47" s="232" t="s">
        <v>3176</v>
      </c>
      <c r="Q47" s="54" t="n">
        <v>122.32</v>
      </c>
      <c r="R47" s="55"/>
      <c r="S47" s="56" t="str">
        <f aca="false">IF(ISBLANK(R47),"",IF(ISNUMBER(Q47),ROUND(Q47*R47,2),"Укажите цену"))</f>
        <v/>
      </c>
    </row>
    <row r="48" s="67" customFormat="true" ht="32" hidden="false" customHeight="true" outlineLevel="1" collapsed="false">
      <c r="A48" s="236"/>
      <c r="B48" s="234" t="s">
        <v>3531</v>
      </c>
      <c r="C48" s="236" t="s">
        <v>3532</v>
      </c>
      <c r="D48" s="234" t="s">
        <v>3390</v>
      </c>
      <c r="E48" s="234"/>
      <c r="F48" s="234" t="s">
        <v>3533</v>
      </c>
      <c r="G48" s="236"/>
      <c r="H48" s="235" t="s">
        <v>3534</v>
      </c>
      <c r="I48" s="236" t="s">
        <v>3535</v>
      </c>
      <c r="J48" s="234" t="s">
        <v>3536</v>
      </c>
      <c r="K48" s="234"/>
      <c r="M48" s="301" t="n">
        <v>45</v>
      </c>
      <c r="N48" s="232" t="s">
        <v>3174</v>
      </c>
      <c r="O48" s="233" t="s">
        <v>3220</v>
      </c>
      <c r="P48" s="232" t="s">
        <v>3176</v>
      </c>
      <c r="Q48" s="54" t="n">
        <v>122.32</v>
      </c>
      <c r="R48" s="55"/>
      <c r="S48" s="56" t="str">
        <f aca="false">IF(ISBLANK(R48),"",IF(ISNUMBER(Q48),ROUND(Q48*R48,2),"Укажите цену"))</f>
        <v/>
      </c>
    </row>
    <row r="49" s="67" customFormat="true" ht="32" hidden="false" customHeight="true" outlineLevel="1" collapsed="false">
      <c r="A49" s="236"/>
      <c r="B49" s="234" t="s">
        <v>3537</v>
      </c>
      <c r="C49" s="236"/>
      <c r="D49" s="234" t="s">
        <v>3397</v>
      </c>
      <c r="E49" s="234"/>
      <c r="F49" s="234" t="s">
        <v>3538</v>
      </c>
      <c r="G49" s="236"/>
      <c r="H49" s="235" t="s">
        <v>3539</v>
      </c>
      <c r="I49" s="236" t="s">
        <v>3540</v>
      </c>
      <c r="J49" s="234" t="s">
        <v>3541</v>
      </c>
      <c r="K49" s="234"/>
      <c r="M49" s="301" t="n">
        <v>46</v>
      </c>
      <c r="N49" s="232" t="s">
        <v>3174</v>
      </c>
      <c r="O49" s="233" t="s">
        <v>3221</v>
      </c>
      <c r="P49" s="232" t="s">
        <v>3176</v>
      </c>
      <c r="Q49" s="54" t="n">
        <v>122.32</v>
      </c>
      <c r="R49" s="55"/>
      <c r="S49" s="56" t="str">
        <f aca="false">IF(ISBLANK(R49),"",IF(ISNUMBER(Q49),ROUND(Q49*R49,2),"Укажите цену"))</f>
        <v/>
      </c>
    </row>
    <row r="50" s="67" customFormat="true" ht="32" hidden="false" customHeight="true" outlineLevel="1" collapsed="false">
      <c r="A50" s="236"/>
      <c r="B50" s="234" t="s">
        <v>3542</v>
      </c>
      <c r="C50" s="236"/>
      <c r="D50" s="234" t="s">
        <v>3543</v>
      </c>
      <c r="E50" s="234"/>
      <c r="F50" s="234" t="s">
        <v>3544</v>
      </c>
      <c r="G50" s="236"/>
      <c r="H50" s="235" t="s">
        <v>3545</v>
      </c>
      <c r="I50" s="236" t="s">
        <v>3546</v>
      </c>
      <c r="J50" s="239" t="s">
        <v>3547</v>
      </c>
      <c r="K50" s="239"/>
      <c r="M50" s="301" t="n">
        <v>47</v>
      </c>
      <c r="N50" s="232" t="s">
        <v>3174</v>
      </c>
      <c r="O50" s="233" t="s">
        <v>3222</v>
      </c>
      <c r="P50" s="232" t="s">
        <v>3176</v>
      </c>
      <c r="Q50" s="54" t="n">
        <v>122.32</v>
      </c>
      <c r="R50" s="55"/>
      <c r="S50" s="56" t="str">
        <f aca="false">IF(ISBLANK(R50),"",IF(ISNUMBER(Q50),ROUND(Q50*R50,2),"Укажите цену"))</f>
        <v/>
      </c>
    </row>
    <row r="51" s="67" customFormat="true" ht="32" hidden="false" customHeight="true" outlineLevel="1" collapsed="false">
      <c r="A51" s="236"/>
      <c r="B51" s="234" t="s">
        <v>3548</v>
      </c>
      <c r="C51" s="236"/>
      <c r="D51" s="234" t="s">
        <v>3549</v>
      </c>
      <c r="E51" s="234"/>
      <c r="F51" s="234" t="s">
        <v>3550</v>
      </c>
      <c r="G51" s="236"/>
      <c r="H51" s="235" t="s">
        <v>3551</v>
      </c>
      <c r="I51" s="236" t="s">
        <v>3552</v>
      </c>
      <c r="J51" s="239" t="s">
        <v>3553</v>
      </c>
      <c r="K51" s="239"/>
      <c r="M51" s="301" t="n">
        <v>48</v>
      </c>
      <c r="N51" s="232" t="s">
        <v>3174</v>
      </c>
      <c r="O51" s="233" t="s">
        <v>3223</v>
      </c>
      <c r="P51" s="232" t="s">
        <v>3176</v>
      </c>
      <c r="Q51" s="54" t="n">
        <v>122.32</v>
      </c>
      <c r="R51" s="55"/>
      <c r="S51" s="56" t="str">
        <f aca="false">IF(ISBLANK(R51),"",IF(ISNUMBER(Q51),ROUND(Q51*R51,2),"Укажите цену"))</f>
        <v/>
      </c>
    </row>
    <row r="52" s="42" customFormat="true" ht="32" hidden="false" customHeight="true" outlineLevel="1" collapsed="false">
      <c r="A52" s="236"/>
      <c r="B52" s="234" t="s">
        <v>3554</v>
      </c>
      <c r="C52" s="236"/>
      <c r="D52" s="236" t="s">
        <v>3405</v>
      </c>
      <c r="E52" s="236"/>
      <c r="F52" s="234" t="s">
        <v>3555</v>
      </c>
      <c r="G52" s="236"/>
      <c r="H52" s="235" t="s">
        <v>3556</v>
      </c>
      <c r="I52" s="236" t="s">
        <v>3557</v>
      </c>
      <c r="J52" s="239" t="s">
        <v>3558</v>
      </c>
      <c r="K52" s="239"/>
      <c r="M52" s="301" t="n">
        <v>49</v>
      </c>
      <c r="N52" s="232" t="s">
        <v>3174</v>
      </c>
      <c r="O52" s="233" t="s">
        <v>3224</v>
      </c>
      <c r="P52" s="232" t="s">
        <v>3176</v>
      </c>
      <c r="Q52" s="54" t="n">
        <v>122.32</v>
      </c>
      <c r="R52" s="55"/>
      <c r="S52" s="56" t="str">
        <f aca="false">IF(ISBLANK(R52),"",IF(ISNUMBER(Q52),ROUND(Q52*R52,2),"Укажите цену"))</f>
        <v/>
      </c>
    </row>
    <row r="53" customFormat="false" ht="32" hidden="false" customHeight="true" outlineLevel="1" collapsed="false">
      <c r="A53" s="236"/>
      <c r="B53" s="236"/>
      <c r="C53" s="236"/>
      <c r="D53" s="236"/>
      <c r="E53" s="236"/>
      <c r="F53" s="236"/>
      <c r="G53" s="236"/>
      <c r="H53" s="236"/>
      <c r="I53" s="236" t="s">
        <v>3559</v>
      </c>
      <c r="J53" s="236"/>
      <c r="K53" s="236"/>
      <c r="M53" s="301" t="n">
        <v>50</v>
      </c>
      <c r="N53" s="232" t="s">
        <v>3174</v>
      </c>
      <c r="O53" s="233" t="s">
        <v>3225</v>
      </c>
      <c r="P53" s="232" t="s">
        <v>3176</v>
      </c>
      <c r="Q53" s="54" t="n">
        <v>122.32</v>
      </c>
      <c r="R53" s="55"/>
      <c r="S53" s="56" t="str">
        <f aca="false">IF(ISBLANK(R53),"",IF(ISNUMBER(Q53),ROUND(Q53*R53,2),"Укажите цену"))</f>
        <v/>
      </c>
    </row>
    <row r="54" customFormat="false" ht="32" hidden="false" customHeight="true" outlineLevel="1" collapsed="false">
      <c r="A54" s="236"/>
      <c r="B54" s="236"/>
      <c r="C54" s="236"/>
      <c r="D54" s="236"/>
      <c r="E54" s="236"/>
      <c r="F54" s="236"/>
      <c r="G54" s="236"/>
      <c r="H54" s="236"/>
      <c r="I54" s="236" t="s">
        <v>3560</v>
      </c>
      <c r="J54" s="236"/>
      <c r="K54" s="236"/>
      <c r="M54" s="301" t="n">
        <v>51</v>
      </c>
      <c r="N54" s="232" t="s">
        <v>3174</v>
      </c>
      <c r="O54" s="233" t="s">
        <v>3226</v>
      </c>
      <c r="P54" s="232" t="s">
        <v>3176</v>
      </c>
      <c r="Q54" s="54" t="n">
        <v>122.32</v>
      </c>
      <c r="R54" s="55"/>
      <c r="S54" s="56" t="str">
        <f aca="false">IF(ISBLANK(R54),"",IF(ISNUMBER(Q54),ROUND(Q54*R54,2),"Укажите цену"))</f>
        <v/>
      </c>
    </row>
    <row r="55" customFormat="false" ht="32" hidden="false" customHeight="true" outlineLevel="1" collapsed="false">
      <c r="J55" s="62"/>
      <c r="M55" s="301" t="n">
        <v>52</v>
      </c>
      <c r="N55" s="232" t="s">
        <v>3174</v>
      </c>
      <c r="O55" s="233" t="s">
        <v>3227</v>
      </c>
      <c r="P55" s="232" t="s">
        <v>3176</v>
      </c>
      <c r="Q55" s="54" t="n">
        <v>122.32</v>
      </c>
      <c r="R55" s="55"/>
      <c r="S55" s="56" t="str">
        <f aca="false">IF(ISBLANK(R55),"",IF(ISNUMBER(Q55),ROUND(Q55*R55,2),"Укажите цену"))</f>
        <v/>
      </c>
    </row>
    <row r="56" customFormat="false" ht="32" hidden="false" customHeight="true" outlineLevel="1" collapsed="false">
      <c r="J56" s="62"/>
      <c r="M56" s="301" t="n">
        <v>53</v>
      </c>
      <c r="N56" s="232" t="s">
        <v>3174</v>
      </c>
      <c r="O56" s="233" t="s">
        <v>3228</v>
      </c>
      <c r="P56" s="232" t="s">
        <v>3176</v>
      </c>
      <c r="Q56" s="54" t="n">
        <v>122.32</v>
      </c>
      <c r="R56" s="55"/>
      <c r="S56" s="56" t="str">
        <f aca="false">IF(ISBLANK(R56),"",IF(ISNUMBER(Q56),ROUND(Q56*R56,2),"Укажите цену"))</f>
        <v/>
      </c>
    </row>
    <row r="57" customFormat="false" ht="32" hidden="false" customHeight="true" outlineLevel="1" collapsed="false">
      <c r="J57" s="62"/>
      <c r="M57" s="301" t="n">
        <v>54</v>
      </c>
      <c r="N57" s="232" t="s">
        <v>3174</v>
      </c>
      <c r="O57" s="233" t="s">
        <v>3561</v>
      </c>
      <c r="P57" s="232" t="s">
        <v>3176</v>
      </c>
      <c r="Q57" s="54" t="n">
        <v>122.32</v>
      </c>
      <c r="R57" s="55"/>
      <c r="S57" s="56" t="str">
        <f aca="false">IF(ISBLANK(R57),"",IF(ISNUMBER(Q57),ROUND(Q57*R57,2),"Укажите цену"))</f>
        <v/>
      </c>
    </row>
    <row r="58" customFormat="false" ht="32" hidden="false" customHeight="true" outlineLevel="1" collapsed="false">
      <c r="J58" s="62"/>
      <c r="M58" s="301" t="n">
        <v>55</v>
      </c>
      <c r="N58" s="232" t="s">
        <v>3174</v>
      </c>
      <c r="O58" s="233" t="s">
        <v>3230</v>
      </c>
      <c r="P58" s="232" t="s">
        <v>3176</v>
      </c>
      <c r="Q58" s="54" t="n">
        <v>122.32</v>
      </c>
      <c r="R58" s="55"/>
      <c r="S58" s="56" t="str">
        <f aca="false">IF(ISBLANK(R58),"",IF(ISNUMBER(Q58),ROUND(Q58*R58,2),"Укажите цену"))</f>
        <v/>
      </c>
    </row>
    <row r="59" customFormat="false" ht="32" hidden="false" customHeight="true" outlineLevel="1" collapsed="false">
      <c r="J59" s="62"/>
      <c r="M59" s="301" t="n">
        <v>56</v>
      </c>
      <c r="N59" s="232" t="s">
        <v>3174</v>
      </c>
      <c r="O59" s="233" t="s">
        <v>3231</v>
      </c>
      <c r="P59" s="232" t="s">
        <v>3176</v>
      </c>
      <c r="Q59" s="54" t="n">
        <v>122.32</v>
      </c>
      <c r="R59" s="55"/>
      <c r="S59" s="56" t="str">
        <f aca="false">IF(ISBLANK(R59),"",IF(ISNUMBER(Q59),ROUND(Q59*R59,2),"Укажите цену"))</f>
        <v/>
      </c>
    </row>
    <row r="60" customFormat="false" ht="32" hidden="false" customHeight="true" outlineLevel="1" collapsed="false">
      <c r="J60" s="62"/>
      <c r="M60" s="301" t="n">
        <v>57</v>
      </c>
      <c r="N60" s="232" t="s">
        <v>3174</v>
      </c>
      <c r="O60" s="233" t="s">
        <v>3232</v>
      </c>
      <c r="P60" s="232" t="s">
        <v>3176</v>
      </c>
      <c r="Q60" s="54" t="n">
        <v>122.32</v>
      </c>
      <c r="R60" s="55"/>
      <c r="S60" s="56" t="str">
        <f aca="false">IF(ISBLANK(R60),"",IF(ISNUMBER(Q60),ROUND(Q60*R60,2),"Укажите цену"))</f>
        <v/>
      </c>
    </row>
    <row r="61" customFormat="false" ht="32" hidden="false" customHeight="true" outlineLevel="1" collapsed="false">
      <c r="J61" s="62"/>
      <c r="M61" s="301" t="n">
        <v>58</v>
      </c>
      <c r="N61" s="232" t="s">
        <v>3174</v>
      </c>
      <c r="O61" s="233" t="s">
        <v>3233</v>
      </c>
      <c r="P61" s="232" t="s">
        <v>3176</v>
      </c>
      <c r="Q61" s="54" t="n">
        <v>122.32</v>
      </c>
      <c r="R61" s="55"/>
      <c r="S61" s="56" t="str">
        <f aca="false">IF(ISBLANK(R61),"",IF(ISNUMBER(Q61),ROUND(Q61*R61,2),"Укажите цену"))</f>
        <v/>
      </c>
    </row>
    <row r="62" customFormat="false" ht="32" hidden="false" customHeight="true" outlineLevel="1" collapsed="false">
      <c r="J62" s="62"/>
      <c r="M62" s="301" t="n">
        <v>59</v>
      </c>
      <c r="N62" s="232" t="s">
        <v>3174</v>
      </c>
      <c r="O62" s="233" t="s">
        <v>3234</v>
      </c>
      <c r="P62" s="232" t="s">
        <v>3176</v>
      </c>
      <c r="Q62" s="54" t="n">
        <v>122.32</v>
      </c>
      <c r="R62" s="55"/>
      <c r="S62" s="56" t="str">
        <f aca="false">IF(ISBLANK(R62),"",IF(ISNUMBER(Q62),ROUND(Q62*R62,2),"Укажите цену"))</f>
        <v/>
      </c>
    </row>
    <row r="63" customFormat="false" ht="32" hidden="false" customHeight="true" outlineLevel="1" collapsed="false">
      <c r="J63" s="62"/>
      <c r="M63" s="301" t="n">
        <v>60</v>
      </c>
      <c r="N63" s="232" t="s">
        <v>3174</v>
      </c>
      <c r="O63" s="233" t="s">
        <v>3235</v>
      </c>
      <c r="P63" s="232" t="s">
        <v>3176</v>
      </c>
      <c r="Q63" s="54" t="n">
        <v>122.32</v>
      </c>
      <c r="R63" s="55"/>
      <c r="S63" s="56" t="str">
        <f aca="false">IF(ISBLANK(R63),"",IF(ISNUMBER(Q63),ROUND(Q63*R63,2),"Укажите цену"))</f>
        <v/>
      </c>
    </row>
    <row r="64" customFormat="false" ht="32" hidden="false" customHeight="true" outlineLevel="1" collapsed="false">
      <c r="J64" s="62"/>
      <c r="M64" s="301" t="n">
        <v>61</v>
      </c>
      <c r="N64" s="232" t="s">
        <v>3174</v>
      </c>
      <c r="O64" s="233" t="s">
        <v>3236</v>
      </c>
      <c r="P64" s="232" t="s">
        <v>3176</v>
      </c>
      <c r="Q64" s="54" t="n">
        <v>122.32</v>
      </c>
      <c r="R64" s="55"/>
      <c r="S64" s="56" t="str">
        <f aca="false">IF(ISBLANK(R64),"",IF(ISNUMBER(Q64),ROUND(Q64*R64,2),"Укажите цену"))</f>
        <v/>
      </c>
    </row>
    <row r="65" customFormat="false" ht="32" hidden="false" customHeight="true" outlineLevel="1" collapsed="false">
      <c r="J65" s="62"/>
      <c r="M65" s="301" t="n">
        <v>62</v>
      </c>
      <c r="N65" s="232" t="s">
        <v>3174</v>
      </c>
      <c r="O65" s="233" t="s">
        <v>3237</v>
      </c>
      <c r="P65" s="232" t="s">
        <v>3176</v>
      </c>
      <c r="Q65" s="54" t="n">
        <v>122.32</v>
      </c>
      <c r="R65" s="55"/>
      <c r="S65" s="56" t="str">
        <f aca="false">IF(ISBLANK(R65),"",IF(ISNUMBER(Q65),ROUND(Q65*R65,2),"Укажите цену"))</f>
        <v/>
      </c>
    </row>
    <row r="66" customFormat="false" ht="32" hidden="false" customHeight="true" outlineLevel="1" collapsed="false">
      <c r="J66" s="62"/>
      <c r="M66" s="301" t="n">
        <v>63</v>
      </c>
      <c r="N66" s="232" t="s">
        <v>3174</v>
      </c>
      <c r="O66" s="233" t="s">
        <v>3562</v>
      </c>
      <c r="P66" s="232" t="s">
        <v>3176</v>
      </c>
      <c r="Q66" s="54" t="n">
        <v>122.32</v>
      </c>
      <c r="R66" s="55"/>
      <c r="S66" s="56" t="str">
        <f aca="false">IF(ISBLANK(R66),"",IF(ISNUMBER(Q66),ROUND(Q66*R66,2),"Укажите цену"))</f>
        <v/>
      </c>
    </row>
    <row r="67" customFormat="false" ht="32" hidden="false" customHeight="true" outlineLevel="1" collapsed="false">
      <c r="J67" s="62"/>
      <c r="M67" s="301" t="n">
        <v>64</v>
      </c>
      <c r="N67" s="232" t="s">
        <v>3174</v>
      </c>
      <c r="O67" s="233" t="s">
        <v>3239</v>
      </c>
      <c r="P67" s="232" t="s">
        <v>3176</v>
      </c>
      <c r="Q67" s="54" t="n">
        <v>122.32</v>
      </c>
      <c r="R67" s="55"/>
      <c r="S67" s="56" t="str">
        <f aca="false">IF(ISBLANK(R67),"",IF(ISNUMBER(Q67),ROUND(Q67*R67,2),"Укажите цену"))</f>
        <v/>
      </c>
    </row>
    <row r="68" customFormat="false" ht="32" hidden="false" customHeight="true" outlineLevel="1" collapsed="false">
      <c r="J68" s="62"/>
      <c r="M68" s="301" t="n">
        <v>65</v>
      </c>
      <c r="N68" s="232" t="s">
        <v>3174</v>
      </c>
      <c r="O68" s="233" t="s">
        <v>3240</v>
      </c>
      <c r="P68" s="232" t="s">
        <v>3176</v>
      </c>
      <c r="Q68" s="54" t="n">
        <v>122.32</v>
      </c>
      <c r="R68" s="55"/>
      <c r="S68" s="56" t="str">
        <f aca="false">IF(ISBLANK(R68),"",IF(ISNUMBER(Q68),ROUND(Q68*R68,2),"Укажите цену"))</f>
        <v/>
      </c>
    </row>
    <row r="69" customFormat="false" ht="32" hidden="false" customHeight="true" outlineLevel="1" collapsed="false">
      <c r="J69" s="62"/>
      <c r="M69" s="301" t="n">
        <v>66</v>
      </c>
      <c r="N69" s="232" t="s">
        <v>3174</v>
      </c>
      <c r="O69" s="233" t="s">
        <v>3241</v>
      </c>
      <c r="P69" s="232" t="s">
        <v>3176</v>
      </c>
      <c r="Q69" s="54" t="n">
        <v>122.32</v>
      </c>
      <c r="R69" s="55"/>
      <c r="S69" s="56" t="str">
        <f aca="false">IF(ISBLANK(R69),"",IF(ISNUMBER(Q69),ROUND(Q69*R69,2),"Укажите цену"))</f>
        <v/>
      </c>
    </row>
    <row r="70" customFormat="false" ht="32" hidden="false" customHeight="true" outlineLevel="1" collapsed="false">
      <c r="J70" s="62"/>
      <c r="M70" s="301" t="n">
        <v>67</v>
      </c>
      <c r="N70" s="232" t="s">
        <v>3174</v>
      </c>
      <c r="O70" s="233" t="s">
        <v>3242</v>
      </c>
      <c r="P70" s="232" t="s">
        <v>3176</v>
      </c>
      <c r="Q70" s="54" t="n">
        <v>122.32</v>
      </c>
      <c r="R70" s="55"/>
      <c r="S70" s="56" t="str">
        <f aca="false">IF(ISBLANK(R70),"",IF(ISNUMBER(Q70),ROUND(Q70*R70,2),"Укажите цену"))</f>
        <v/>
      </c>
    </row>
    <row r="71" customFormat="false" ht="32" hidden="false" customHeight="true" outlineLevel="1" collapsed="false">
      <c r="J71" s="62"/>
      <c r="M71" s="301" t="n">
        <v>68</v>
      </c>
      <c r="N71" s="232" t="s">
        <v>3174</v>
      </c>
      <c r="O71" s="233" t="s">
        <v>3243</v>
      </c>
      <c r="P71" s="232" t="s">
        <v>3176</v>
      </c>
      <c r="Q71" s="54" t="n">
        <v>122.32</v>
      </c>
      <c r="R71" s="55"/>
      <c r="S71" s="56" t="str">
        <f aca="false">IF(ISBLANK(R71),"",IF(ISNUMBER(Q71),ROUND(Q71*R71,2),"Укажите цену"))</f>
        <v/>
      </c>
    </row>
    <row r="72" customFormat="false" ht="32" hidden="false" customHeight="true" outlineLevel="1" collapsed="false">
      <c r="J72" s="62"/>
      <c r="M72" s="301" t="n">
        <v>69</v>
      </c>
      <c r="N72" s="232" t="s">
        <v>3174</v>
      </c>
      <c r="O72" s="233" t="s">
        <v>3244</v>
      </c>
      <c r="P72" s="232" t="s">
        <v>3176</v>
      </c>
      <c r="Q72" s="54" t="n">
        <v>122.32</v>
      </c>
      <c r="R72" s="55"/>
      <c r="S72" s="56" t="str">
        <f aca="false">IF(ISBLANK(R72),"",IF(ISNUMBER(Q72),ROUND(Q72*R72,2),"Укажите цену"))</f>
        <v/>
      </c>
    </row>
    <row r="73" customFormat="false" ht="32" hidden="false" customHeight="true" outlineLevel="1" collapsed="false">
      <c r="J73" s="62"/>
      <c r="M73" s="301" t="n">
        <v>70</v>
      </c>
      <c r="N73" s="232" t="s">
        <v>3174</v>
      </c>
      <c r="O73" s="233" t="s">
        <v>3245</v>
      </c>
      <c r="P73" s="232" t="s">
        <v>3176</v>
      </c>
      <c r="Q73" s="54" t="n">
        <v>122.32</v>
      </c>
      <c r="R73" s="55"/>
      <c r="S73" s="56" t="str">
        <f aca="false">IF(ISBLANK(R73),"",IF(ISNUMBER(Q73),ROUND(Q73*R73,2),"Укажите цену"))</f>
        <v/>
      </c>
    </row>
    <row r="74" customFormat="false" ht="32" hidden="false" customHeight="true" outlineLevel="1" collapsed="false">
      <c r="J74" s="62"/>
      <c r="M74" s="301" t="n">
        <v>71</v>
      </c>
      <c r="N74" s="232" t="s">
        <v>3174</v>
      </c>
      <c r="O74" s="233" t="s">
        <v>3246</v>
      </c>
      <c r="P74" s="232" t="s">
        <v>3176</v>
      </c>
      <c r="Q74" s="54" t="n">
        <v>122.32</v>
      </c>
      <c r="R74" s="55"/>
      <c r="S74" s="56" t="str">
        <f aca="false">IF(ISBLANK(R74),"",IF(ISNUMBER(Q74),ROUND(Q74*R74,2),"Укажите цену"))</f>
        <v/>
      </c>
    </row>
    <row r="75" customFormat="false" ht="32" hidden="false" customHeight="true" outlineLevel="1" collapsed="false">
      <c r="J75" s="62"/>
      <c r="M75" s="301" t="n">
        <v>72</v>
      </c>
      <c r="N75" s="232" t="s">
        <v>3174</v>
      </c>
      <c r="O75" s="233" t="s">
        <v>3247</v>
      </c>
      <c r="P75" s="232" t="s">
        <v>3176</v>
      </c>
      <c r="Q75" s="54" t="n">
        <v>122.32</v>
      </c>
      <c r="R75" s="55"/>
      <c r="S75" s="56" t="str">
        <f aca="false">IF(ISBLANK(R75),"",IF(ISNUMBER(Q75),ROUND(Q75*R75,2),"Укажите цену"))</f>
        <v/>
      </c>
    </row>
    <row r="76" customFormat="false" ht="32" hidden="false" customHeight="true" outlineLevel="1" collapsed="false">
      <c r="J76" s="62"/>
      <c r="M76" s="301" t="n">
        <v>73</v>
      </c>
      <c r="N76" s="232" t="s">
        <v>3174</v>
      </c>
      <c r="O76" s="233" t="s">
        <v>3563</v>
      </c>
      <c r="P76" s="232" t="s">
        <v>3176</v>
      </c>
      <c r="Q76" s="54" t="n">
        <v>122.32</v>
      </c>
      <c r="R76" s="55"/>
      <c r="S76" s="56" t="str">
        <f aca="false">IF(ISBLANK(R76),"",IF(ISNUMBER(Q76),ROUND(Q76*R76,2),"Укажите цену"))</f>
        <v/>
      </c>
    </row>
    <row r="77" customFormat="false" ht="32" hidden="false" customHeight="true" outlineLevel="1" collapsed="false">
      <c r="J77" s="62"/>
      <c r="M77" s="301" t="n">
        <v>74</v>
      </c>
      <c r="N77" s="232" t="s">
        <v>3174</v>
      </c>
      <c r="O77" s="233" t="s">
        <v>3249</v>
      </c>
      <c r="P77" s="232" t="s">
        <v>3176</v>
      </c>
      <c r="Q77" s="54" t="n">
        <v>122.32</v>
      </c>
      <c r="R77" s="55"/>
      <c r="S77" s="56" t="str">
        <f aca="false">IF(ISBLANK(R77),"",IF(ISNUMBER(Q77),ROUND(Q77*R77,2),"Укажите цену"))</f>
        <v/>
      </c>
    </row>
    <row r="78" customFormat="false" ht="32" hidden="false" customHeight="true" outlineLevel="1" collapsed="false">
      <c r="J78" s="62"/>
      <c r="M78" s="301" t="n">
        <v>75</v>
      </c>
      <c r="N78" s="232" t="s">
        <v>3174</v>
      </c>
      <c r="O78" s="233" t="s">
        <v>3250</v>
      </c>
      <c r="P78" s="232" t="s">
        <v>3176</v>
      </c>
      <c r="Q78" s="54" t="n">
        <v>122.32</v>
      </c>
      <c r="R78" s="55"/>
      <c r="S78" s="56" t="str">
        <f aca="false">IF(ISBLANK(R78),"",IF(ISNUMBER(Q78),ROUND(Q78*R78,2),"Укажите цену"))</f>
        <v/>
      </c>
    </row>
    <row r="79" customFormat="false" ht="32" hidden="false" customHeight="true" outlineLevel="1" collapsed="false">
      <c r="J79" s="62"/>
      <c r="M79" s="301" t="n">
        <v>76</v>
      </c>
      <c r="N79" s="232" t="s">
        <v>3174</v>
      </c>
      <c r="O79" s="233" t="s">
        <v>3251</v>
      </c>
      <c r="P79" s="232" t="s">
        <v>3176</v>
      </c>
      <c r="Q79" s="54" t="n">
        <v>122.32</v>
      </c>
      <c r="R79" s="55"/>
      <c r="S79" s="56" t="str">
        <f aca="false">IF(ISBLANK(R79),"",IF(ISNUMBER(Q79),ROUND(Q79*R79,2),"Укажите цену"))</f>
        <v/>
      </c>
    </row>
    <row r="80" customFormat="false" ht="32" hidden="false" customHeight="true" outlineLevel="1" collapsed="false">
      <c r="J80" s="62"/>
      <c r="M80" s="301" t="n">
        <v>77</v>
      </c>
      <c r="N80" s="232" t="s">
        <v>3174</v>
      </c>
      <c r="O80" s="233" t="s">
        <v>3252</v>
      </c>
      <c r="P80" s="232" t="s">
        <v>3176</v>
      </c>
      <c r="Q80" s="54" t="n">
        <v>122.32</v>
      </c>
      <c r="R80" s="55"/>
      <c r="S80" s="56" t="str">
        <f aca="false">IF(ISBLANK(R80),"",IF(ISNUMBER(Q80),ROUND(Q80*R80,2),"Укажите цену"))</f>
        <v/>
      </c>
    </row>
    <row r="81" customFormat="false" ht="32" hidden="false" customHeight="true" outlineLevel="1" collapsed="false">
      <c r="J81" s="62"/>
      <c r="M81" s="301" t="n">
        <v>78</v>
      </c>
      <c r="N81" s="232" t="s">
        <v>3174</v>
      </c>
      <c r="O81" s="233" t="s">
        <v>3253</v>
      </c>
      <c r="P81" s="232" t="s">
        <v>3176</v>
      </c>
      <c r="Q81" s="54" t="n">
        <v>122.32</v>
      </c>
      <c r="R81" s="55"/>
      <c r="S81" s="56" t="str">
        <f aca="false">IF(ISBLANK(R81),"",IF(ISNUMBER(Q81),ROUND(Q81*R81,2),"Укажите цену"))</f>
        <v/>
      </c>
    </row>
    <row r="82" customFormat="false" ht="32" hidden="false" customHeight="true" outlineLevel="1" collapsed="false">
      <c r="J82" s="62"/>
      <c r="M82" s="301" t="n">
        <v>79</v>
      </c>
      <c r="N82" s="232" t="s">
        <v>3174</v>
      </c>
      <c r="O82" s="233" t="s">
        <v>3254</v>
      </c>
      <c r="P82" s="232" t="s">
        <v>3176</v>
      </c>
      <c r="Q82" s="54" t="n">
        <v>122.32</v>
      </c>
      <c r="R82" s="55"/>
      <c r="S82" s="56" t="str">
        <f aca="false">IF(ISBLANK(R82),"",IF(ISNUMBER(Q82),ROUND(Q82*R82,2),"Укажите цену"))</f>
        <v/>
      </c>
    </row>
    <row r="83" customFormat="false" ht="32" hidden="false" customHeight="true" outlineLevel="1" collapsed="false">
      <c r="J83" s="62"/>
      <c r="M83" s="301" t="n">
        <v>80</v>
      </c>
      <c r="N83" s="232" t="s">
        <v>3174</v>
      </c>
      <c r="O83" s="233" t="s">
        <v>3255</v>
      </c>
      <c r="P83" s="232" t="s">
        <v>3176</v>
      </c>
      <c r="Q83" s="54" t="n">
        <v>122.32</v>
      </c>
      <c r="R83" s="55"/>
      <c r="S83" s="56" t="str">
        <f aca="false">IF(ISBLANK(R83),"",IF(ISNUMBER(Q83),ROUND(Q83*R83,2),"Укажите цену"))</f>
        <v/>
      </c>
    </row>
    <row r="84" customFormat="false" ht="32" hidden="false" customHeight="true" outlineLevel="1" collapsed="false">
      <c r="J84" s="62"/>
      <c r="M84" s="301" t="n">
        <v>81</v>
      </c>
      <c r="N84" s="232" t="s">
        <v>3174</v>
      </c>
      <c r="O84" s="233" t="s">
        <v>3256</v>
      </c>
      <c r="P84" s="232" t="s">
        <v>3176</v>
      </c>
      <c r="Q84" s="54" t="n">
        <v>122.32</v>
      </c>
      <c r="R84" s="55"/>
      <c r="S84" s="56" t="str">
        <f aca="false">IF(ISBLANK(R84),"",IF(ISNUMBER(Q84),ROUND(Q84*R84,2),"Укажите цену"))</f>
        <v/>
      </c>
    </row>
    <row r="85" customFormat="false" ht="32" hidden="false" customHeight="true" outlineLevel="1" collapsed="false">
      <c r="J85" s="62"/>
      <c r="M85" s="301" t="n">
        <v>82</v>
      </c>
      <c r="N85" s="232" t="s">
        <v>3174</v>
      </c>
      <c r="O85" s="233" t="s">
        <v>3257</v>
      </c>
      <c r="P85" s="232" t="s">
        <v>3176</v>
      </c>
      <c r="Q85" s="54" t="n">
        <v>122.32</v>
      </c>
      <c r="R85" s="55"/>
      <c r="S85" s="56" t="str">
        <f aca="false">IF(ISBLANK(R85),"",IF(ISNUMBER(Q85),ROUND(Q85*R85,2),"Укажите цену"))</f>
        <v/>
      </c>
    </row>
    <row r="86" customFormat="false" ht="32" hidden="false" customHeight="true" outlineLevel="1" collapsed="false">
      <c r="J86" s="62"/>
      <c r="M86" s="301" t="n">
        <v>83</v>
      </c>
      <c r="N86" s="232" t="s">
        <v>3174</v>
      </c>
      <c r="O86" s="233" t="s">
        <v>3258</v>
      </c>
      <c r="P86" s="232" t="s">
        <v>3176</v>
      </c>
      <c r="Q86" s="54" t="n">
        <v>122.32</v>
      </c>
      <c r="R86" s="55"/>
      <c r="S86" s="56" t="str">
        <f aca="false">IF(ISBLANK(R86),"",IF(ISNUMBER(Q86),ROUND(Q86*R86,2),"Укажите цену"))</f>
        <v/>
      </c>
    </row>
    <row r="87" customFormat="false" ht="32" hidden="false" customHeight="true" outlineLevel="1" collapsed="false">
      <c r="J87" s="62"/>
      <c r="M87" s="301" t="n">
        <v>84</v>
      </c>
      <c r="N87" s="232" t="s">
        <v>3174</v>
      </c>
      <c r="O87" s="233" t="s">
        <v>3259</v>
      </c>
      <c r="P87" s="232" t="s">
        <v>3176</v>
      </c>
      <c r="Q87" s="54" t="n">
        <v>122.32</v>
      </c>
      <c r="R87" s="55"/>
      <c r="S87" s="56" t="str">
        <f aca="false">IF(ISBLANK(R87),"",IF(ISNUMBER(Q87),ROUND(Q87*R87,2),"Укажите цену"))</f>
        <v/>
      </c>
    </row>
    <row r="88" customFormat="false" ht="32" hidden="false" customHeight="true" outlineLevel="1" collapsed="false">
      <c r="J88" s="62"/>
      <c r="M88" s="301" t="n">
        <v>85</v>
      </c>
      <c r="N88" s="232" t="s">
        <v>3174</v>
      </c>
      <c r="O88" s="233" t="s">
        <v>3260</v>
      </c>
      <c r="P88" s="232" t="s">
        <v>3176</v>
      </c>
      <c r="Q88" s="54" t="n">
        <v>122.32</v>
      </c>
      <c r="R88" s="55"/>
      <c r="S88" s="56" t="str">
        <f aca="false">IF(ISBLANK(R88),"",IF(ISNUMBER(Q88),ROUND(Q88*R88,2),"Укажите цену"))</f>
        <v/>
      </c>
    </row>
    <row r="89" customFormat="false" ht="32" hidden="false" customHeight="true" outlineLevel="1" collapsed="false">
      <c r="J89" s="62"/>
      <c r="M89" s="301" t="n">
        <v>86</v>
      </c>
      <c r="N89" s="232" t="s">
        <v>3174</v>
      </c>
      <c r="O89" s="233" t="s">
        <v>3261</v>
      </c>
      <c r="P89" s="232" t="s">
        <v>3176</v>
      </c>
      <c r="Q89" s="54" t="n">
        <v>122.32</v>
      </c>
      <c r="R89" s="55"/>
      <c r="S89" s="56" t="str">
        <f aca="false">IF(ISBLANK(R89),"",IF(ISNUMBER(Q89),ROUND(Q89*R89,2),"Укажите цену"))</f>
        <v/>
      </c>
    </row>
    <row r="90" customFormat="false" ht="32" hidden="false" customHeight="true" outlineLevel="1" collapsed="false">
      <c r="J90" s="62"/>
      <c r="M90" s="301" t="n">
        <v>87</v>
      </c>
      <c r="N90" s="232" t="s">
        <v>3174</v>
      </c>
      <c r="O90" s="233" t="s">
        <v>3262</v>
      </c>
      <c r="P90" s="232" t="s">
        <v>3176</v>
      </c>
      <c r="Q90" s="54" t="n">
        <v>122.32</v>
      </c>
      <c r="R90" s="55"/>
      <c r="S90" s="56" t="str">
        <f aca="false">IF(ISBLANK(R90),"",IF(ISNUMBER(Q90),ROUND(Q90*R90,2),"Укажите цену"))</f>
        <v/>
      </c>
    </row>
    <row r="91" customFormat="false" ht="32" hidden="false" customHeight="true" outlineLevel="1" collapsed="false">
      <c r="J91" s="62"/>
      <c r="M91" s="301" t="n">
        <v>88</v>
      </c>
      <c r="N91" s="232" t="s">
        <v>3174</v>
      </c>
      <c r="O91" s="233" t="s">
        <v>3263</v>
      </c>
      <c r="P91" s="232" t="s">
        <v>3176</v>
      </c>
      <c r="Q91" s="54" t="n">
        <v>122.32</v>
      </c>
      <c r="R91" s="55"/>
      <c r="S91" s="56" t="str">
        <f aca="false">IF(ISBLANK(R91),"",IF(ISNUMBER(Q91),ROUND(Q91*R91,2),"Укажите цену"))</f>
        <v/>
      </c>
    </row>
    <row r="92" customFormat="false" ht="32" hidden="false" customHeight="true" outlineLevel="1" collapsed="false">
      <c r="J92" s="62"/>
      <c r="M92" s="301" t="n">
        <v>89</v>
      </c>
      <c r="N92" s="232" t="s">
        <v>3174</v>
      </c>
      <c r="O92" s="233" t="s">
        <v>3264</v>
      </c>
      <c r="P92" s="232" t="s">
        <v>3176</v>
      </c>
      <c r="Q92" s="54" t="n">
        <v>122.32</v>
      </c>
      <c r="R92" s="55"/>
      <c r="S92" s="56" t="str">
        <f aca="false">IF(ISBLANK(R92),"",IF(ISNUMBER(Q92),ROUND(Q92*R92,2),"Укажите цену"))</f>
        <v/>
      </c>
    </row>
    <row r="93" customFormat="false" ht="32" hidden="false" customHeight="true" outlineLevel="1" collapsed="false">
      <c r="J93" s="62"/>
      <c r="M93" s="301" t="n">
        <v>90</v>
      </c>
      <c r="N93" s="232" t="s">
        <v>3174</v>
      </c>
      <c r="O93" s="233" t="s">
        <v>3265</v>
      </c>
      <c r="P93" s="232" t="s">
        <v>3176</v>
      </c>
      <c r="Q93" s="54" t="n">
        <v>122.32</v>
      </c>
      <c r="R93" s="55"/>
      <c r="S93" s="56" t="str">
        <f aca="false">IF(ISBLANK(R93),"",IF(ISNUMBER(Q93),ROUND(Q93*R93,2),"Укажите цену"))</f>
        <v/>
      </c>
    </row>
    <row r="94" customFormat="false" ht="32" hidden="false" customHeight="true" outlineLevel="1" collapsed="false">
      <c r="J94" s="62"/>
      <c r="M94" s="301" t="n">
        <v>91</v>
      </c>
      <c r="N94" s="232" t="s">
        <v>3174</v>
      </c>
      <c r="O94" s="233" t="s">
        <v>3266</v>
      </c>
      <c r="P94" s="232" t="s">
        <v>3176</v>
      </c>
      <c r="Q94" s="54" t="n">
        <v>122.32</v>
      </c>
      <c r="R94" s="55"/>
      <c r="S94" s="56" t="str">
        <f aca="false">IF(ISBLANK(R94),"",IF(ISNUMBER(Q94),ROUND(Q94*R94,2),"Укажите цену"))</f>
        <v/>
      </c>
    </row>
    <row r="95" customFormat="false" ht="32" hidden="false" customHeight="true" outlineLevel="1" collapsed="false">
      <c r="J95" s="62"/>
      <c r="M95" s="301" t="n">
        <v>92</v>
      </c>
      <c r="N95" s="232" t="s">
        <v>3174</v>
      </c>
      <c r="O95" s="233" t="s">
        <v>3267</v>
      </c>
      <c r="P95" s="232" t="s">
        <v>3176</v>
      </c>
      <c r="Q95" s="54" t="n">
        <v>122.32</v>
      </c>
      <c r="R95" s="55"/>
      <c r="S95" s="56" t="str">
        <f aca="false">IF(ISBLANK(R95),"",IF(ISNUMBER(Q95),ROUND(Q95*R95,2),"Укажите цену"))</f>
        <v/>
      </c>
    </row>
    <row r="96" customFormat="false" ht="32" hidden="false" customHeight="true" outlineLevel="1" collapsed="false">
      <c r="J96" s="62"/>
      <c r="M96" s="301" t="n">
        <v>93</v>
      </c>
      <c r="N96" s="232" t="s">
        <v>3174</v>
      </c>
      <c r="O96" s="233" t="s">
        <v>3268</v>
      </c>
      <c r="P96" s="232" t="s">
        <v>3176</v>
      </c>
      <c r="Q96" s="54" t="n">
        <v>122.32</v>
      </c>
      <c r="R96" s="55"/>
      <c r="S96" s="56" t="str">
        <f aca="false">IF(ISBLANK(R96),"",IF(ISNUMBER(Q96),ROUND(Q96*R96,2),"Укажите цену"))</f>
        <v/>
      </c>
    </row>
    <row r="97" customFormat="false" ht="32" hidden="false" customHeight="true" outlineLevel="1" collapsed="false">
      <c r="J97" s="62"/>
      <c r="M97" s="301" t="n">
        <v>94</v>
      </c>
      <c r="N97" s="232" t="s">
        <v>3174</v>
      </c>
      <c r="O97" s="233" t="s">
        <v>3269</v>
      </c>
      <c r="P97" s="232" t="s">
        <v>3176</v>
      </c>
      <c r="Q97" s="54" t="n">
        <v>122.32</v>
      </c>
      <c r="R97" s="55"/>
      <c r="S97" s="56" t="str">
        <f aca="false">IF(ISBLANK(R97),"",IF(ISNUMBER(Q97),ROUND(Q97*R97,2),"Укажите цену"))</f>
        <v/>
      </c>
    </row>
    <row r="98" customFormat="false" ht="32" hidden="false" customHeight="true" outlineLevel="1" collapsed="false">
      <c r="J98" s="62"/>
      <c r="M98" s="301" t="n">
        <v>95</v>
      </c>
      <c r="N98" s="232" t="s">
        <v>3174</v>
      </c>
      <c r="O98" s="233" t="s">
        <v>3270</v>
      </c>
      <c r="P98" s="232" t="s">
        <v>3176</v>
      </c>
      <c r="Q98" s="54" t="n">
        <v>122.32</v>
      </c>
      <c r="R98" s="55"/>
      <c r="S98" s="56" t="str">
        <f aca="false">IF(ISBLANK(R98),"",IF(ISNUMBER(Q98),ROUND(Q98*R98,2),"Укажите цену"))</f>
        <v/>
      </c>
    </row>
    <row r="99" customFormat="false" ht="32" hidden="false" customHeight="true" outlineLevel="1" collapsed="false">
      <c r="J99" s="62"/>
      <c r="M99" s="301" t="n">
        <v>96</v>
      </c>
      <c r="N99" s="232" t="s">
        <v>3174</v>
      </c>
      <c r="O99" s="233" t="s">
        <v>3271</v>
      </c>
      <c r="P99" s="232" t="s">
        <v>3176</v>
      </c>
      <c r="Q99" s="54" t="n">
        <v>122.32</v>
      </c>
      <c r="R99" s="55"/>
      <c r="S99" s="56" t="str">
        <f aca="false">IF(ISBLANK(R99),"",IF(ISNUMBER(Q99),ROUND(Q99*R99,2),"Укажите цену"))</f>
        <v/>
      </c>
    </row>
    <row r="100" customFormat="false" ht="32" hidden="false" customHeight="true" outlineLevel="1" collapsed="false">
      <c r="J100" s="62"/>
      <c r="M100" s="301" t="n">
        <v>97</v>
      </c>
      <c r="N100" s="232" t="s">
        <v>3174</v>
      </c>
      <c r="O100" s="233" t="s">
        <v>3272</v>
      </c>
      <c r="P100" s="232" t="s">
        <v>3176</v>
      </c>
      <c r="Q100" s="54" t="n">
        <v>122.32</v>
      </c>
      <c r="R100" s="55"/>
      <c r="S100" s="56" t="str">
        <f aca="false">IF(ISBLANK(R100),"",IF(ISNUMBER(Q100),ROUND(Q100*R100,2),"Укажите цену"))</f>
        <v/>
      </c>
    </row>
    <row r="101" customFormat="false" ht="32" hidden="false" customHeight="true" outlineLevel="1" collapsed="false">
      <c r="J101" s="62"/>
      <c r="M101" s="301" t="n">
        <v>98</v>
      </c>
      <c r="N101" s="232" t="s">
        <v>3174</v>
      </c>
      <c r="O101" s="233" t="s">
        <v>3273</v>
      </c>
      <c r="P101" s="232" t="s">
        <v>3176</v>
      </c>
      <c r="Q101" s="54" t="n">
        <v>122.32</v>
      </c>
      <c r="R101" s="55"/>
      <c r="S101" s="56" t="str">
        <f aca="false">IF(ISBLANK(R101),"",IF(ISNUMBER(Q101),ROUND(Q101*R101,2),"Укажите цену"))</f>
        <v/>
      </c>
    </row>
    <row r="102" customFormat="false" ht="32" hidden="false" customHeight="true" outlineLevel="1" collapsed="false">
      <c r="J102" s="62"/>
      <c r="M102" s="301" t="n">
        <v>99</v>
      </c>
      <c r="N102" s="232" t="s">
        <v>3174</v>
      </c>
      <c r="O102" s="233" t="s">
        <v>3274</v>
      </c>
      <c r="P102" s="232" t="s">
        <v>3176</v>
      </c>
      <c r="Q102" s="54" t="n">
        <v>122.32</v>
      </c>
      <c r="R102" s="55"/>
      <c r="S102" s="56" t="str">
        <f aca="false">IF(ISBLANK(R102),"",IF(ISNUMBER(Q102),ROUND(Q102*R102,2),"Укажите цену"))</f>
        <v/>
      </c>
    </row>
    <row r="103" customFormat="false" ht="32" hidden="false" customHeight="true" outlineLevel="1" collapsed="false">
      <c r="J103" s="62"/>
      <c r="M103" s="301" t="n">
        <v>100</v>
      </c>
      <c r="N103" s="232" t="s">
        <v>3174</v>
      </c>
      <c r="O103" s="233" t="s">
        <v>3275</v>
      </c>
      <c r="P103" s="232" t="s">
        <v>3176</v>
      </c>
      <c r="Q103" s="54" t="n">
        <v>122.32</v>
      </c>
      <c r="R103" s="55"/>
      <c r="S103" s="56" t="str">
        <f aca="false">IF(ISBLANK(R103),"",IF(ISNUMBER(Q103),ROUND(Q103*R103,2),"Укажите цену"))</f>
        <v/>
      </c>
    </row>
    <row r="104" customFormat="false" ht="32" hidden="false" customHeight="true" outlineLevel="1" collapsed="false">
      <c r="J104" s="62"/>
      <c r="M104" s="301" t="n">
        <v>101</v>
      </c>
      <c r="N104" s="232" t="s">
        <v>3174</v>
      </c>
      <c r="O104" s="233" t="s">
        <v>3276</v>
      </c>
      <c r="P104" s="232" t="s">
        <v>3176</v>
      </c>
      <c r="Q104" s="54" t="n">
        <v>122.32</v>
      </c>
      <c r="R104" s="55"/>
      <c r="S104" s="56" t="str">
        <f aca="false">IF(ISBLANK(R104),"",IF(ISNUMBER(Q104),ROUND(Q104*R104,2),"Укажите цену"))</f>
        <v/>
      </c>
    </row>
    <row r="105" customFormat="false" ht="32" hidden="false" customHeight="true" outlineLevel="1" collapsed="false">
      <c r="J105" s="62"/>
      <c r="M105" s="301" t="n">
        <v>102</v>
      </c>
      <c r="N105" s="232" t="s">
        <v>3174</v>
      </c>
      <c r="O105" s="233" t="s">
        <v>3277</v>
      </c>
      <c r="P105" s="232" t="s">
        <v>3176</v>
      </c>
      <c r="Q105" s="54" t="n">
        <v>122.32</v>
      </c>
      <c r="R105" s="55"/>
      <c r="S105" s="56" t="str">
        <f aca="false">IF(ISBLANK(R105),"",IF(ISNUMBER(Q105),ROUND(Q105*R105,2),"Укажите цену"))</f>
        <v/>
      </c>
    </row>
    <row r="106" customFormat="false" ht="32" hidden="false" customHeight="true" outlineLevel="1" collapsed="false">
      <c r="J106" s="62"/>
      <c r="M106" s="301" t="n">
        <v>103</v>
      </c>
      <c r="N106" s="232" t="s">
        <v>3174</v>
      </c>
      <c r="O106" s="233" t="s">
        <v>3278</v>
      </c>
      <c r="P106" s="232" t="s">
        <v>3176</v>
      </c>
      <c r="Q106" s="54" t="n">
        <v>122.32</v>
      </c>
      <c r="R106" s="55"/>
      <c r="S106" s="56" t="str">
        <f aca="false">IF(ISBLANK(R106),"",IF(ISNUMBER(Q106),ROUND(Q106*R106,2),"Укажите цену"))</f>
        <v/>
      </c>
    </row>
    <row r="107" customFormat="false" ht="32" hidden="false" customHeight="true" outlineLevel="1" collapsed="false">
      <c r="J107" s="62"/>
      <c r="M107" s="301" t="n">
        <v>104</v>
      </c>
      <c r="N107" s="232" t="s">
        <v>3174</v>
      </c>
      <c r="O107" s="233" t="s">
        <v>3279</v>
      </c>
      <c r="P107" s="232" t="s">
        <v>3176</v>
      </c>
      <c r="Q107" s="54" t="n">
        <v>122.32</v>
      </c>
      <c r="R107" s="55"/>
      <c r="S107" s="56" t="str">
        <f aca="false">IF(ISBLANK(R107),"",IF(ISNUMBER(Q107),ROUND(Q107*R107,2),"Укажите цену"))</f>
        <v/>
      </c>
    </row>
    <row r="108" customFormat="false" ht="32" hidden="false" customHeight="true" outlineLevel="1" collapsed="false">
      <c r="J108" s="62"/>
      <c r="M108" s="301" t="n">
        <v>105</v>
      </c>
      <c r="N108" s="232" t="s">
        <v>3174</v>
      </c>
      <c r="O108" s="233" t="s">
        <v>3280</v>
      </c>
      <c r="P108" s="232" t="s">
        <v>3176</v>
      </c>
      <c r="Q108" s="54" t="n">
        <v>122.32</v>
      </c>
      <c r="R108" s="55"/>
      <c r="S108" s="56" t="str">
        <f aca="false">IF(ISBLANK(R108),"",IF(ISNUMBER(Q108),ROUND(Q108*R108,2),"Укажите цену"))</f>
        <v/>
      </c>
    </row>
    <row r="109" customFormat="false" ht="32" hidden="false" customHeight="true" outlineLevel="1" collapsed="false">
      <c r="J109" s="62"/>
      <c r="M109" s="301" t="n">
        <v>106</v>
      </c>
      <c r="N109" s="232" t="s">
        <v>3174</v>
      </c>
      <c r="O109" s="233" t="s">
        <v>3281</v>
      </c>
      <c r="P109" s="232" t="s">
        <v>3176</v>
      </c>
      <c r="Q109" s="54" t="n">
        <v>122.32</v>
      </c>
      <c r="R109" s="55"/>
      <c r="S109" s="56" t="str">
        <f aca="false">IF(ISBLANK(R109),"",IF(ISNUMBER(Q109),ROUND(Q109*R109,2),"Укажите цену"))</f>
        <v/>
      </c>
    </row>
    <row r="110" customFormat="false" ht="32" hidden="false" customHeight="true" outlineLevel="1" collapsed="false">
      <c r="J110" s="62"/>
      <c r="M110" s="301" t="n">
        <v>107</v>
      </c>
      <c r="N110" s="232" t="s">
        <v>3174</v>
      </c>
      <c r="O110" s="233" t="s">
        <v>3282</v>
      </c>
      <c r="P110" s="232" t="s">
        <v>3176</v>
      </c>
      <c r="Q110" s="54" t="n">
        <v>122.32</v>
      </c>
      <c r="R110" s="55"/>
      <c r="S110" s="56" t="str">
        <f aca="false">IF(ISBLANK(R110),"",IF(ISNUMBER(Q110),ROUND(Q110*R110,2),"Укажите цену"))</f>
        <v/>
      </c>
    </row>
    <row r="111" customFormat="false" ht="32" hidden="false" customHeight="true" outlineLevel="1" collapsed="false">
      <c r="J111" s="62"/>
      <c r="M111" s="301" t="n">
        <v>108</v>
      </c>
      <c r="N111" s="232" t="s">
        <v>3174</v>
      </c>
      <c r="O111" s="233" t="s">
        <v>3283</v>
      </c>
      <c r="P111" s="232" t="s">
        <v>3176</v>
      </c>
      <c r="Q111" s="54" t="n">
        <v>122.32</v>
      </c>
      <c r="R111" s="55"/>
      <c r="S111" s="56" t="str">
        <f aca="false">IF(ISBLANK(R111),"",IF(ISNUMBER(Q111),ROUND(Q111*R111,2),"Укажите цену"))</f>
        <v/>
      </c>
    </row>
    <row r="112" customFormat="false" ht="32" hidden="false" customHeight="true" outlineLevel="1" collapsed="false">
      <c r="J112" s="62"/>
      <c r="M112" s="301" t="n">
        <v>109</v>
      </c>
      <c r="N112" s="232" t="s">
        <v>3174</v>
      </c>
      <c r="O112" s="233" t="s">
        <v>3277</v>
      </c>
      <c r="P112" s="232" t="s">
        <v>3176</v>
      </c>
      <c r="Q112" s="54" t="n">
        <v>122.32</v>
      </c>
      <c r="R112" s="55"/>
      <c r="S112" s="56" t="str">
        <f aca="false">IF(ISBLANK(R112),"",IF(ISNUMBER(Q112),ROUND(Q112*R112,2),"Укажите цену"))</f>
        <v/>
      </c>
    </row>
    <row r="113" customFormat="false" ht="32" hidden="false" customHeight="true" outlineLevel="1" collapsed="false">
      <c r="J113" s="62"/>
      <c r="M113" s="301" t="n">
        <v>110</v>
      </c>
      <c r="N113" s="232" t="s">
        <v>3174</v>
      </c>
      <c r="O113" s="233" t="s">
        <v>3284</v>
      </c>
      <c r="P113" s="232" t="s">
        <v>3176</v>
      </c>
      <c r="Q113" s="54" t="n">
        <v>122.32</v>
      </c>
      <c r="R113" s="55"/>
      <c r="S113" s="56" t="str">
        <f aca="false">IF(ISBLANK(R113),"",IF(ISNUMBER(Q113),ROUND(Q113*R113,2),"Укажите цену"))</f>
        <v/>
      </c>
    </row>
    <row r="114" customFormat="false" ht="32" hidden="false" customHeight="true" outlineLevel="1" collapsed="false">
      <c r="J114" s="62"/>
      <c r="M114" s="301" t="n">
        <v>111</v>
      </c>
      <c r="N114" s="232" t="s">
        <v>3174</v>
      </c>
      <c r="O114" s="233" t="s">
        <v>3285</v>
      </c>
      <c r="P114" s="232" t="s">
        <v>3176</v>
      </c>
      <c r="Q114" s="54" t="n">
        <v>122.32</v>
      </c>
      <c r="R114" s="55"/>
      <c r="S114" s="56" t="str">
        <f aca="false">IF(ISBLANK(R114),"",IF(ISNUMBER(Q114),ROUND(Q114*R114,2),"Укажите цену"))</f>
        <v/>
      </c>
    </row>
    <row r="115" customFormat="false" ht="32" hidden="false" customHeight="true" outlineLevel="1" collapsed="false">
      <c r="J115" s="62"/>
      <c r="M115" s="301" t="n">
        <v>112</v>
      </c>
      <c r="N115" s="232" t="s">
        <v>3174</v>
      </c>
      <c r="O115" s="233" t="s">
        <v>3286</v>
      </c>
      <c r="P115" s="232" t="s">
        <v>3176</v>
      </c>
      <c r="Q115" s="54" t="n">
        <v>122.32</v>
      </c>
      <c r="R115" s="55"/>
      <c r="S115" s="56" t="str">
        <f aca="false">IF(ISBLANK(R115),"",IF(ISNUMBER(Q115),ROUND(Q115*R115,2),"Укажите цену"))</f>
        <v/>
      </c>
    </row>
    <row r="116" customFormat="false" ht="32" hidden="false" customHeight="true" outlineLevel="1" collapsed="false">
      <c r="J116" s="62"/>
      <c r="M116" s="301" t="n">
        <v>113</v>
      </c>
      <c r="N116" s="232" t="s">
        <v>3174</v>
      </c>
      <c r="O116" s="233" t="s">
        <v>3287</v>
      </c>
      <c r="P116" s="232" t="s">
        <v>3176</v>
      </c>
      <c r="Q116" s="54" t="n">
        <v>122.32</v>
      </c>
      <c r="R116" s="55"/>
      <c r="S116" s="56" t="str">
        <f aca="false">IF(ISBLANK(R116),"",IF(ISNUMBER(Q116),ROUND(Q116*R116,2),"Укажите цену"))</f>
        <v/>
      </c>
    </row>
    <row r="117" customFormat="false" ht="32" hidden="false" customHeight="true" outlineLevel="1" collapsed="false">
      <c r="J117" s="62"/>
      <c r="M117" s="301" t="n">
        <v>114</v>
      </c>
      <c r="N117" s="232" t="s">
        <v>3174</v>
      </c>
      <c r="O117" s="233" t="s">
        <v>3288</v>
      </c>
      <c r="P117" s="232" t="s">
        <v>3176</v>
      </c>
      <c r="Q117" s="54" t="n">
        <v>122.32</v>
      </c>
      <c r="R117" s="55"/>
      <c r="S117" s="56" t="str">
        <f aca="false">IF(ISBLANK(R117),"",IF(ISNUMBER(Q117),ROUND(Q117*R117,2),"Укажите цену"))</f>
        <v/>
      </c>
    </row>
    <row r="118" customFormat="false" ht="32" hidden="false" customHeight="true" outlineLevel="1" collapsed="false">
      <c r="J118" s="62"/>
      <c r="M118" s="301" t="n">
        <v>115</v>
      </c>
      <c r="N118" s="232" t="s">
        <v>3174</v>
      </c>
      <c r="O118" s="233" t="s">
        <v>3289</v>
      </c>
      <c r="P118" s="232" t="s">
        <v>3176</v>
      </c>
      <c r="Q118" s="54" t="n">
        <v>122.32</v>
      </c>
      <c r="R118" s="55"/>
      <c r="S118" s="56" t="str">
        <f aca="false">IF(ISBLANK(R118),"",IF(ISNUMBER(Q118),ROUND(Q118*R118,2),"Укажите цену"))</f>
        <v/>
      </c>
    </row>
    <row r="119" customFormat="false" ht="32" hidden="false" customHeight="true" outlineLevel="1" collapsed="false">
      <c r="J119" s="62"/>
      <c r="M119" s="301" t="n">
        <v>116</v>
      </c>
      <c r="N119" s="232" t="s">
        <v>3174</v>
      </c>
      <c r="O119" s="233" t="s">
        <v>3290</v>
      </c>
      <c r="P119" s="232" t="s">
        <v>3176</v>
      </c>
      <c r="Q119" s="54" t="n">
        <v>122.32</v>
      </c>
      <c r="R119" s="55"/>
      <c r="S119" s="56" t="str">
        <f aca="false">IF(ISBLANK(R119),"",IF(ISNUMBER(Q119),ROUND(Q119*R119,2),"Укажите цену"))</f>
        <v/>
      </c>
    </row>
    <row r="120" customFormat="false" ht="32" hidden="false" customHeight="true" outlineLevel="1" collapsed="false">
      <c r="J120" s="62"/>
      <c r="M120" s="301" t="n">
        <v>117</v>
      </c>
      <c r="N120" s="232" t="s">
        <v>3174</v>
      </c>
      <c r="O120" s="233" t="s">
        <v>3291</v>
      </c>
      <c r="P120" s="232" t="s">
        <v>3176</v>
      </c>
      <c r="Q120" s="54" t="n">
        <v>122.32</v>
      </c>
      <c r="R120" s="55"/>
      <c r="S120" s="56" t="str">
        <f aca="false">IF(ISBLANK(R120),"",IF(ISNUMBER(Q120),ROUND(Q120*R120,2),"Укажите цену"))</f>
        <v/>
      </c>
    </row>
    <row r="121" customFormat="false" ht="32" hidden="false" customHeight="true" outlineLevel="1" collapsed="false">
      <c r="J121" s="62"/>
      <c r="M121" s="301" t="n">
        <v>118</v>
      </c>
      <c r="N121" s="232" t="s">
        <v>3174</v>
      </c>
      <c r="O121" s="233" t="s">
        <v>3292</v>
      </c>
      <c r="P121" s="232" t="s">
        <v>3176</v>
      </c>
      <c r="Q121" s="54" t="n">
        <v>122.32</v>
      </c>
      <c r="R121" s="55"/>
      <c r="S121" s="56" t="str">
        <f aca="false">IF(ISBLANK(R121),"",IF(ISNUMBER(Q121),ROUND(Q121*R121,2),"Укажите цену"))</f>
        <v/>
      </c>
    </row>
    <row r="122" customFormat="false" ht="32" hidden="false" customHeight="true" outlineLevel="1" collapsed="false">
      <c r="J122" s="62"/>
      <c r="M122" s="301" t="n">
        <v>119</v>
      </c>
      <c r="N122" s="232" t="s">
        <v>3174</v>
      </c>
      <c r="O122" s="233" t="s">
        <v>3293</v>
      </c>
      <c r="P122" s="232" t="s">
        <v>3176</v>
      </c>
      <c r="Q122" s="54" t="n">
        <v>122.32</v>
      </c>
      <c r="R122" s="55"/>
      <c r="S122" s="56" t="str">
        <f aca="false">IF(ISBLANK(R122),"",IF(ISNUMBER(Q122),ROUND(Q122*R122,2),"Укажите цену"))</f>
        <v/>
      </c>
    </row>
    <row r="123" customFormat="false" ht="32" hidden="false" customHeight="true" outlineLevel="1" collapsed="false">
      <c r="J123" s="62"/>
      <c r="M123" s="301" t="n">
        <v>120</v>
      </c>
      <c r="N123" s="232" t="s">
        <v>3174</v>
      </c>
      <c r="O123" s="233" t="s">
        <v>3294</v>
      </c>
      <c r="P123" s="232" t="s">
        <v>3176</v>
      </c>
      <c r="Q123" s="54" t="n">
        <v>122.32</v>
      </c>
      <c r="R123" s="55"/>
      <c r="S123" s="56" t="str">
        <f aca="false">IF(ISBLANK(R123),"",IF(ISNUMBER(Q123),ROUND(Q123*R123,2),"Укажите цену"))</f>
        <v/>
      </c>
    </row>
    <row r="124" customFormat="false" ht="32" hidden="false" customHeight="true" outlineLevel="1" collapsed="false">
      <c r="J124" s="62"/>
      <c r="M124" s="301" t="n">
        <v>121</v>
      </c>
      <c r="N124" s="232" t="s">
        <v>3174</v>
      </c>
      <c r="O124" s="233" t="s">
        <v>3295</v>
      </c>
      <c r="P124" s="232" t="s">
        <v>3176</v>
      </c>
      <c r="Q124" s="54" t="n">
        <v>122.32</v>
      </c>
      <c r="R124" s="55"/>
      <c r="S124" s="56" t="str">
        <f aca="false">IF(ISBLANK(R124),"",IF(ISNUMBER(Q124),ROUND(Q124*R124,2),"Укажите цену"))</f>
        <v/>
      </c>
    </row>
    <row r="125" customFormat="false" ht="32" hidden="false" customHeight="true" outlineLevel="1" collapsed="false">
      <c r="J125" s="62"/>
      <c r="M125" s="301" t="n">
        <v>122</v>
      </c>
      <c r="N125" s="232" t="s">
        <v>3174</v>
      </c>
      <c r="O125" s="233" t="s">
        <v>3296</v>
      </c>
      <c r="P125" s="232" t="s">
        <v>3176</v>
      </c>
      <c r="Q125" s="54" t="n">
        <v>122.32</v>
      </c>
      <c r="R125" s="55"/>
      <c r="S125" s="56" t="str">
        <f aca="false">IF(ISBLANK(R125),"",IF(ISNUMBER(Q125),ROUND(Q125*R125,2),"Укажите цену"))</f>
        <v/>
      </c>
    </row>
    <row r="126" customFormat="false" ht="32" hidden="false" customHeight="true" outlineLevel="1" collapsed="false">
      <c r="J126" s="62"/>
      <c r="M126" s="301" t="n">
        <v>123</v>
      </c>
      <c r="N126" s="232" t="s">
        <v>3174</v>
      </c>
      <c r="O126" s="233" t="s">
        <v>3297</v>
      </c>
      <c r="P126" s="232" t="s">
        <v>3176</v>
      </c>
      <c r="Q126" s="54" t="n">
        <v>122.32</v>
      </c>
      <c r="R126" s="55"/>
      <c r="S126" s="56" t="str">
        <f aca="false">IF(ISBLANK(R126),"",IF(ISNUMBER(Q126),ROUND(Q126*R126,2),"Укажите цену"))</f>
        <v/>
      </c>
    </row>
    <row r="127" customFormat="false" ht="32" hidden="false" customHeight="true" outlineLevel="1" collapsed="false">
      <c r="J127" s="62"/>
      <c r="M127" s="301" t="n">
        <v>124</v>
      </c>
      <c r="N127" s="232" t="s">
        <v>3174</v>
      </c>
      <c r="O127" s="233" t="s">
        <v>3298</v>
      </c>
      <c r="P127" s="232" t="s">
        <v>3176</v>
      </c>
      <c r="Q127" s="54" t="n">
        <v>122.32</v>
      </c>
      <c r="R127" s="55"/>
      <c r="S127" s="56" t="str">
        <f aca="false">IF(ISBLANK(R127),"",IF(ISNUMBER(Q127),ROUND(Q127*R127,2),"Укажите цену"))</f>
        <v/>
      </c>
    </row>
    <row r="128" customFormat="false" ht="32" hidden="false" customHeight="true" outlineLevel="1" collapsed="false">
      <c r="J128" s="62"/>
      <c r="M128" s="301" t="n">
        <v>125</v>
      </c>
      <c r="N128" s="232" t="s">
        <v>3174</v>
      </c>
      <c r="O128" s="233" t="s">
        <v>3299</v>
      </c>
      <c r="P128" s="232" t="s">
        <v>3176</v>
      </c>
      <c r="Q128" s="54" t="n">
        <v>122.32</v>
      </c>
      <c r="R128" s="55"/>
      <c r="S128" s="56" t="str">
        <f aca="false">IF(ISBLANK(R128),"",IF(ISNUMBER(Q128),ROUND(Q128*R128,2),"Укажите цену"))</f>
        <v/>
      </c>
    </row>
    <row r="129" customFormat="false" ht="32" hidden="false" customHeight="true" outlineLevel="1" collapsed="false">
      <c r="J129" s="62"/>
      <c r="M129" s="301" t="n">
        <v>126</v>
      </c>
      <c r="N129" s="232" t="s">
        <v>3174</v>
      </c>
      <c r="O129" s="233" t="s">
        <v>3300</v>
      </c>
      <c r="P129" s="232" t="s">
        <v>3176</v>
      </c>
      <c r="Q129" s="54" t="n">
        <v>122.32</v>
      </c>
      <c r="R129" s="55"/>
      <c r="S129" s="56" t="str">
        <f aca="false">IF(ISBLANK(R129),"",IF(ISNUMBER(Q129),ROUND(Q129*R129,2),"Укажите цену"))</f>
        <v/>
      </c>
    </row>
    <row r="130" customFormat="false" ht="32" hidden="false" customHeight="true" outlineLevel="1" collapsed="false">
      <c r="J130" s="62"/>
      <c r="M130" s="301" t="n">
        <v>127</v>
      </c>
      <c r="N130" s="232" t="s">
        <v>3174</v>
      </c>
      <c r="O130" s="233" t="s">
        <v>3301</v>
      </c>
      <c r="P130" s="232" t="s">
        <v>3176</v>
      </c>
      <c r="Q130" s="54" t="n">
        <v>122.32</v>
      </c>
      <c r="R130" s="55"/>
      <c r="S130" s="56" t="str">
        <f aca="false">IF(ISBLANK(R130),"",IF(ISNUMBER(Q130),ROUND(Q130*R130,2),"Укажите цену"))</f>
        <v/>
      </c>
    </row>
    <row r="131" customFormat="false" ht="32" hidden="false" customHeight="true" outlineLevel="1" collapsed="false">
      <c r="J131" s="62"/>
      <c r="M131" s="301" t="n">
        <v>128</v>
      </c>
      <c r="N131" s="232" t="s">
        <v>3174</v>
      </c>
      <c r="O131" s="233" t="s">
        <v>3302</v>
      </c>
      <c r="P131" s="232" t="s">
        <v>3176</v>
      </c>
      <c r="Q131" s="54" t="n">
        <v>122.32</v>
      </c>
      <c r="R131" s="55"/>
      <c r="S131" s="56" t="str">
        <f aca="false">IF(ISBLANK(R131),"",IF(ISNUMBER(Q131),ROUND(Q131*R131,2),"Укажите цену"))</f>
        <v/>
      </c>
    </row>
    <row r="132" customFormat="false" ht="32" hidden="false" customHeight="true" outlineLevel="1" collapsed="false">
      <c r="J132" s="62"/>
      <c r="M132" s="301" t="n">
        <v>129</v>
      </c>
      <c r="N132" s="232" t="s">
        <v>3174</v>
      </c>
      <c r="O132" s="233" t="s">
        <v>3303</v>
      </c>
      <c r="P132" s="232" t="s">
        <v>3176</v>
      </c>
      <c r="Q132" s="54" t="n">
        <v>122.32</v>
      </c>
      <c r="R132" s="55"/>
      <c r="S132" s="56" t="str">
        <f aca="false">IF(ISBLANK(R132),"",IF(ISNUMBER(Q132),ROUND(Q132*R132,2),"Укажите цену"))</f>
        <v/>
      </c>
    </row>
    <row r="133" customFormat="false" ht="32" hidden="false" customHeight="true" outlineLevel="1" collapsed="false">
      <c r="J133" s="62"/>
      <c r="M133" s="301" t="n">
        <v>130</v>
      </c>
      <c r="N133" s="232" t="s">
        <v>3174</v>
      </c>
      <c r="O133" s="233" t="s">
        <v>3304</v>
      </c>
      <c r="P133" s="232" t="s">
        <v>3176</v>
      </c>
      <c r="Q133" s="54" t="n">
        <v>122.32</v>
      </c>
      <c r="R133" s="55"/>
      <c r="S133" s="56" t="str">
        <f aca="false">IF(ISBLANK(R133),"",IF(ISNUMBER(Q133),ROUND(Q133*R133,2),"Укажите цену"))</f>
        <v/>
      </c>
    </row>
    <row r="134" customFormat="false" ht="32" hidden="false" customHeight="true" outlineLevel="1" collapsed="false">
      <c r="J134" s="62"/>
      <c r="M134" s="301" t="n">
        <v>131</v>
      </c>
      <c r="N134" s="232" t="s">
        <v>3174</v>
      </c>
      <c r="O134" s="233" t="s">
        <v>3305</v>
      </c>
      <c r="P134" s="232" t="s">
        <v>3176</v>
      </c>
      <c r="Q134" s="54" t="n">
        <v>122.32</v>
      </c>
      <c r="R134" s="55"/>
      <c r="S134" s="56" t="str">
        <f aca="false">IF(ISBLANK(R134),"",IF(ISNUMBER(Q134),ROUND(Q134*R134,2),"Укажите цену"))</f>
        <v/>
      </c>
    </row>
    <row r="135" customFormat="false" ht="32" hidden="false" customHeight="true" outlineLevel="1" collapsed="false">
      <c r="J135" s="62"/>
      <c r="M135" s="301" t="n">
        <v>132</v>
      </c>
      <c r="N135" s="232" t="s">
        <v>3174</v>
      </c>
      <c r="O135" s="233" t="s">
        <v>3306</v>
      </c>
      <c r="P135" s="232" t="s">
        <v>3176</v>
      </c>
      <c r="Q135" s="54" t="n">
        <v>122.32</v>
      </c>
      <c r="R135" s="55"/>
      <c r="S135" s="56" t="str">
        <f aca="false">IF(ISBLANK(R135),"",IF(ISNUMBER(Q135),ROUND(Q135*R135,2),"Укажите цену"))</f>
        <v/>
      </c>
    </row>
    <row r="136" customFormat="false" ht="32" hidden="false" customHeight="true" outlineLevel="1" collapsed="false">
      <c r="J136" s="62"/>
      <c r="M136" s="301" t="n">
        <v>133</v>
      </c>
      <c r="N136" s="232" t="s">
        <v>3174</v>
      </c>
      <c r="O136" s="233" t="s">
        <v>3307</v>
      </c>
      <c r="P136" s="232" t="s">
        <v>3176</v>
      </c>
      <c r="Q136" s="54" t="n">
        <v>122.32</v>
      </c>
      <c r="R136" s="55"/>
      <c r="S136" s="56" t="str">
        <f aca="false">IF(ISBLANK(R136),"",IF(ISNUMBER(Q136),ROUND(Q136*R136,2),"Укажите цену"))</f>
        <v/>
      </c>
    </row>
    <row r="137" customFormat="false" ht="32" hidden="false" customHeight="true" outlineLevel="1" collapsed="false">
      <c r="J137" s="62"/>
      <c r="M137" s="301" t="n">
        <v>134</v>
      </c>
      <c r="N137" s="232" t="s">
        <v>3174</v>
      </c>
      <c r="O137" s="233" t="s">
        <v>3308</v>
      </c>
      <c r="P137" s="232" t="s">
        <v>3176</v>
      </c>
      <c r="Q137" s="54" t="n">
        <v>122.32</v>
      </c>
      <c r="R137" s="55"/>
      <c r="S137" s="56" t="str">
        <f aca="false">IF(ISBLANK(R137),"",IF(ISNUMBER(Q137),ROUND(Q137*R137,2),"Укажите цену"))</f>
        <v/>
      </c>
    </row>
    <row r="138" customFormat="false" ht="32" hidden="false" customHeight="true" outlineLevel="1" collapsed="false">
      <c r="J138" s="62"/>
      <c r="M138" s="301" t="n">
        <v>135</v>
      </c>
      <c r="N138" s="232" t="s">
        <v>3174</v>
      </c>
      <c r="O138" s="233" t="s">
        <v>3309</v>
      </c>
      <c r="P138" s="232" t="s">
        <v>3176</v>
      </c>
      <c r="Q138" s="54" t="n">
        <v>122.32</v>
      </c>
      <c r="R138" s="55"/>
      <c r="S138" s="56" t="str">
        <f aca="false">IF(ISBLANK(R138),"",IF(ISNUMBER(Q138),ROUND(Q138*R138,2),"Укажите цену"))</f>
        <v/>
      </c>
    </row>
    <row r="139" customFormat="false" ht="32" hidden="false" customHeight="true" outlineLevel="1" collapsed="false">
      <c r="J139" s="62"/>
      <c r="M139" s="301" t="n">
        <v>136</v>
      </c>
      <c r="N139" s="232" t="s">
        <v>3174</v>
      </c>
      <c r="O139" s="233" t="s">
        <v>3310</v>
      </c>
      <c r="P139" s="232" t="s">
        <v>3176</v>
      </c>
      <c r="Q139" s="54" t="n">
        <v>122.32</v>
      </c>
      <c r="R139" s="55"/>
      <c r="S139" s="56" t="str">
        <f aca="false">IF(ISBLANK(R139),"",IF(ISNUMBER(Q139),ROUND(Q139*R139,2),"Укажите цену"))</f>
        <v/>
      </c>
    </row>
    <row r="140" customFormat="false" ht="32" hidden="false" customHeight="true" outlineLevel="1" collapsed="false">
      <c r="J140" s="62"/>
      <c r="M140" s="301" t="n">
        <v>137</v>
      </c>
      <c r="N140" s="232" t="s">
        <v>3174</v>
      </c>
      <c r="O140" s="233" t="s">
        <v>3311</v>
      </c>
      <c r="P140" s="232" t="s">
        <v>3176</v>
      </c>
      <c r="Q140" s="54" t="n">
        <v>122.32</v>
      </c>
      <c r="R140" s="55"/>
      <c r="S140" s="56" t="str">
        <f aca="false">IF(ISBLANK(R140),"",IF(ISNUMBER(Q140),ROUND(Q140*R140,2),"Укажите цену"))</f>
        <v/>
      </c>
    </row>
    <row r="141" customFormat="false" ht="32" hidden="false" customHeight="true" outlineLevel="1" collapsed="false">
      <c r="J141" s="62"/>
      <c r="M141" s="301" t="n">
        <v>138</v>
      </c>
      <c r="N141" s="232" t="s">
        <v>3174</v>
      </c>
      <c r="O141" s="233" t="s">
        <v>3312</v>
      </c>
      <c r="P141" s="232" t="s">
        <v>3176</v>
      </c>
      <c r="Q141" s="54" t="n">
        <v>122.32</v>
      </c>
      <c r="R141" s="55"/>
      <c r="S141" s="56" t="str">
        <f aca="false">IF(ISBLANK(R141),"",IF(ISNUMBER(Q141),ROUND(Q141*R141,2),"Укажите цену"))</f>
        <v/>
      </c>
    </row>
    <row r="142" customFormat="false" ht="32" hidden="false" customHeight="true" outlineLevel="1" collapsed="false">
      <c r="J142" s="62"/>
      <c r="M142" s="301" t="n">
        <v>139</v>
      </c>
      <c r="N142" s="232" t="s">
        <v>3174</v>
      </c>
      <c r="O142" s="233" t="s">
        <v>3236</v>
      </c>
      <c r="P142" s="232" t="s">
        <v>3176</v>
      </c>
      <c r="Q142" s="54" t="n">
        <v>122.32</v>
      </c>
      <c r="R142" s="55"/>
      <c r="S142" s="56" t="str">
        <f aca="false">IF(ISBLANK(R142),"",IF(ISNUMBER(Q142),ROUND(Q142*R142,2),"Укажите цену"))</f>
        <v/>
      </c>
    </row>
    <row r="143" customFormat="false" ht="32" hidden="false" customHeight="true" outlineLevel="1" collapsed="false">
      <c r="J143" s="62"/>
      <c r="M143" s="301" t="n">
        <v>140</v>
      </c>
      <c r="N143" s="232" t="s">
        <v>3174</v>
      </c>
      <c r="O143" s="233" t="s">
        <v>3286</v>
      </c>
      <c r="P143" s="232" t="s">
        <v>3176</v>
      </c>
      <c r="Q143" s="54" t="n">
        <v>122.32</v>
      </c>
      <c r="R143" s="55"/>
      <c r="S143" s="56" t="str">
        <f aca="false">IF(ISBLANK(R143),"",IF(ISNUMBER(Q143),ROUND(Q143*R143,2),"Укажите цену"))</f>
        <v/>
      </c>
    </row>
    <row r="144" customFormat="false" ht="32" hidden="false" customHeight="true" outlineLevel="1" collapsed="false">
      <c r="J144" s="62"/>
      <c r="M144" s="301" t="n">
        <v>141</v>
      </c>
      <c r="N144" s="232" t="s">
        <v>3174</v>
      </c>
      <c r="O144" s="233" t="s">
        <v>3313</v>
      </c>
      <c r="P144" s="232" t="s">
        <v>3176</v>
      </c>
      <c r="Q144" s="54" t="n">
        <v>122.32</v>
      </c>
      <c r="R144" s="55"/>
      <c r="S144" s="56" t="str">
        <f aca="false">IF(ISBLANK(R144),"",IF(ISNUMBER(Q144),ROUND(Q144*R144,2),"Укажите цену"))</f>
        <v/>
      </c>
    </row>
    <row r="145" customFormat="false" ht="32" hidden="false" customHeight="true" outlineLevel="1" collapsed="false">
      <c r="J145" s="62"/>
      <c r="M145" s="301" t="n">
        <v>142</v>
      </c>
      <c r="N145" s="232" t="s">
        <v>3174</v>
      </c>
      <c r="O145" s="233" t="s">
        <v>3314</v>
      </c>
      <c r="P145" s="232" t="s">
        <v>3176</v>
      </c>
      <c r="Q145" s="54" t="n">
        <v>122.32</v>
      </c>
      <c r="R145" s="55"/>
      <c r="S145" s="56" t="str">
        <f aca="false">IF(ISBLANK(R145),"",IF(ISNUMBER(Q145),ROUND(Q145*R145,2),"Укажите цену"))</f>
        <v/>
      </c>
    </row>
    <row r="146" customFormat="false" ht="32" hidden="false" customHeight="true" outlineLevel="1" collapsed="false">
      <c r="J146" s="62"/>
      <c r="M146" s="301" t="n">
        <v>143</v>
      </c>
      <c r="N146" s="232" t="s">
        <v>3174</v>
      </c>
      <c r="O146" s="233" t="s">
        <v>3315</v>
      </c>
      <c r="P146" s="232" t="s">
        <v>3176</v>
      </c>
      <c r="Q146" s="54" t="n">
        <v>122.32</v>
      </c>
      <c r="R146" s="55"/>
      <c r="S146" s="56" t="str">
        <f aca="false">IF(ISBLANK(R146),"",IF(ISNUMBER(Q146),ROUND(Q146*R146,2),"Укажите цену"))</f>
        <v/>
      </c>
    </row>
    <row r="147" customFormat="false" ht="32" hidden="false" customHeight="true" outlineLevel="1" collapsed="false">
      <c r="J147" s="62"/>
      <c r="M147" s="301" t="n">
        <v>144</v>
      </c>
      <c r="N147" s="232" t="s">
        <v>3174</v>
      </c>
      <c r="O147" s="233" t="s">
        <v>3316</v>
      </c>
      <c r="P147" s="232" t="s">
        <v>3176</v>
      </c>
      <c r="Q147" s="54" t="n">
        <v>122.32</v>
      </c>
      <c r="R147" s="55"/>
      <c r="S147" s="56" t="str">
        <f aca="false">IF(ISBLANK(R147),"",IF(ISNUMBER(Q147),ROUND(Q147*R147,2),"Укажите цену"))</f>
        <v/>
      </c>
    </row>
    <row r="148" customFormat="false" ht="32" hidden="false" customHeight="true" outlineLevel="1" collapsed="false">
      <c r="J148" s="62"/>
      <c r="M148" s="301" t="n">
        <v>145</v>
      </c>
      <c r="N148" s="232" t="s">
        <v>3174</v>
      </c>
      <c r="O148" s="233" t="s">
        <v>3317</v>
      </c>
      <c r="P148" s="232" t="s">
        <v>3176</v>
      </c>
      <c r="Q148" s="54" t="n">
        <v>122.32</v>
      </c>
      <c r="R148" s="55"/>
      <c r="S148" s="56" t="str">
        <f aca="false">IF(ISBLANK(R148),"",IF(ISNUMBER(Q148),ROUND(Q148*R148,2),"Укажите цену"))</f>
        <v/>
      </c>
    </row>
    <row r="149" customFormat="false" ht="32" hidden="false" customHeight="true" outlineLevel="1" collapsed="false">
      <c r="J149" s="62"/>
      <c r="M149" s="301" t="n">
        <v>146</v>
      </c>
      <c r="N149" s="232" t="s">
        <v>3174</v>
      </c>
      <c r="O149" s="233" t="s">
        <v>3318</v>
      </c>
      <c r="P149" s="232" t="s">
        <v>3176</v>
      </c>
      <c r="Q149" s="54" t="n">
        <v>122.32</v>
      </c>
      <c r="R149" s="55"/>
      <c r="S149" s="56" t="str">
        <f aca="false">IF(ISBLANK(R149),"",IF(ISNUMBER(Q149),ROUND(Q149*R149,2),"Укажите цену"))</f>
        <v/>
      </c>
    </row>
    <row r="150" customFormat="false" ht="32" hidden="false" customHeight="true" outlineLevel="1" collapsed="false">
      <c r="J150" s="62"/>
      <c r="M150" s="301" t="n">
        <v>147</v>
      </c>
      <c r="N150" s="232" t="s">
        <v>3174</v>
      </c>
      <c r="O150" s="233" t="s">
        <v>3319</v>
      </c>
      <c r="P150" s="232" t="s">
        <v>3176</v>
      </c>
      <c r="Q150" s="54" t="n">
        <v>122.32</v>
      </c>
      <c r="R150" s="55"/>
      <c r="S150" s="56" t="str">
        <f aca="false">IF(ISBLANK(R150),"",IF(ISNUMBER(Q150),ROUND(Q150*R150,2),"Укажите цену"))</f>
        <v/>
      </c>
    </row>
    <row r="151" customFormat="false" ht="32" hidden="false" customHeight="true" outlineLevel="1" collapsed="false">
      <c r="J151" s="62"/>
      <c r="M151" s="301" t="n">
        <v>148</v>
      </c>
      <c r="N151" s="232" t="s">
        <v>3174</v>
      </c>
      <c r="O151" s="233" t="s">
        <v>3320</v>
      </c>
      <c r="P151" s="232" t="s">
        <v>3176</v>
      </c>
      <c r="Q151" s="54" t="n">
        <v>122.32</v>
      </c>
      <c r="R151" s="55"/>
      <c r="S151" s="56" t="str">
        <f aca="false">IF(ISBLANK(R151),"",IF(ISNUMBER(Q151),ROUND(Q151*R151,2),"Укажите цену"))</f>
        <v/>
      </c>
    </row>
    <row r="152" customFormat="false" ht="32" hidden="false" customHeight="true" outlineLevel="1" collapsed="false">
      <c r="J152" s="62"/>
      <c r="M152" s="301" t="n">
        <v>149</v>
      </c>
      <c r="N152" s="232" t="s">
        <v>3174</v>
      </c>
      <c r="O152" s="233" t="s">
        <v>3321</v>
      </c>
      <c r="P152" s="232" t="s">
        <v>3176</v>
      </c>
      <c r="Q152" s="54" t="n">
        <v>122.32</v>
      </c>
      <c r="R152" s="55"/>
      <c r="S152" s="56" t="str">
        <f aca="false">IF(ISBLANK(R152),"",IF(ISNUMBER(Q152),ROUND(Q152*R152,2),"Укажите цену"))</f>
        <v/>
      </c>
    </row>
    <row r="153" customFormat="false" ht="32" hidden="false" customHeight="true" outlineLevel="1" collapsed="false">
      <c r="J153" s="62"/>
      <c r="M153" s="301" t="n">
        <v>150</v>
      </c>
      <c r="N153" s="232" t="s">
        <v>3174</v>
      </c>
      <c r="O153" s="233" t="s">
        <v>3322</v>
      </c>
      <c r="P153" s="232" t="s">
        <v>3176</v>
      </c>
      <c r="Q153" s="54" t="n">
        <v>122.32</v>
      </c>
      <c r="R153" s="55"/>
      <c r="S153" s="56" t="str">
        <f aca="false">IF(ISBLANK(R153),"",IF(ISNUMBER(Q153),ROUND(Q153*R153,2),"Укажите цену"))</f>
        <v/>
      </c>
    </row>
    <row r="154" customFormat="false" ht="32" hidden="false" customHeight="true" outlineLevel="1" collapsed="false">
      <c r="J154" s="62"/>
      <c r="M154" s="301" t="n">
        <v>151</v>
      </c>
      <c r="N154" s="232" t="s">
        <v>3174</v>
      </c>
      <c r="O154" s="233" t="s">
        <v>3323</v>
      </c>
      <c r="P154" s="232" t="s">
        <v>3176</v>
      </c>
      <c r="Q154" s="54" t="n">
        <v>122.32</v>
      </c>
      <c r="R154" s="55"/>
      <c r="S154" s="56" t="str">
        <f aca="false">IF(ISBLANK(R154),"",IF(ISNUMBER(Q154),ROUND(Q154*R154,2),"Укажите цену"))</f>
        <v/>
      </c>
    </row>
    <row r="155" customFormat="false" ht="32" hidden="false" customHeight="true" outlineLevel="1" collapsed="false">
      <c r="J155" s="62"/>
      <c r="M155" s="301" t="n">
        <v>152</v>
      </c>
      <c r="N155" s="232" t="s">
        <v>3174</v>
      </c>
      <c r="O155" s="233" t="s">
        <v>3324</v>
      </c>
      <c r="P155" s="232" t="s">
        <v>3176</v>
      </c>
      <c r="Q155" s="54" t="n">
        <v>122.32</v>
      </c>
      <c r="R155" s="55"/>
      <c r="S155" s="56" t="str">
        <f aca="false">IF(ISBLANK(R155),"",IF(ISNUMBER(Q155),ROUND(Q155*R155,2),"Укажите цену"))</f>
        <v/>
      </c>
    </row>
    <row r="156" customFormat="false" ht="32" hidden="false" customHeight="true" outlineLevel="1" collapsed="false">
      <c r="J156" s="62"/>
      <c r="M156" s="301" t="n">
        <v>153</v>
      </c>
      <c r="N156" s="232" t="s">
        <v>3174</v>
      </c>
      <c r="O156" s="233" t="s">
        <v>3325</v>
      </c>
      <c r="P156" s="232" t="s">
        <v>3176</v>
      </c>
      <c r="Q156" s="54" t="n">
        <v>122.32</v>
      </c>
      <c r="R156" s="55"/>
      <c r="S156" s="56" t="str">
        <f aca="false">IF(ISBLANK(R156),"",IF(ISNUMBER(Q156),ROUND(Q156*R156,2),"Укажите цену"))</f>
        <v/>
      </c>
    </row>
    <row r="157" customFormat="false" ht="32" hidden="false" customHeight="true" outlineLevel="1" collapsed="false">
      <c r="J157" s="62"/>
      <c r="M157" s="301" t="n">
        <v>154</v>
      </c>
      <c r="N157" s="232" t="s">
        <v>3174</v>
      </c>
      <c r="O157" s="233" t="s">
        <v>3326</v>
      </c>
      <c r="P157" s="232" t="s">
        <v>3176</v>
      </c>
      <c r="Q157" s="54" t="n">
        <v>122.32</v>
      </c>
      <c r="R157" s="55"/>
      <c r="S157" s="56" t="str">
        <f aca="false">IF(ISBLANK(R157),"",IF(ISNUMBER(Q157),ROUND(Q157*R157,2),"Укажите цену"))</f>
        <v/>
      </c>
    </row>
    <row r="158" customFormat="false" ht="32" hidden="false" customHeight="true" outlineLevel="1" collapsed="false">
      <c r="J158" s="62"/>
      <c r="M158" s="301" t="n">
        <v>155</v>
      </c>
      <c r="N158" s="232" t="s">
        <v>3174</v>
      </c>
      <c r="O158" s="233" t="s">
        <v>3327</v>
      </c>
      <c r="P158" s="232" t="s">
        <v>3176</v>
      </c>
      <c r="Q158" s="54" t="n">
        <v>122.32</v>
      </c>
      <c r="R158" s="55"/>
      <c r="S158" s="56" t="str">
        <f aca="false">IF(ISBLANK(R158),"",IF(ISNUMBER(Q158),ROUND(Q158*R158,2),"Укажите цену"))</f>
        <v/>
      </c>
    </row>
    <row r="159" customFormat="false" ht="32" hidden="false" customHeight="true" outlineLevel="1" collapsed="false">
      <c r="J159" s="62"/>
      <c r="M159" s="301" t="n">
        <v>156</v>
      </c>
      <c r="N159" s="232" t="s">
        <v>3174</v>
      </c>
      <c r="O159" s="233" t="s">
        <v>3328</v>
      </c>
      <c r="P159" s="232" t="s">
        <v>3176</v>
      </c>
      <c r="Q159" s="54" t="n">
        <v>122.32</v>
      </c>
      <c r="R159" s="55"/>
      <c r="S159" s="56" t="str">
        <f aca="false">IF(ISBLANK(R159),"",IF(ISNUMBER(Q159),ROUND(Q159*R159,2),"Укажите цену"))</f>
        <v/>
      </c>
    </row>
    <row r="160" customFormat="false" ht="32" hidden="false" customHeight="true" outlineLevel="1" collapsed="false">
      <c r="J160" s="62"/>
      <c r="M160" s="301" t="n">
        <v>157</v>
      </c>
      <c r="N160" s="232" t="s">
        <v>3174</v>
      </c>
      <c r="O160" s="233" t="s">
        <v>3329</v>
      </c>
      <c r="P160" s="232" t="s">
        <v>3176</v>
      </c>
      <c r="Q160" s="54" t="n">
        <v>122.32</v>
      </c>
      <c r="R160" s="55"/>
      <c r="S160" s="56" t="str">
        <f aca="false">IF(ISBLANK(R160),"",IF(ISNUMBER(Q160),ROUND(Q160*R160,2),"Укажите цену"))</f>
        <v/>
      </c>
    </row>
    <row r="161" customFormat="false" ht="32" hidden="false" customHeight="true" outlineLevel="1" collapsed="false">
      <c r="J161" s="62"/>
      <c r="M161" s="301" t="n">
        <v>158</v>
      </c>
      <c r="N161" s="232" t="s">
        <v>3174</v>
      </c>
      <c r="O161" s="233" t="s">
        <v>3330</v>
      </c>
      <c r="P161" s="232" t="s">
        <v>3176</v>
      </c>
      <c r="Q161" s="54" t="n">
        <v>122.32</v>
      </c>
      <c r="R161" s="55"/>
      <c r="S161" s="56" t="str">
        <f aca="false">IF(ISBLANK(R161),"",IF(ISNUMBER(Q161),ROUND(Q161*R161,2),"Укажите цену"))</f>
        <v/>
      </c>
    </row>
    <row r="162" customFormat="false" ht="32" hidden="false" customHeight="true" outlineLevel="1" collapsed="false">
      <c r="J162" s="62"/>
      <c r="M162" s="301" t="n">
        <v>159</v>
      </c>
      <c r="N162" s="232" t="s">
        <v>3174</v>
      </c>
      <c r="O162" s="233" t="s">
        <v>3564</v>
      </c>
      <c r="P162" s="232" t="s">
        <v>3176</v>
      </c>
      <c r="Q162" s="54" t="n">
        <v>122.32</v>
      </c>
      <c r="R162" s="55"/>
      <c r="S162" s="56" t="str">
        <f aca="false">IF(ISBLANK(R162),"",IF(ISNUMBER(Q162),ROUND(Q162*R162,2),"Укажите цену"))</f>
        <v/>
      </c>
    </row>
    <row r="163" customFormat="false" ht="32" hidden="false" customHeight="true" outlineLevel="1" collapsed="false">
      <c r="J163" s="62"/>
      <c r="M163" s="301" t="n">
        <v>160</v>
      </c>
      <c r="N163" s="232" t="s">
        <v>3174</v>
      </c>
      <c r="O163" s="233" t="s">
        <v>3332</v>
      </c>
      <c r="P163" s="232" t="s">
        <v>3176</v>
      </c>
      <c r="Q163" s="54" t="n">
        <v>122.32</v>
      </c>
      <c r="R163" s="55"/>
      <c r="S163" s="56" t="str">
        <f aca="false">IF(ISBLANK(R163),"",IF(ISNUMBER(Q163),ROUND(Q163*R163,2),"Укажите цену"))</f>
        <v/>
      </c>
    </row>
    <row r="164" customFormat="false" ht="32" hidden="false" customHeight="true" outlineLevel="1" collapsed="false">
      <c r="J164" s="62"/>
      <c r="M164" s="301" t="n">
        <v>161</v>
      </c>
      <c r="N164" s="232" t="s">
        <v>3174</v>
      </c>
      <c r="O164" s="233" t="s">
        <v>3333</v>
      </c>
      <c r="P164" s="232" t="s">
        <v>3176</v>
      </c>
      <c r="Q164" s="54" t="n">
        <v>122.32</v>
      </c>
      <c r="R164" s="55"/>
      <c r="S164" s="56" t="str">
        <f aca="false">IF(ISBLANK(R164),"",IF(ISNUMBER(Q164),ROUND(Q164*R164,2),"Укажите цену"))</f>
        <v/>
      </c>
    </row>
    <row r="165" customFormat="false" ht="32" hidden="false" customHeight="true" outlineLevel="1" collapsed="false">
      <c r="J165" s="62"/>
      <c r="M165" s="301" t="n">
        <v>162</v>
      </c>
      <c r="N165" s="232" t="s">
        <v>3174</v>
      </c>
      <c r="O165" s="233" t="s">
        <v>3334</v>
      </c>
      <c r="P165" s="232" t="s">
        <v>3176</v>
      </c>
      <c r="Q165" s="54" t="n">
        <v>122.32</v>
      </c>
      <c r="R165" s="55"/>
      <c r="S165" s="56" t="str">
        <f aca="false">IF(ISBLANK(R165),"",IF(ISNUMBER(Q165),ROUND(Q165*R165,2),"Укажите цену"))</f>
        <v/>
      </c>
    </row>
    <row r="166" customFormat="false" ht="32" hidden="false" customHeight="true" outlineLevel="1" collapsed="false">
      <c r="J166" s="62"/>
      <c r="M166" s="301" t="n">
        <v>163</v>
      </c>
      <c r="N166" s="232" t="s">
        <v>3174</v>
      </c>
      <c r="O166" s="233" t="s">
        <v>3335</v>
      </c>
      <c r="P166" s="232" t="s">
        <v>3176</v>
      </c>
      <c r="Q166" s="54" t="n">
        <v>122.32</v>
      </c>
      <c r="R166" s="55"/>
      <c r="S166" s="56" t="str">
        <f aca="false">IF(ISBLANK(R166),"",IF(ISNUMBER(Q166),ROUND(Q166*R166,2),"Укажите цену"))</f>
        <v/>
      </c>
    </row>
    <row r="167" customFormat="false" ht="32" hidden="false" customHeight="true" outlineLevel="1" collapsed="false">
      <c r="J167" s="62"/>
      <c r="M167" s="301" t="n">
        <v>164</v>
      </c>
      <c r="N167" s="232" t="s">
        <v>3174</v>
      </c>
      <c r="O167" s="233" t="s">
        <v>3336</v>
      </c>
      <c r="P167" s="232" t="s">
        <v>3176</v>
      </c>
      <c r="Q167" s="54" t="n">
        <v>122.32</v>
      </c>
      <c r="R167" s="55"/>
      <c r="S167" s="56" t="str">
        <f aca="false">IF(ISBLANK(R167),"",IF(ISNUMBER(Q167),ROUND(Q167*R167,2),"Укажите цену"))</f>
        <v/>
      </c>
    </row>
    <row r="168" customFormat="false" ht="32" hidden="false" customHeight="true" outlineLevel="1" collapsed="false">
      <c r="J168" s="62"/>
      <c r="M168" s="301" t="n">
        <v>165</v>
      </c>
      <c r="N168" s="232" t="s">
        <v>3174</v>
      </c>
      <c r="O168" s="233" t="s">
        <v>3337</v>
      </c>
      <c r="P168" s="232" t="s">
        <v>3176</v>
      </c>
      <c r="Q168" s="54" t="n">
        <v>122.32</v>
      </c>
      <c r="R168" s="55"/>
      <c r="S168" s="56" t="str">
        <f aca="false">IF(ISBLANK(R168),"",IF(ISNUMBER(Q168),ROUND(Q168*R168,2),"Укажите цену"))</f>
        <v/>
      </c>
    </row>
    <row r="169" customFormat="false" ht="32" hidden="false" customHeight="true" outlineLevel="1" collapsed="false">
      <c r="J169" s="62"/>
      <c r="M169" s="301" t="n">
        <v>166</v>
      </c>
      <c r="N169" s="232" t="s">
        <v>3174</v>
      </c>
      <c r="O169" s="233" t="s">
        <v>3338</v>
      </c>
      <c r="P169" s="232" t="s">
        <v>3176</v>
      </c>
      <c r="Q169" s="54" t="n">
        <v>122.32</v>
      </c>
      <c r="R169" s="55"/>
      <c r="S169" s="56" t="str">
        <f aca="false">IF(ISBLANK(R169),"",IF(ISNUMBER(Q169),ROUND(Q169*R169,2),"Укажите цену"))</f>
        <v/>
      </c>
    </row>
    <row r="170" customFormat="false" ht="32" hidden="false" customHeight="true" outlineLevel="1" collapsed="false">
      <c r="J170" s="62"/>
      <c r="M170" s="301" t="n">
        <v>167</v>
      </c>
      <c r="N170" s="232" t="s">
        <v>3174</v>
      </c>
      <c r="O170" s="233" t="s">
        <v>3339</v>
      </c>
      <c r="P170" s="232" t="s">
        <v>3176</v>
      </c>
      <c r="Q170" s="54" t="n">
        <v>122.32</v>
      </c>
      <c r="R170" s="55"/>
      <c r="S170" s="56" t="str">
        <f aca="false">IF(ISBLANK(R170),"",IF(ISNUMBER(Q170),ROUND(Q170*R170,2),"Укажите цену"))</f>
        <v/>
      </c>
    </row>
    <row r="171" customFormat="false" ht="32" hidden="false" customHeight="true" outlineLevel="1" collapsed="false">
      <c r="J171" s="62"/>
      <c r="M171" s="301" t="n">
        <v>168</v>
      </c>
      <c r="N171" s="232" t="s">
        <v>3174</v>
      </c>
      <c r="O171" s="233" t="s">
        <v>3565</v>
      </c>
      <c r="P171" s="232" t="s">
        <v>3176</v>
      </c>
      <c r="Q171" s="54" t="n">
        <v>122.32</v>
      </c>
      <c r="R171" s="55"/>
      <c r="S171" s="56" t="str">
        <f aca="false">IF(ISBLANK(R171),"",IF(ISNUMBER(Q171),ROUND(Q171*R171,2),"Укажите цену"))</f>
        <v/>
      </c>
    </row>
    <row r="172" customFormat="false" ht="32" hidden="false" customHeight="true" outlineLevel="1" collapsed="false">
      <c r="J172" s="62"/>
      <c r="M172" s="301" t="n">
        <v>169</v>
      </c>
      <c r="N172" s="232" t="s">
        <v>3174</v>
      </c>
      <c r="O172" s="233" t="s">
        <v>3341</v>
      </c>
      <c r="P172" s="232" t="s">
        <v>3176</v>
      </c>
      <c r="Q172" s="54" t="n">
        <v>122.32</v>
      </c>
      <c r="R172" s="55"/>
      <c r="S172" s="56" t="str">
        <f aca="false">IF(ISBLANK(R172),"",IF(ISNUMBER(Q172),ROUND(Q172*R172,2),"Укажите цену"))</f>
        <v/>
      </c>
    </row>
    <row r="173" customFormat="false" ht="32" hidden="false" customHeight="true" outlineLevel="1" collapsed="false">
      <c r="J173" s="62"/>
      <c r="M173" s="301" t="n">
        <v>170</v>
      </c>
      <c r="N173" s="232" t="s">
        <v>3174</v>
      </c>
      <c r="O173" s="233" t="s">
        <v>3342</v>
      </c>
      <c r="P173" s="232" t="s">
        <v>3176</v>
      </c>
      <c r="Q173" s="54" t="n">
        <v>122.32</v>
      </c>
      <c r="R173" s="55"/>
      <c r="S173" s="56" t="str">
        <f aca="false">IF(ISBLANK(R173),"",IF(ISNUMBER(Q173),ROUND(Q173*R173,2),"Укажите цену"))</f>
        <v/>
      </c>
    </row>
    <row r="174" customFormat="false" ht="32" hidden="false" customHeight="true" outlineLevel="1" collapsed="false">
      <c r="J174" s="62"/>
      <c r="M174" s="301" t="n">
        <v>171</v>
      </c>
      <c r="N174" s="232" t="s">
        <v>3174</v>
      </c>
      <c r="O174" s="233" t="s">
        <v>3343</v>
      </c>
      <c r="P174" s="232" t="s">
        <v>3176</v>
      </c>
      <c r="Q174" s="54" t="n">
        <v>122.32</v>
      </c>
      <c r="R174" s="55"/>
      <c r="S174" s="56" t="str">
        <f aca="false">IF(ISBLANK(R174),"",IF(ISNUMBER(Q174),ROUND(Q174*R174,2),"Укажите цену"))</f>
        <v/>
      </c>
    </row>
    <row r="175" customFormat="false" ht="32" hidden="false" customHeight="true" outlineLevel="1" collapsed="false">
      <c r="J175" s="62"/>
      <c r="M175" s="301" t="n">
        <v>172</v>
      </c>
      <c r="N175" s="232" t="s">
        <v>3174</v>
      </c>
      <c r="O175" s="233" t="s">
        <v>3344</v>
      </c>
      <c r="P175" s="232" t="s">
        <v>3176</v>
      </c>
      <c r="Q175" s="54" t="n">
        <v>122.32</v>
      </c>
      <c r="R175" s="55"/>
      <c r="S175" s="56" t="str">
        <f aca="false">IF(ISBLANK(R175),"",IF(ISNUMBER(Q175),ROUND(Q175*R175,2),"Укажите цену"))</f>
        <v/>
      </c>
    </row>
    <row r="176" customFormat="false" ht="32" hidden="false" customHeight="true" outlineLevel="1" collapsed="false">
      <c r="J176" s="62"/>
      <c r="M176" s="301" t="n">
        <v>173</v>
      </c>
      <c r="N176" s="232" t="s">
        <v>3174</v>
      </c>
      <c r="O176" s="233" t="s">
        <v>3345</v>
      </c>
      <c r="P176" s="232" t="s">
        <v>3176</v>
      </c>
      <c r="Q176" s="54" t="n">
        <v>122.32</v>
      </c>
      <c r="R176" s="55"/>
      <c r="S176" s="56" t="str">
        <f aca="false">IF(ISBLANK(R176),"",IF(ISNUMBER(Q176),ROUND(Q176*R176,2),"Укажите цену"))</f>
        <v/>
      </c>
    </row>
    <row r="177" customFormat="false" ht="32" hidden="false" customHeight="true" outlineLevel="1" collapsed="false">
      <c r="J177" s="62"/>
      <c r="M177" s="301" t="n">
        <v>174</v>
      </c>
      <c r="N177" s="232" t="s">
        <v>3174</v>
      </c>
      <c r="O177" s="233" t="s">
        <v>3346</v>
      </c>
      <c r="P177" s="232" t="s">
        <v>3176</v>
      </c>
      <c r="Q177" s="54" t="n">
        <v>122.32</v>
      </c>
      <c r="R177" s="55"/>
      <c r="S177" s="56" t="str">
        <f aca="false">IF(ISBLANK(R177),"",IF(ISNUMBER(Q177),ROUND(Q177*R177,2),"Укажите цену"))</f>
        <v/>
      </c>
    </row>
    <row r="178" customFormat="false" ht="32" hidden="false" customHeight="true" outlineLevel="1" collapsed="false">
      <c r="J178" s="62"/>
      <c r="M178" s="301" t="n">
        <v>175</v>
      </c>
      <c r="N178" s="232" t="s">
        <v>3174</v>
      </c>
      <c r="O178" s="233" t="s">
        <v>3347</v>
      </c>
      <c r="P178" s="232" t="s">
        <v>3176</v>
      </c>
      <c r="Q178" s="54" t="n">
        <v>122.32</v>
      </c>
      <c r="R178" s="55"/>
      <c r="S178" s="56" t="str">
        <f aca="false">IF(ISBLANK(R178),"",IF(ISNUMBER(Q178),ROUND(Q178*R178,2),"Укажите цену"))</f>
        <v/>
      </c>
    </row>
    <row r="179" customFormat="false" ht="32" hidden="false" customHeight="true" outlineLevel="1" collapsed="false">
      <c r="J179" s="62"/>
      <c r="M179" s="301" t="n">
        <v>176</v>
      </c>
      <c r="N179" s="232" t="s">
        <v>3174</v>
      </c>
      <c r="O179" s="233" t="s">
        <v>3348</v>
      </c>
      <c r="P179" s="232" t="s">
        <v>3176</v>
      </c>
      <c r="Q179" s="54" t="n">
        <v>122.32</v>
      </c>
      <c r="R179" s="55"/>
      <c r="S179" s="56" t="str">
        <f aca="false">IF(ISBLANK(R179),"",IF(ISNUMBER(Q179),ROUND(Q179*R179,2),"Укажите цену"))</f>
        <v/>
      </c>
    </row>
    <row r="180" customFormat="false" ht="32" hidden="false" customHeight="true" outlineLevel="1" collapsed="false">
      <c r="J180" s="62"/>
      <c r="M180" s="301" t="n">
        <v>177</v>
      </c>
      <c r="N180" s="232" t="s">
        <v>3174</v>
      </c>
      <c r="O180" s="233" t="s">
        <v>3349</v>
      </c>
      <c r="P180" s="232" t="s">
        <v>3176</v>
      </c>
      <c r="Q180" s="54" t="n">
        <v>122.32</v>
      </c>
      <c r="R180" s="55"/>
      <c r="S180" s="56" t="str">
        <f aca="false">IF(ISBLANK(R180),"",IF(ISNUMBER(Q180),ROUND(Q180*R180,2),"Укажите цену"))</f>
        <v/>
      </c>
    </row>
    <row r="181" customFormat="false" ht="32" hidden="false" customHeight="true" outlineLevel="1" collapsed="false">
      <c r="J181" s="62"/>
      <c r="M181" s="301" t="n">
        <v>178</v>
      </c>
      <c r="N181" s="232" t="s">
        <v>3174</v>
      </c>
      <c r="O181" s="233" t="s">
        <v>3350</v>
      </c>
      <c r="P181" s="232" t="s">
        <v>3176</v>
      </c>
      <c r="Q181" s="54" t="n">
        <v>122.32</v>
      </c>
      <c r="R181" s="55"/>
      <c r="S181" s="56" t="str">
        <f aca="false">IF(ISBLANK(R181),"",IF(ISNUMBER(Q181),ROUND(Q181*R181,2),"Укажите цену"))</f>
        <v/>
      </c>
    </row>
    <row r="182" customFormat="false" ht="32" hidden="false" customHeight="true" outlineLevel="1" collapsed="false">
      <c r="J182" s="62"/>
      <c r="M182" s="301" t="n">
        <v>179</v>
      </c>
      <c r="N182" s="232" t="s">
        <v>3174</v>
      </c>
      <c r="O182" s="233" t="s">
        <v>3351</v>
      </c>
      <c r="P182" s="232" t="s">
        <v>3176</v>
      </c>
      <c r="Q182" s="54" t="n">
        <v>122.32</v>
      </c>
      <c r="R182" s="55"/>
      <c r="S182" s="56" t="str">
        <f aca="false">IF(ISBLANK(R182),"",IF(ISNUMBER(Q182),ROUND(Q182*R182,2),"Укажите цену"))</f>
        <v/>
      </c>
    </row>
    <row r="183" customFormat="false" ht="32" hidden="false" customHeight="true" outlineLevel="1" collapsed="false">
      <c r="J183" s="62"/>
      <c r="M183" s="301" t="n">
        <v>180</v>
      </c>
      <c r="N183" s="232" t="s">
        <v>3174</v>
      </c>
      <c r="O183" s="233" t="s">
        <v>3352</v>
      </c>
      <c r="P183" s="232" t="s">
        <v>3176</v>
      </c>
      <c r="Q183" s="54" t="n">
        <v>122.32</v>
      </c>
      <c r="R183" s="55"/>
      <c r="S183" s="56" t="str">
        <f aca="false">IF(ISBLANK(R183),"",IF(ISNUMBER(Q183),ROUND(Q183*R183,2),"Укажите цену"))</f>
        <v/>
      </c>
    </row>
    <row r="184" customFormat="false" ht="32" hidden="false" customHeight="true" outlineLevel="1" collapsed="false">
      <c r="J184" s="62"/>
      <c r="M184" s="301" t="n">
        <v>181</v>
      </c>
      <c r="N184" s="232" t="s">
        <v>3174</v>
      </c>
      <c r="O184" s="233" t="s">
        <v>3353</v>
      </c>
      <c r="P184" s="232" t="s">
        <v>3176</v>
      </c>
      <c r="Q184" s="54" t="n">
        <v>122.32</v>
      </c>
      <c r="R184" s="55"/>
      <c r="S184" s="56" t="str">
        <f aca="false">IF(ISBLANK(R184),"",IF(ISNUMBER(Q184),ROUND(Q184*R184,2),"Укажите цену"))</f>
        <v/>
      </c>
    </row>
    <row r="185" customFormat="false" ht="32" hidden="false" customHeight="true" outlineLevel="1" collapsed="false">
      <c r="J185" s="62"/>
      <c r="M185" s="301" t="n">
        <v>182</v>
      </c>
      <c r="N185" s="232" t="s">
        <v>3174</v>
      </c>
      <c r="O185" s="233" t="s">
        <v>3354</v>
      </c>
      <c r="P185" s="232" t="s">
        <v>3176</v>
      </c>
      <c r="Q185" s="54" t="n">
        <v>122.32</v>
      </c>
      <c r="R185" s="55"/>
      <c r="S185" s="56" t="str">
        <f aca="false">IF(ISBLANK(R185),"",IF(ISNUMBER(Q185),ROUND(Q185*R185,2),"Укажите цену"))</f>
        <v/>
      </c>
    </row>
    <row r="186" customFormat="false" ht="32" hidden="false" customHeight="true" outlineLevel="1" collapsed="false">
      <c r="J186" s="62"/>
      <c r="M186" s="301" t="n">
        <v>183</v>
      </c>
      <c r="N186" s="232" t="s">
        <v>3174</v>
      </c>
      <c r="O186" s="233" t="s">
        <v>3355</v>
      </c>
      <c r="P186" s="232" t="s">
        <v>3176</v>
      </c>
      <c r="Q186" s="54" t="n">
        <v>122.32</v>
      </c>
      <c r="R186" s="55"/>
      <c r="S186" s="56" t="str">
        <f aca="false">IF(ISBLANK(R186),"",IF(ISNUMBER(Q186),ROUND(Q186*R186,2),"Укажите цену"))</f>
        <v/>
      </c>
    </row>
    <row r="187" customFormat="false" ht="32" hidden="false" customHeight="true" outlineLevel="1" collapsed="false">
      <c r="J187" s="62"/>
      <c r="M187" s="301" t="n">
        <v>184</v>
      </c>
      <c r="N187" s="232" t="s">
        <v>3174</v>
      </c>
      <c r="O187" s="233" t="s">
        <v>3356</v>
      </c>
      <c r="P187" s="232" t="s">
        <v>3176</v>
      </c>
      <c r="Q187" s="54" t="n">
        <v>122.32</v>
      </c>
      <c r="R187" s="55"/>
      <c r="S187" s="56" t="str">
        <f aca="false">IF(ISBLANK(R187),"",IF(ISNUMBER(Q187),ROUND(Q187*R187,2),"Укажите цену"))</f>
        <v/>
      </c>
    </row>
    <row r="188" customFormat="false" ht="32" hidden="false" customHeight="true" outlineLevel="1" collapsed="false">
      <c r="J188" s="62"/>
      <c r="M188" s="301" t="n">
        <v>185</v>
      </c>
      <c r="N188" s="232" t="s">
        <v>3174</v>
      </c>
      <c r="O188" s="233" t="s">
        <v>3357</v>
      </c>
      <c r="P188" s="232" t="s">
        <v>3176</v>
      </c>
      <c r="Q188" s="54" t="n">
        <v>122.32</v>
      </c>
      <c r="R188" s="55"/>
      <c r="S188" s="56" t="str">
        <f aca="false">IF(ISBLANK(R188),"",IF(ISNUMBER(Q188),ROUND(Q188*R188,2),"Укажите цену"))</f>
        <v/>
      </c>
    </row>
    <row r="189" customFormat="false" ht="32" hidden="false" customHeight="true" outlineLevel="1" collapsed="false">
      <c r="J189" s="62"/>
      <c r="M189" s="301" t="n">
        <v>186</v>
      </c>
      <c r="N189" s="232" t="s">
        <v>3174</v>
      </c>
      <c r="O189" s="233" t="s">
        <v>3358</v>
      </c>
      <c r="P189" s="232" t="s">
        <v>3176</v>
      </c>
      <c r="Q189" s="54" t="n">
        <v>122.32</v>
      </c>
      <c r="R189" s="55"/>
      <c r="S189" s="56" t="str">
        <f aca="false">IF(ISBLANK(R189),"",IF(ISNUMBER(Q189),ROUND(Q189*R189,2),"Укажите цену"))</f>
        <v/>
      </c>
    </row>
    <row r="190" customFormat="false" ht="32" hidden="false" customHeight="true" outlineLevel="1" collapsed="false">
      <c r="J190" s="62"/>
      <c r="M190" s="301" t="n">
        <v>187</v>
      </c>
      <c r="N190" s="232" t="s">
        <v>3174</v>
      </c>
      <c r="O190" s="233" t="s">
        <v>3359</v>
      </c>
      <c r="P190" s="232" t="s">
        <v>3176</v>
      </c>
      <c r="Q190" s="54" t="n">
        <v>122.32</v>
      </c>
      <c r="R190" s="55"/>
      <c r="S190" s="56" t="str">
        <f aca="false">IF(ISBLANK(R190),"",IF(ISNUMBER(Q190),ROUND(Q190*R190,2),"Укажите цену"))</f>
        <v/>
      </c>
    </row>
    <row r="191" customFormat="false" ht="32" hidden="false" customHeight="true" outlineLevel="1" collapsed="false">
      <c r="J191" s="62"/>
      <c r="M191" s="301" t="n">
        <v>188</v>
      </c>
      <c r="N191" s="232" t="s">
        <v>3174</v>
      </c>
      <c r="O191" s="233" t="s">
        <v>3360</v>
      </c>
      <c r="P191" s="232" t="s">
        <v>3176</v>
      </c>
      <c r="Q191" s="54" t="n">
        <v>122.32</v>
      </c>
      <c r="R191" s="55"/>
      <c r="S191" s="56" t="str">
        <f aca="false">IF(ISBLANK(R191),"",IF(ISNUMBER(Q191),ROUND(Q191*R191,2),"Укажите цену"))</f>
        <v/>
      </c>
    </row>
    <row r="192" customFormat="false" ht="32" hidden="false" customHeight="true" outlineLevel="1" collapsed="false">
      <c r="J192" s="62"/>
      <c r="M192" s="301" t="n">
        <v>189</v>
      </c>
      <c r="N192" s="232" t="s">
        <v>3174</v>
      </c>
      <c r="O192" s="233" t="s">
        <v>3361</v>
      </c>
      <c r="P192" s="232" t="s">
        <v>3176</v>
      </c>
      <c r="Q192" s="54" t="n">
        <v>122.32</v>
      </c>
      <c r="R192" s="55"/>
      <c r="S192" s="56" t="str">
        <f aca="false">IF(ISBLANK(R192),"",IF(ISNUMBER(Q192),ROUND(Q192*R192,2),"Укажите цену"))</f>
        <v/>
      </c>
    </row>
    <row r="193" customFormat="false" ht="32" hidden="false" customHeight="true" outlineLevel="1" collapsed="false">
      <c r="J193" s="62"/>
      <c r="M193" s="301" t="n">
        <v>190</v>
      </c>
      <c r="N193" s="232" t="s">
        <v>3174</v>
      </c>
      <c r="O193" s="233" t="s">
        <v>3362</v>
      </c>
      <c r="P193" s="232" t="s">
        <v>3176</v>
      </c>
      <c r="Q193" s="54" t="n">
        <v>122.32</v>
      </c>
      <c r="R193" s="55"/>
      <c r="S193" s="56" t="str">
        <f aca="false">IF(ISBLANK(R193),"",IF(ISNUMBER(Q193),ROUND(Q193*R193,2),"Укажите цену"))</f>
        <v/>
      </c>
    </row>
    <row r="194" customFormat="false" ht="32" hidden="false" customHeight="true" outlineLevel="1" collapsed="false">
      <c r="J194" s="62"/>
      <c r="M194" s="301" t="n">
        <v>191</v>
      </c>
      <c r="N194" s="232" t="s">
        <v>3174</v>
      </c>
      <c r="O194" s="233" t="s">
        <v>3363</v>
      </c>
      <c r="P194" s="232" t="s">
        <v>3176</v>
      </c>
      <c r="Q194" s="54" t="n">
        <v>122.32</v>
      </c>
      <c r="R194" s="55"/>
      <c r="S194" s="56" t="str">
        <f aca="false">IF(ISBLANK(R194),"",IF(ISNUMBER(Q194),ROUND(Q194*R194,2),"Укажите цену"))</f>
        <v/>
      </c>
    </row>
    <row r="195" customFormat="false" ht="32" hidden="false" customHeight="true" outlineLevel="1" collapsed="false">
      <c r="J195" s="62"/>
      <c r="M195" s="301" t="n">
        <v>192</v>
      </c>
      <c r="N195" s="232" t="s">
        <v>3174</v>
      </c>
      <c r="O195" s="233" t="s">
        <v>3364</v>
      </c>
      <c r="P195" s="232" t="s">
        <v>3176</v>
      </c>
      <c r="Q195" s="54" t="n">
        <v>122.32</v>
      </c>
      <c r="R195" s="55"/>
      <c r="S195" s="56" t="str">
        <f aca="false">IF(ISBLANK(R195),"",IF(ISNUMBER(Q195),ROUND(Q195*R195,2),"Укажите цену"))</f>
        <v/>
      </c>
    </row>
    <row r="196" customFormat="false" ht="32" hidden="false" customHeight="true" outlineLevel="1" collapsed="false">
      <c r="J196" s="62"/>
      <c r="M196" s="301" t="n">
        <v>193</v>
      </c>
      <c r="N196" s="232" t="s">
        <v>3174</v>
      </c>
      <c r="O196" s="233" t="s">
        <v>3365</v>
      </c>
      <c r="P196" s="232" t="s">
        <v>3176</v>
      </c>
      <c r="Q196" s="54" t="n">
        <v>122.32</v>
      </c>
      <c r="R196" s="55"/>
      <c r="S196" s="56" t="str">
        <f aca="false">IF(ISBLANK(R196),"",IF(ISNUMBER(Q196),ROUND(Q196*R196,2),"Укажите цену"))</f>
        <v/>
      </c>
    </row>
    <row r="197" customFormat="false" ht="32" hidden="false" customHeight="true" outlineLevel="1" collapsed="false">
      <c r="J197" s="62"/>
      <c r="M197" s="301" t="n">
        <v>194</v>
      </c>
      <c r="N197" s="232" t="s">
        <v>3174</v>
      </c>
      <c r="O197" s="233" t="s">
        <v>3366</v>
      </c>
      <c r="P197" s="232" t="s">
        <v>3176</v>
      </c>
      <c r="Q197" s="54" t="n">
        <v>122.32</v>
      </c>
      <c r="R197" s="55"/>
      <c r="S197" s="56" t="str">
        <f aca="false">IF(ISBLANK(R197),"",IF(ISNUMBER(Q197),ROUND(Q197*R197,2),"Укажите цену"))</f>
        <v/>
      </c>
    </row>
    <row r="198" customFormat="false" ht="32" hidden="false" customHeight="true" outlineLevel="1" collapsed="false">
      <c r="J198" s="62"/>
      <c r="M198" s="301" t="n">
        <v>195</v>
      </c>
      <c r="N198" s="232" t="s">
        <v>3174</v>
      </c>
      <c r="O198" s="233" t="s">
        <v>3367</v>
      </c>
      <c r="P198" s="232" t="s">
        <v>3176</v>
      </c>
      <c r="Q198" s="54" t="n">
        <v>122.32</v>
      </c>
      <c r="R198" s="55"/>
      <c r="S198" s="56" t="str">
        <f aca="false">IF(ISBLANK(R198),"",IF(ISNUMBER(Q198),ROUND(Q198*R198,2),"Укажите цену"))</f>
        <v/>
      </c>
    </row>
    <row r="199" customFormat="false" ht="32" hidden="false" customHeight="true" outlineLevel="1" collapsed="false">
      <c r="J199" s="62"/>
      <c r="M199" s="301" t="n">
        <v>196</v>
      </c>
      <c r="N199" s="232" t="s">
        <v>3174</v>
      </c>
      <c r="O199" s="233" t="s">
        <v>3368</v>
      </c>
      <c r="P199" s="232" t="s">
        <v>3176</v>
      </c>
      <c r="Q199" s="54" t="n">
        <v>122.32</v>
      </c>
      <c r="R199" s="55"/>
      <c r="S199" s="56" t="str">
        <f aca="false">IF(ISBLANK(R199),"",IF(ISNUMBER(Q199),ROUND(Q199*R199,2),"Укажите цену"))</f>
        <v/>
      </c>
    </row>
    <row r="200" customFormat="false" ht="32" hidden="false" customHeight="true" outlineLevel="1" collapsed="false">
      <c r="J200" s="62"/>
      <c r="M200" s="301" t="n">
        <v>197</v>
      </c>
      <c r="N200" s="232" t="s">
        <v>3174</v>
      </c>
      <c r="O200" s="233" t="s">
        <v>3369</v>
      </c>
      <c r="P200" s="232" t="s">
        <v>3176</v>
      </c>
      <c r="Q200" s="54" t="n">
        <v>122.32</v>
      </c>
      <c r="R200" s="55"/>
      <c r="S200" s="56" t="str">
        <f aca="false">IF(ISBLANK(R200),"",IF(ISNUMBER(Q200),ROUND(Q200*R200,2),"Укажите цену"))</f>
        <v/>
      </c>
    </row>
    <row r="201" customFormat="false" ht="32" hidden="false" customHeight="true" outlineLevel="1" collapsed="false">
      <c r="J201" s="62"/>
      <c r="M201" s="301" t="n">
        <v>198</v>
      </c>
      <c r="N201" s="232" t="s">
        <v>3174</v>
      </c>
      <c r="O201" s="233" t="s">
        <v>3370</v>
      </c>
      <c r="P201" s="232" t="s">
        <v>3176</v>
      </c>
      <c r="Q201" s="54" t="n">
        <v>122.32</v>
      </c>
      <c r="R201" s="55"/>
      <c r="S201" s="56" t="str">
        <f aca="false">IF(ISBLANK(R201),"",IF(ISNUMBER(Q201),ROUND(Q201*R201,2),"Укажите цену"))</f>
        <v/>
      </c>
    </row>
    <row r="202" customFormat="false" ht="32" hidden="false" customHeight="true" outlineLevel="1" collapsed="false">
      <c r="J202" s="62"/>
      <c r="M202" s="301" t="n">
        <v>199</v>
      </c>
      <c r="N202" s="232" t="s">
        <v>3174</v>
      </c>
      <c r="O202" s="233" t="s">
        <v>3371</v>
      </c>
      <c r="P202" s="232" t="s">
        <v>3176</v>
      </c>
      <c r="Q202" s="54" t="n">
        <v>122.32</v>
      </c>
      <c r="R202" s="55"/>
      <c r="S202" s="56" t="str">
        <f aca="false">IF(ISBLANK(R202),"",IF(ISNUMBER(Q202),ROUND(Q202*R202,2),"Укажите цену"))</f>
        <v/>
      </c>
    </row>
    <row r="203" customFormat="false" ht="32" hidden="false" customHeight="true" outlineLevel="1" collapsed="false">
      <c r="J203" s="62"/>
      <c r="M203" s="301" t="n">
        <v>200</v>
      </c>
      <c r="N203" s="232" t="s">
        <v>3174</v>
      </c>
      <c r="O203" s="233" t="s">
        <v>3372</v>
      </c>
      <c r="P203" s="232" t="s">
        <v>3176</v>
      </c>
      <c r="Q203" s="54" t="n">
        <v>122.32</v>
      </c>
      <c r="R203" s="55"/>
      <c r="S203" s="56" t="str">
        <f aca="false">IF(ISBLANK(R203),"",IF(ISNUMBER(Q203),ROUND(Q203*R203,2),"Укажите цену"))</f>
        <v/>
      </c>
    </row>
    <row r="204" customFormat="false" ht="32" hidden="false" customHeight="true" outlineLevel="1" collapsed="false">
      <c r="J204" s="62"/>
      <c r="M204" s="301" t="n">
        <v>201</v>
      </c>
      <c r="N204" s="232" t="s">
        <v>3174</v>
      </c>
      <c r="O204" s="233" t="s">
        <v>3373</v>
      </c>
      <c r="P204" s="232" t="s">
        <v>3176</v>
      </c>
      <c r="Q204" s="54" t="n">
        <v>122.32</v>
      </c>
      <c r="R204" s="55"/>
      <c r="S204" s="56" t="str">
        <f aca="false">IF(ISBLANK(R204),"",IF(ISNUMBER(Q204),ROUND(Q204*R204,2),"Укажите цену"))</f>
        <v/>
      </c>
    </row>
    <row r="205" customFormat="false" ht="32" hidden="false" customHeight="true" outlineLevel="1" collapsed="false">
      <c r="J205" s="62"/>
      <c r="M205" s="301" t="n">
        <v>202</v>
      </c>
      <c r="N205" s="232" t="s">
        <v>3174</v>
      </c>
      <c r="O205" s="233" t="s">
        <v>3374</v>
      </c>
      <c r="P205" s="232" t="s">
        <v>3176</v>
      </c>
      <c r="Q205" s="54" t="n">
        <v>122.32</v>
      </c>
      <c r="R205" s="55"/>
      <c r="S205" s="56" t="str">
        <f aca="false">IF(ISBLANK(R205),"",IF(ISNUMBER(Q205),ROUND(Q205*R205,2),"Укажите цену"))</f>
        <v/>
      </c>
    </row>
    <row r="206" customFormat="false" ht="32" hidden="false" customHeight="true" outlineLevel="1" collapsed="false">
      <c r="J206" s="62"/>
      <c r="M206" s="301" t="n">
        <v>203</v>
      </c>
      <c r="N206" s="232" t="s">
        <v>3174</v>
      </c>
      <c r="O206" s="233" t="s">
        <v>3566</v>
      </c>
      <c r="P206" s="232" t="s">
        <v>3176</v>
      </c>
      <c r="Q206" s="54" t="n">
        <v>122.32</v>
      </c>
      <c r="R206" s="55"/>
      <c r="S206" s="56" t="str">
        <f aca="false">IF(ISBLANK(R206),"",IF(ISNUMBER(Q206),ROUND(Q206*R206,2),"Укажите цену"))</f>
        <v/>
      </c>
    </row>
    <row r="207" customFormat="false" ht="32" hidden="false" customHeight="true" outlineLevel="1" collapsed="false">
      <c r="J207" s="62"/>
      <c r="M207" s="301" t="n">
        <v>204</v>
      </c>
      <c r="N207" s="232" t="s">
        <v>3174</v>
      </c>
      <c r="O207" s="233" t="s">
        <v>3376</v>
      </c>
      <c r="P207" s="232" t="s">
        <v>3176</v>
      </c>
      <c r="Q207" s="54" t="n">
        <v>122.32</v>
      </c>
      <c r="R207" s="55"/>
      <c r="S207" s="56" t="str">
        <f aca="false">IF(ISBLANK(R207),"",IF(ISNUMBER(Q207),ROUND(Q207*R207,2),"Укажите цену"))</f>
        <v/>
      </c>
    </row>
    <row r="208" customFormat="false" ht="32" hidden="false" customHeight="true" outlineLevel="1" collapsed="false">
      <c r="J208" s="62"/>
      <c r="M208" s="301" t="n">
        <v>205</v>
      </c>
      <c r="N208" s="232" t="s">
        <v>3174</v>
      </c>
      <c r="O208" s="233" t="s">
        <v>3377</v>
      </c>
      <c r="P208" s="232" t="s">
        <v>3176</v>
      </c>
      <c r="Q208" s="54" t="n">
        <v>122.32</v>
      </c>
      <c r="R208" s="55"/>
      <c r="S208" s="56" t="str">
        <f aca="false">IF(ISBLANK(R208),"",IF(ISNUMBER(Q208),ROUND(Q208*R208,2),"Укажите цену"))</f>
        <v/>
      </c>
    </row>
    <row r="209" customFormat="false" ht="32" hidden="false" customHeight="true" outlineLevel="1" collapsed="false">
      <c r="J209" s="62"/>
      <c r="M209" s="301" t="n">
        <v>206</v>
      </c>
      <c r="N209" s="232" t="s">
        <v>3174</v>
      </c>
      <c r="O209" s="233" t="s">
        <v>3378</v>
      </c>
      <c r="P209" s="232" t="s">
        <v>3176</v>
      </c>
      <c r="Q209" s="54" t="n">
        <v>122.32</v>
      </c>
      <c r="R209" s="55"/>
      <c r="S209" s="56" t="str">
        <f aca="false">IF(ISBLANK(R209),"",IF(ISNUMBER(Q209),ROUND(Q209*R209,2),"Укажите цену"))</f>
        <v/>
      </c>
    </row>
    <row r="210" customFormat="false" ht="32" hidden="false" customHeight="true" outlineLevel="1" collapsed="false">
      <c r="J210" s="62"/>
      <c r="M210" s="301" t="n">
        <v>207</v>
      </c>
      <c r="N210" s="232" t="s">
        <v>3174</v>
      </c>
      <c r="O210" s="233" t="s">
        <v>3379</v>
      </c>
      <c r="P210" s="232" t="s">
        <v>3176</v>
      </c>
      <c r="Q210" s="54" t="n">
        <v>122.32</v>
      </c>
      <c r="R210" s="55"/>
      <c r="S210" s="56" t="str">
        <f aca="false">IF(ISBLANK(R210),"",IF(ISNUMBER(Q210),ROUND(Q210*R210,2),"Укажите цену"))</f>
        <v/>
      </c>
    </row>
    <row r="211" customFormat="false" ht="32" hidden="false" customHeight="true" outlineLevel="1" collapsed="false">
      <c r="J211" s="62"/>
      <c r="M211" s="301" t="n">
        <v>208</v>
      </c>
      <c r="N211" s="232" t="s">
        <v>3174</v>
      </c>
      <c r="O211" s="233" t="s">
        <v>3380</v>
      </c>
      <c r="P211" s="232" t="s">
        <v>3176</v>
      </c>
      <c r="Q211" s="54" t="n">
        <v>122.32</v>
      </c>
      <c r="R211" s="55"/>
      <c r="S211" s="56" t="str">
        <f aca="false">IF(ISBLANK(R211),"",IF(ISNUMBER(Q211),ROUND(Q211*R211,2),"Укажите цену"))</f>
        <v/>
      </c>
    </row>
    <row r="212" customFormat="false" ht="32" hidden="false" customHeight="true" outlineLevel="1" collapsed="false">
      <c r="J212" s="62"/>
      <c r="M212" s="301" t="n">
        <v>209</v>
      </c>
      <c r="N212" s="232" t="s">
        <v>3174</v>
      </c>
      <c r="O212" s="233" t="s">
        <v>3381</v>
      </c>
      <c r="P212" s="232" t="s">
        <v>3176</v>
      </c>
      <c r="Q212" s="54" t="n">
        <v>122.32</v>
      </c>
      <c r="R212" s="55"/>
      <c r="S212" s="56" t="str">
        <f aca="false">IF(ISBLANK(R212),"",IF(ISNUMBER(Q212),ROUND(Q212*R212,2),"Укажите цену"))</f>
        <v/>
      </c>
    </row>
    <row r="213" customFormat="false" ht="32" hidden="false" customHeight="true" outlineLevel="1" collapsed="false">
      <c r="J213" s="62"/>
      <c r="M213" s="301" t="n">
        <v>210</v>
      </c>
      <c r="N213" s="232" t="s">
        <v>3174</v>
      </c>
      <c r="O213" s="233" t="s">
        <v>3382</v>
      </c>
      <c r="P213" s="232" t="s">
        <v>3176</v>
      </c>
      <c r="Q213" s="54" t="n">
        <v>122.32</v>
      </c>
      <c r="R213" s="55"/>
      <c r="S213" s="56" t="str">
        <f aca="false">IF(ISBLANK(R213),"",IF(ISNUMBER(Q213),ROUND(Q213*R213,2),"Укажите цену"))</f>
        <v/>
      </c>
    </row>
    <row r="214" customFormat="false" ht="32" hidden="false" customHeight="true" outlineLevel="1" collapsed="false">
      <c r="J214" s="62"/>
      <c r="M214" s="301" t="n">
        <v>211</v>
      </c>
      <c r="N214" s="232" t="s">
        <v>3174</v>
      </c>
      <c r="O214" s="233" t="s">
        <v>3383</v>
      </c>
      <c r="P214" s="232" t="s">
        <v>3176</v>
      </c>
      <c r="Q214" s="54" t="n">
        <v>122.32</v>
      </c>
      <c r="R214" s="55"/>
      <c r="S214" s="56" t="str">
        <f aca="false">IF(ISBLANK(R214),"",IF(ISNUMBER(Q214),ROUND(Q214*R214,2),"Укажите цену"))</f>
        <v/>
      </c>
    </row>
    <row r="215" customFormat="false" ht="32" hidden="false" customHeight="true" outlineLevel="1" collapsed="false">
      <c r="J215" s="62"/>
      <c r="M215" s="301" t="n">
        <v>212</v>
      </c>
      <c r="N215" s="232" t="s">
        <v>3174</v>
      </c>
      <c r="O215" s="233" t="s">
        <v>3384</v>
      </c>
      <c r="P215" s="232" t="s">
        <v>3176</v>
      </c>
      <c r="Q215" s="54" t="n">
        <v>122.32</v>
      </c>
      <c r="R215" s="55"/>
      <c r="S215" s="56" t="str">
        <f aca="false">IF(ISBLANK(R215),"",IF(ISNUMBER(Q215),ROUND(Q215*R215,2),"Укажите цену"))</f>
        <v/>
      </c>
    </row>
    <row r="216" customFormat="false" ht="32" hidden="false" customHeight="true" outlineLevel="1" collapsed="false">
      <c r="J216" s="62"/>
      <c r="M216" s="301" t="n">
        <v>213</v>
      </c>
      <c r="N216" s="232" t="s">
        <v>3174</v>
      </c>
      <c r="O216" s="233" t="s">
        <v>3385</v>
      </c>
      <c r="P216" s="232" t="s">
        <v>3176</v>
      </c>
      <c r="Q216" s="54" t="n">
        <v>122.32</v>
      </c>
      <c r="R216" s="55"/>
      <c r="S216" s="56" t="str">
        <f aca="false">IF(ISBLANK(R216),"",IF(ISNUMBER(Q216),ROUND(Q216*R216,2),"Укажите цену"))</f>
        <v/>
      </c>
    </row>
    <row r="217" customFormat="false" ht="32" hidden="false" customHeight="true" outlineLevel="1" collapsed="false">
      <c r="J217" s="62"/>
      <c r="M217" s="301" t="n">
        <v>214</v>
      </c>
      <c r="N217" s="232" t="s">
        <v>3174</v>
      </c>
      <c r="O217" s="233" t="s">
        <v>3386</v>
      </c>
      <c r="P217" s="232" t="s">
        <v>3176</v>
      </c>
      <c r="Q217" s="54" t="n">
        <v>122.32</v>
      </c>
      <c r="R217" s="55"/>
      <c r="S217" s="56" t="str">
        <f aca="false">IF(ISBLANK(R217),"",IF(ISNUMBER(Q217),ROUND(Q217*R217,2),"Укажите цену"))</f>
        <v/>
      </c>
    </row>
    <row r="218" customFormat="false" ht="32" hidden="false" customHeight="true" outlineLevel="1" collapsed="false">
      <c r="J218" s="62"/>
      <c r="M218" s="301" t="n">
        <v>215</v>
      </c>
      <c r="N218" s="232" t="s">
        <v>3174</v>
      </c>
      <c r="O218" s="233" t="s">
        <v>3387</v>
      </c>
      <c r="P218" s="232" t="s">
        <v>3176</v>
      </c>
      <c r="Q218" s="54" t="n">
        <v>122.32</v>
      </c>
      <c r="R218" s="55"/>
      <c r="S218" s="56" t="str">
        <f aca="false">IF(ISBLANK(R218),"",IF(ISNUMBER(Q218),ROUND(Q218*R218,2),"Укажите цену"))</f>
        <v/>
      </c>
    </row>
    <row r="219" customFormat="false" ht="32" hidden="false" customHeight="true" outlineLevel="1" collapsed="false">
      <c r="J219" s="62"/>
      <c r="M219" s="301" t="n">
        <v>216</v>
      </c>
      <c r="N219" s="232" t="s">
        <v>3174</v>
      </c>
      <c r="O219" s="233" t="s">
        <v>3388</v>
      </c>
      <c r="P219" s="232" t="s">
        <v>3176</v>
      </c>
      <c r="Q219" s="54" t="n">
        <v>122.32</v>
      </c>
      <c r="R219" s="55"/>
      <c r="S219" s="56" t="str">
        <f aca="false">IF(ISBLANK(R219),"",IF(ISNUMBER(Q219),ROUND(Q219*R219,2),"Укажите цену"))</f>
        <v/>
      </c>
    </row>
    <row r="220" customFormat="false" ht="32" hidden="false" customHeight="true" outlineLevel="1" collapsed="false">
      <c r="J220" s="62"/>
      <c r="M220" s="301" t="n">
        <v>217</v>
      </c>
      <c r="N220" s="232" t="s">
        <v>3174</v>
      </c>
      <c r="O220" s="233" t="s">
        <v>3389</v>
      </c>
      <c r="P220" s="232" t="s">
        <v>3176</v>
      </c>
      <c r="Q220" s="54" t="n">
        <v>122.32</v>
      </c>
      <c r="R220" s="55"/>
      <c r="S220" s="56" t="str">
        <f aca="false">IF(ISBLANK(R220),"",IF(ISNUMBER(Q220),ROUND(Q220*R220,2),"Укажите цену"))</f>
        <v/>
      </c>
    </row>
    <row r="221" customFormat="false" ht="32" hidden="false" customHeight="true" outlineLevel="1" collapsed="false">
      <c r="J221" s="62"/>
      <c r="M221" s="301" t="n">
        <v>218</v>
      </c>
      <c r="N221" s="232" t="s">
        <v>3174</v>
      </c>
      <c r="O221" s="233" t="s">
        <v>3390</v>
      </c>
      <c r="P221" s="232" t="s">
        <v>3176</v>
      </c>
      <c r="Q221" s="54" t="n">
        <v>122.32</v>
      </c>
      <c r="R221" s="55"/>
      <c r="S221" s="56" t="str">
        <f aca="false">IF(ISBLANK(R221),"",IF(ISNUMBER(Q221),ROUND(Q221*R221,2),"Укажите цену"))</f>
        <v/>
      </c>
    </row>
    <row r="222" customFormat="false" ht="32" hidden="false" customHeight="true" outlineLevel="1" collapsed="false">
      <c r="J222" s="62"/>
      <c r="M222" s="301" t="n">
        <v>219</v>
      </c>
      <c r="N222" s="232" t="s">
        <v>3174</v>
      </c>
      <c r="O222" s="233" t="s">
        <v>3391</v>
      </c>
      <c r="P222" s="232" t="s">
        <v>3176</v>
      </c>
      <c r="Q222" s="54" t="n">
        <v>122.32</v>
      </c>
      <c r="R222" s="55"/>
      <c r="S222" s="56" t="str">
        <f aca="false">IF(ISBLANK(R222),"",IF(ISNUMBER(Q222),ROUND(Q222*R222,2),"Укажите цену"))</f>
        <v/>
      </c>
    </row>
    <row r="223" customFormat="false" ht="32" hidden="false" customHeight="true" outlineLevel="1" collapsed="false">
      <c r="J223" s="62"/>
      <c r="M223" s="301" t="n">
        <v>220</v>
      </c>
      <c r="N223" s="232" t="s">
        <v>3174</v>
      </c>
      <c r="O223" s="233" t="s">
        <v>3392</v>
      </c>
      <c r="P223" s="232" t="s">
        <v>3176</v>
      </c>
      <c r="Q223" s="54" t="n">
        <v>122.32</v>
      </c>
      <c r="R223" s="55"/>
      <c r="S223" s="56" t="str">
        <f aca="false">IF(ISBLANK(R223),"",IF(ISNUMBER(Q223),ROUND(Q223*R223,2),"Укажите цену"))</f>
        <v/>
      </c>
    </row>
    <row r="224" customFormat="false" ht="32" hidden="false" customHeight="true" outlineLevel="1" collapsed="false">
      <c r="J224" s="62"/>
      <c r="M224" s="301" t="n">
        <v>221</v>
      </c>
      <c r="N224" s="232" t="s">
        <v>3174</v>
      </c>
      <c r="O224" s="233" t="s">
        <v>3393</v>
      </c>
      <c r="P224" s="232" t="s">
        <v>3176</v>
      </c>
      <c r="Q224" s="54" t="n">
        <v>122.32</v>
      </c>
      <c r="R224" s="55"/>
      <c r="S224" s="56" t="str">
        <f aca="false">IF(ISBLANK(R224),"",IF(ISNUMBER(Q224),ROUND(Q224*R224,2),"Укажите цену"))</f>
        <v/>
      </c>
    </row>
    <row r="225" customFormat="false" ht="32" hidden="false" customHeight="true" outlineLevel="1" collapsed="false">
      <c r="J225" s="62"/>
      <c r="M225" s="301" t="n">
        <v>222</v>
      </c>
      <c r="N225" s="232" t="s">
        <v>3174</v>
      </c>
      <c r="O225" s="233" t="s">
        <v>3378</v>
      </c>
      <c r="P225" s="232" t="s">
        <v>3176</v>
      </c>
      <c r="Q225" s="54" t="n">
        <v>122.32</v>
      </c>
      <c r="R225" s="55"/>
      <c r="S225" s="56" t="str">
        <f aca="false">IF(ISBLANK(R225),"",IF(ISNUMBER(Q225),ROUND(Q225*R225,2),"Укажите цену"))</f>
        <v/>
      </c>
    </row>
    <row r="226" customFormat="false" ht="32" hidden="false" customHeight="true" outlineLevel="1" collapsed="false">
      <c r="J226" s="62"/>
      <c r="M226" s="301" t="n">
        <v>223</v>
      </c>
      <c r="N226" s="232" t="s">
        <v>3174</v>
      </c>
      <c r="O226" s="233" t="s">
        <v>3394</v>
      </c>
      <c r="P226" s="232" t="s">
        <v>3176</v>
      </c>
      <c r="Q226" s="54" t="n">
        <v>122.32</v>
      </c>
      <c r="R226" s="55"/>
      <c r="S226" s="56" t="str">
        <f aca="false">IF(ISBLANK(R226),"",IF(ISNUMBER(Q226),ROUND(Q226*R226,2),"Укажите цену"))</f>
        <v/>
      </c>
    </row>
    <row r="227" customFormat="false" ht="32" hidden="false" customHeight="true" outlineLevel="1" collapsed="false">
      <c r="J227" s="62"/>
      <c r="M227" s="301" t="n">
        <v>224</v>
      </c>
      <c r="N227" s="232" t="s">
        <v>3174</v>
      </c>
      <c r="O227" s="233" t="s">
        <v>3395</v>
      </c>
      <c r="P227" s="232" t="s">
        <v>3176</v>
      </c>
      <c r="Q227" s="54" t="n">
        <v>122.32</v>
      </c>
      <c r="R227" s="55"/>
      <c r="S227" s="56" t="str">
        <f aca="false">IF(ISBLANK(R227),"",IF(ISNUMBER(Q227),ROUND(Q227*R227,2),"Укажите цену"))</f>
        <v/>
      </c>
    </row>
    <row r="228" customFormat="false" ht="32" hidden="false" customHeight="true" outlineLevel="1" collapsed="false">
      <c r="J228" s="62"/>
      <c r="M228" s="301" t="n">
        <v>225</v>
      </c>
      <c r="N228" s="232" t="s">
        <v>3174</v>
      </c>
      <c r="O228" s="233" t="s">
        <v>3396</v>
      </c>
      <c r="P228" s="232" t="s">
        <v>3176</v>
      </c>
      <c r="Q228" s="54" t="n">
        <v>122.32</v>
      </c>
      <c r="R228" s="55"/>
      <c r="S228" s="56" t="str">
        <f aca="false">IF(ISBLANK(R228),"",IF(ISNUMBER(Q228),ROUND(Q228*R228,2),"Укажите цену"))</f>
        <v/>
      </c>
    </row>
    <row r="229" customFormat="false" ht="32" hidden="false" customHeight="true" outlineLevel="1" collapsed="false">
      <c r="J229" s="62"/>
      <c r="M229" s="301" t="n">
        <v>226</v>
      </c>
      <c r="N229" s="232" t="s">
        <v>3174</v>
      </c>
      <c r="O229" s="233" t="s">
        <v>3397</v>
      </c>
      <c r="P229" s="232" t="s">
        <v>3176</v>
      </c>
      <c r="Q229" s="54" t="n">
        <v>122.32</v>
      </c>
      <c r="R229" s="55"/>
      <c r="S229" s="56" t="str">
        <f aca="false">IF(ISBLANK(R229),"",IF(ISNUMBER(Q229),ROUND(Q229*R229,2),"Укажите цену"))</f>
        <v/>
      </c>
    </row>
    <row r="230" customFormat="false" ht="32" hidden="false" customHeight="true" outlineLevel="1" collapsed="false">
      <c r="J230" s="62"/>
      <c r="M230" s="301" t="n">
        <v>227</v>
      </c>
      <c r="N230" s="232" t="s">
        <v>3174</v>
      </c>
      <c r="O230" s="233" t="s">
        <v>3398</v>
      </c>
      <c r="P230" s="232" t="s">
        <v>3176</v>
      </c>
      <c r="Q230" s="54" t="n">
        <v>122.32</v>
      </c>
      <c r="R230" s="55"/>
      <c r="S230" s="56" t="str">
        <f aca="false">IF(ISBLANK(R230),"",IF(ISNUMBER(Q230),ROUND(Q230*R230,2),"Укажите цену"))</f>
        <v/>
      </c>
    </row>
    <row r="231" customFormat="false" ht="32" hidden="false" customHeight="true" outlineLevel="1" collapsed="false">
      <c r="J231" s="62"/>
      <c r="M231" s="301" t="n">
        <v>228</v>
      </c>
      <c r="N231" s="232" t="s">
        <v>3174</v>
      </c>
      <c r="O231" s="233" t="s">
        <v>3399</v>
      </c>
      <c r="P231" s="232" t="s">
        <v>3176</v>
      </c>
      <c r="Q231" s="54" t="n">
        <v>122.32</v>
      </c>
      <c r="R231" s="55"/>
      <c r="S231" s="56" t="str">
        <f aca="false">IF(ISBLANK(R231),"",IF(ISNUMBER(Q231),ROUND(Q231*R231,2),"Укажите цену"))</f>
        <v/>
      </c>
    </row>
    <row r="232" customFormat="false" ht="32" hidden="false" customHeight="true" outlineLevel="1" collapsed="false">
      <c r="J232" s="62"/>
      <c r="M232" s="301" t="n">
        <v>229</v>
      </c>
      <c r="N232" s="232" t="s">
        <v>3174</v>
      </c>
      <c r="O232" s="233" t="s">
        <v>3400</v>
      </c>
      <c r="P232" s="232" t="s">
        <v>3176</v>
      </c>
      <c r="Q232" s="54" t="n">
        <v>122.32</v>
      </c>
      <c r="R232" s="55"/>
      <c r="S232" s="56" t="str">
        <f aca="false">IF(ISBLANK(R232),"",IF(ISNUMBER(Q232),ROUND(Q232*R232,2),"Укажите цену"))</f>
        <v/>
      </c>
    </row>
    <row r="233" customFormat="false" ht="32" hidden="false" customHeight="true" outlineLevel="1" collapsed="false">
      <c r="J233" s="62"/>
      <c r="M233" s="301" t="n">
        <v>230</v>
      </c>
      <c r="N233" s="232" t="s">
        <v>3174</v>
      </c>
      <c r="O233" s="233" t="s">
        <v>3401</v>
      </c>
      <c r="P233" s="232" t="s">
        <v>3176</v>
      </c>
      <c r="Q233" s="54" t="n">
        <v>122.32</v>
      </c>
      <c r="R233" s="55"/>
      <c r="S233" s="56" t="str">
        <f aca="false">IF(ISBLANK(R233),"",IF(ISNUMBER(Q233),ROUND(Q233*R233,2),"Укажите цену"))</f>
        <v/>
      </c>
    </row>
    <row r="234" customFormat="false" ht="32" hidden="false" customHeight="true" outlineLevel="1" collapsed="false">
      <c r="J234" s="62"/>
      <c r="M234" s="301" t="n">
        <v>231</v>
      </c>
      <c r="N234" s="232" t="s">
        <v>3174</v>
      </c>
      <c r="O234" s="233" t="s">
        <v>3402</v>
      </c>
      <c r="P234" s="232" t="s">
        <v>3176</v>
      </c>
      <c r="Q234" s="54" t="n">
        <v>122.32</v>
      </c>
      <c r="R234" s="55"/>
      <c r="S234" s="56" t="str">
        <f aca="false">IF(ISBLANK(R234),"",IF(ISNUMBER(Q234),ROUND(Q234*R234,2),"Укажите цену"))</f>
        <v/>
      </c>
    </row>
    <row r="235" customFormat="false" ht="32" hidden="false" customHeight="true" outlineLevel="1" collapsed="false">
      <c r="J235" s="62"/>
      <c r="M235" s="301" t="n">
        <v>232</v>
      </c>
      <c r="N235" s="232" t="s">
        <v>3174</v>
      </c>
      <c r="O235" s="233" t="s">
        <v>3403</v>
      </c>
      <c r="P235" s="232" t="s">
        <v>3176</v>
      </c>
      <c r="Q235" s="54" t="n">
        <v>122.32</v>
      </c>
      <c r="R235" s="55"/>
      <c r="S235" s="56" t="str">
        <f aca="false">IF(ISBLANK(R235),"",IF(ISNUMBER(Q235),ROUND(Q235*R235,2),"Укажите цену"))</f>
        <v/>
      </c>
    </row>
    <row r="236" customFormat="false" ht="32" hidden="false" customHeight="true" outlineLevel="1" collapsed="false">
      <c r="J236" s="62"/>
      <c r="M236" s="301" t="n">
        <v>233</v>
      </c>
      <c r="N236" s="232" t="s">
        <v>3174</v>
      </c>
      <c r="O236" s="233" t="s">
        <v>3404</v>
      </c>
      <c r="P236" s="232" t="s">
        <v>3176</v>
      </c>
      <c r="Q236" s="54" t="n">
        <v>122.32</v>
      </c>
      <c r="R236" s="55"/>
      <c r="S236" s="56" t="str">
        <f aca="false">IF(ISBLANK(R236),"",IF(ISNUMBER(Q236),ROUND(Q236*R236,2),"Укажите цену"))</f>
        <v/>
      </c>
    </row>
    <row r="237" customFormat="false" ht="32" hidden="false" customHeight="true" outlineLevel="1" collapsed="false">
      <c r="J237" s="62"/>
      <c r="M237" s="301" t="n">
        <v>234</v>
      </c>
      <c r="N237" s="232" t="s">
        <v>3174</v>
      </c>
      <c r="O237" s="233" t="s">
        <v>3405</v>
      </c>
      <c r="P237" s="232" t="s">
        <v>3176</v>
      </c>
      <c r="Q237" s="54" t="n">
        <v>122.32</v>
      </c>
      <c r="R237" s="55"/>
      <c r="S237" s="56" t="str">
        <f aca="false">IF(ISBLANK(R237),"",IF(ISNUMBER(Q237),ROUND(Q237*R237,2),"Укажите цену"))</f>
        <v/>
      </c>
    </row>
    <row r="238" customFormat="false" ht="32" hidden="false" customHeight="true" outlineLevel="1" collapsed="false">
      <c r="J238" s="62"/>
      <c r="M238" s="301" t="n">
        <v>235</v>
      </c>
      <c r="N238" s="232" t="s">
        <v>3174</v>
      </c>
      <c r="O238" s="233" t="s">
        <v>3406</v>
      </c>
      <c r="P238" s="232" t="s">
        <v>3176</v>
      </c>
      <c r="Q238" s="54" t="n">
        <v>122.32</v>
      </c>
      <c r="R238" s="55"/>
      <c r="S238" s="56" t="str">
        <f aca="false">IF(ISBLANK(R238),"",IF(ISNUMBER(Q238),ROUND(Q238*R238,2),"Укажите цену"))</f>
        <v/>
      </c>
    </row>
    <row r="239" customFormat="false" ht="32" hidden="false" customHeight="true" outlineLevel="1" collapsed="false">
      <c r="J239" s="62"/>
      <c r="M239" s="301" t="n">
        <v>236</v>
      </c>
      <c r="N239" s="232" t="s">
        <v>3174</v>
      </c>
      <c r="O239" s="233" t="s">
        <v>3407</v>
      </c>
      <c r="P239" s="232" t="s">
        <v>3176</v>
      </c>
      <c r="Q239" s="54" t="n">
        <v>122.32</v>
      </c>
      <c r="R239" s="55"/>
      <c r="S239" s="56" t="str">
        <f aca="false">IF(ISBLANK(R239),"",IF(ISNUMBER(Q239),ROUND(Q239*R239,2),"Укажите цену"))</f>
        <v/>
      </c>
    </row>
    <row r="240" customFormat="false" ht="32" hidden="false" customHeight="true" outlineLevel="1" collapsed="false">
      <c r="J240" s="62"/>
      <c r="M240" s="301" t="n">
        <v>237</v>
      </c>
      <c r="N240" s="232" t="s">
        <v>3174</v>
      </c>
      <c r="O240" s="233" t="s">
        <v>3408</v>
      </c>
      <c r="P240" s="232" t="s">
        <v>3176</v>
      </c>
      <c r="Q240" s="54" t="n">
        <v>122.32</v>
      </c>
      <c r="R240" s="55"/>
      <c r="S240" s="56" t="str">
        <f aca="false">IF(ISBLANK(R240),"",IF(ISNUMBER(Q240),ROUND(Q240*R240,2),"Укажите цену"))</f>
        <v/>
      </c>
    </row>
    <row r="241" customFormat="false" ht="32" hidden="false" customHeight="true" outlineLevel="1" collapsed="false">
      <c r="J241" s="62"/>
      <c r="M241" s="301" t="n">
        <v>238</v>
      </c>
      <c r="N241" s="232" t="s">
        <v>3174</v>
      </c>
      <c r="O241" s="233" t="s">
        <v>3409</v>
      </c>
      <c r="P241" s="232" t="s">
        <v>3176</v>
      </c>
      <c r="Q241" s="54" t="n">
        <v>122.32</v>
      </c>
      <c r="R241" s="55"/>
      <c r="S241" s="56" t="str">
        <f aca="false">IF(ISBLANK(R241),"",IF(ISNUMBER(Q241),ROUND(Q241*R241,2),"Укажите цену"))</f>
        <v/>
      </c>
    </row>
    <row r="242" customFormat="false" ht="32" hidden="false" customHeight="true" outlineLevel="1" collapsed="false">
      <c r="J242" s="62"/>
      <c r="M242" s="301" t="n">
        <v>239</v>
      </c>
      <c r="N242" s="232" t="s">
        <v>3174</v>
      </c>
      <c r="O242" s="233" t="s">
        <v>3410</v>
      </c>
      <c r="P242" s="232" t="s">
        <v>3176</v>
      </c>
      <c r="Q242" s="54" t="n">
        <v>122.32</v>
      </c>
      <c r="R242" s="55"/>
      <c r="S242" s="56" t="str">
        <f aca="false">IF(ISBLANK(R242),"",IF(ISNUMBER(Q242),ROUND(Q242*R242,2),"Укажите цену"))</f>
        <v/>
      </c>
    </row>
    <row r="243" customFormat="false" ht="32" hidden="false" customHeight="true" outlineLevel="1" collapsed="false">
      <c r="J243" s="62"/>
      <c r="M243" s="301" t="n">
        <v>240</v>
      </c>
      <c r="N243" s="232" t="s">
        <v>3174</v>
      </c>
      <c r="O243" s="233" t="s">
        <v>3411</v>
      </c>
      <c r="P243" s="232" t="s">
        <v>3176</v>
      </c>
      <c r="Q243" s="54" t="n">
        <v>122.32</v>
      </c>
      <c r="R243" s="55"/>
      <c r="S243" s="56" t="str">
        <f aca="false">IF(ISBLANK(R243),"",IF(ISNUMBER(Q243),ROUND(Q243*R243,2),"Укажите цену"))</f>
        <v/>
      </c>
    </row>
    <row r="244" customFormat="false" ht="32" hidden="false" customHeight="true" outlineLevel="1" collapsed="false">
      <c r="J244" s="62"/>
      <c r="M244" s="301" t="n">
        <v>241</v>
      </c>
      <c r="N244" s="232" t="s">
        <v>3174</v>
      </c>
      <c r="O244" s="233" t="s">
        <v>3412</v>
      </c>
      <c r="P244" s="232" t="s">
        <v>3176</v>
      </c>
      <c r="Q244" s="54" t="n">
        <v>122.32</v>
      </c>
      <c r="R244" s="55"/>
      <c r="S244" s="56" t="str">
        <f aca="false">IF(ISBLANK(R244),"",IF(ISNUMBER(Q244),ROUND(Q244*R244,2),"Укажите цену"))</f>
        <v/>
      </c>
    </row>
    <row r="245" customFormat="false" ht="32" hidden="false" customHeight="true" outlineLevel="1" collapsed="false">
      <c r="J245" s="62"/>
      <c r="M245" s="301" t="n">
        <v>242</v>
      </c>
      <c r="N245" s="232" t="s">
        <v>3174</v>
      </c>
      <c r="O245" s="233" t="s">
        <v>3180</v>
      </c>
      <c r="P245" s="232" t="s">
        <v>3176</v>
      </c>
      <c r="Q245" s="54" t="n">
        <v>122.32</v>
      </c>
      <c r="R245" s="55"/>
      <c r="S245" s="56" t="str">
        <f aca="false">IF(ISBLANK(R245),"",IF(ISNUMBER(Q245),ROUND(Q245*R245,2),"Укажите цену"))</f>
        <v/>
      </c>
    </row>
    <row r="246" customFormat="false" ht="32" hidden="false" customHeight="true" outlineLevel="1" collapsed="false">
      <c r="J246" s="62"/>
      <c r="M246" s="301" t="n">
        <v>243</v>
      </c>
      <c r="N246" s="232" t="s">
        <v>3174</v>
      </c>
      <c r="O246" s="233" t="s">
        <v>3413</v>
      </c>
      <c r="P246" s="232" t="s">
        <v>3176</v>
      </c>
      <c r="Q246" s="54" t="n">
        <v>122.32</v>
      </c>
      <c r="R246" s="55"/>
      <c r="S246" s="56" t="str">
        <f aca="false">IF(ISBLANK(R246),"",IF(ISNUMBER(Q246),ROUND(Q246*R246,2),"Укажите цену"))</f>
        <v/>
      </c>
    </row>
    <row r="247" customFormat="false" ht="32" hidden="false" customHeight="true" outlineLevel="1" collapsed="false">
      <c r="J247" s="62"/>
      <c r="M247" s="301" t="n">
        <v>244</v>
      </c>
      <c r="N247" s="232" t="s">
        <v>3174</v>
      </c>
      <c r="O247" s="233" t="s">
        <v>3414</v>
      </c>
      <c r="P247" s="232" t="s">
        <v>3176</v>
      </c>
      <c r="Q247" s="54" t="n">
        <v>122.32</v>
      </c>
      <c r="R247" s="55"/>
      <c r="S247" s="56" t="str">
        <f aca="false">IF(ISBLANK(R247),"",IF(ISNUMBER(Q247),ROUND(Q247*R247,2),"Укажите цену"))</f>
        <v/>
      </c>
    </row>
    <row r="248" customFormat="false" ht="32" hidden="false" customHeight="true" outlineLevel="1" collapsed="false">
      <c r="J248" s="62"/>
      <c r="M248" s="301" t="n">
        <v>245</v>
      </c>
      <c r="N248" s="232" t="s">
        <v>3174</v>
      </c>
      <c r="O248" s="233" t="s">
        <v>3415</v>
      </c>
      <c r="P248" s="232" t="s">
        <v>3176</v>
      </c>
      <c r="Q248" s="54" t="n">
        <v>122.32</v>
      </c>
      <c r="R248" s="55"/>
      <c r="S248" s="56" t="str">
        <f aca="false">IF(ISBLANK(R248),"",IF(ISNUMBER(Q248),ROUND(Q248*R248,2),"Укажите цену"))</f>
        <v/>
      </c>
    </row>
    <row r="249" customFormat="false" ht="32" hidden="false" customHeight="true" outlineLevel="1" collapsed="false">
      <c r="J249" s="62"/>
      <c r="M249" s="301" t="n">
        <v>246</v>
      </c>
      <c r="N249" s="232" t="s">
        <v>3174</v>
      </c>
      <c r="O249" s="233" t="s">
        <v>3416</v>
      </c>
      <c r="P249" s="232" t="s">
        <v>3176</v>
      </c>
      <c r="Q249" s="54" t="n">
        <v>122.32</v>
      </c>
      <c r="R249" s="55"/>
      <c r="S249" s="56" t="str">
        <f aca="false">IF(ISBLANK(R249),"",IF(ISNUMBER(Q249),ROUND(Q249*R249,2),"Укажите цену"))</f>
        <v/>
      </c>
    </row>
    <row r="250" customFormat="false" ht="32" hidden="false" customHeight="true" outlineLevel="1" collapsed="false">
      <c r="J250" s="62"/>
      <c r="M250" s="301" t="n">
        <v>247</v>
      </c>
      <c r="N250" s="232" t="s">
        <v>3174</v>
      </c>
      <c r="O250" s="233" t="s">
        <v>3417</v>
      </c>
      <c r="P250" s="232" t="s">
        <v>3176</v>
      </c>
      <c r="Q250" s="54" t="n">
        <v>122.32</v>
      </c>
      <c r="R250" s="55"/>
      <c r="S250" s="56" t="str">
        <f aca="false">IF(ISBLANK(R250),"",IF(ISNUMBER(Q250),ROUND(Q250*R250,2),"Укажите цену"))</f>
        <v/>
      </c>
    </row>
    <row r="251" customFormat="false" ht="32" hidden="false" customHeight="true" outlineLevel="1" collapsed="false">
      <c r="J251" s="62"/>
      <c r="M251" s="301" t="n">
        <v>248</v>
      </c>
      <c r="N251" s="232" t="s">
        <v>3174</v>
      </c>
      <c r="O251" s="233" t="s">
        <v>3418</v>
      </c>
      <c r="P251" s="232" t="s">
        <v>3176</v>
      </c>
      <c r="Q251" s="54" t="n">
        <v>122.32</v>
      </c>
      <c r="R251" s="55"/>
      <c r="S251" s="56" t="str">
        <f aca="false">IF(ISBLANK(R251),"",IF(ISNUMBER(Q251),ROUND(Q251*R251,2),"Укажите цену"))</f>
        <v/>
      </c>
    </row>
    <row r="252" customFormat="false" ht="32" hidden="false" customHeight="true" outlineLevel="1" collapsed="false">
      <c r="J252" s="62"/>
      <c r="M252" s="301" t="n">
        <v>249</v>
      </c>
      <c r="N252" s="232" t="s">
        <v>3174</v>
      </c>
      <c r="O252" s="233" t="s">
        <v>3419</v>
      </c>
      <c r="P252" s="232" t="s">
        <v>3176</v>
      </c>
      <c r="Q252" s="54" t="n">
        <v>122.32</v>
      </c>
      <c r="R252" s="55"/>
      <c r="S252" s="56" t="str">
        <f aca="false">IF(ISBLANK(R252),"",IF(ISNUMBER(Q252),ROUND(Q252*R252,2),"Укажите цену"))</f>
        <v/>
      </c>
    </row>
    <row r="253" customFormat="false" ht="32" hidden="false" customHeight="true" outlineLevel="1" collapsed="false">
      <c r="J253" s="62"/>
      <c r="M253" s="301" t="n">
        <v>250</v>
      </c>
      <c r="N253" s="232" t="s">
        <v>3174</v>
      </c>
      <c r="O253" s="233" t="s">
        <v>3202</v>
      </c>
      <c r="P253" s="232" t="s">
        <v>3176</v>
      </c>
      <c r="Q253" s="54" t="n">
        <v>122.32</v>
      </c>
      <c r="R253" s="55"/>
      <c r="S253" s="56" t="str">
        <f aca="false">IF(ISBLANK(R253),"",IF(ISNUMBER(Q253),ROUND(Q253*R253,2),"Укажите цену"))</f>
        <v/>
      </c>
    </row>
    <row r="254" customFormat="false" ht="32" hidden="false" customHeight="true" outlineLevel="1" collapsed="false">
      <c r="J254" s="62"/>
      <c r="M254" s="301" t="n">
        <v>251</v>
      </c>
      <c r="N254" s="232" t="s">
        <v>3174</v>
      </c>
      <c r="O254" s="233" t="s">
        <v>3420</v>
      </c>
      <c r="P254" s="232" t="s">
        <v>3176</v>
      </c>
      <c r="Q254" s="54" t="n">
        <v>122.32</v>
      </c>
      <c r="R254" s="55"/>
      <c r="S254" s="56" t="str">
        <f aca="false">IF(ISBLANK(R254),"",IF(ISNUMBER(Q254),ROUND(Q254*R254,2),"Укажите цену"))</f>
        <v/>
      </c>
    </row>
    <row r="255" customFormat="false" ht="32" hidden="false" customHeight="true" outlineLevel="1" collapsed="false">
      <c r="J255" s="62"/>
      <c r="M255" s="301" t="n">
        <v>252</v>
      </c>
      <c r="N255" s="232" t="s">
        <v>3174</v>
      </c>
      <c r="O255" s="233" t="s">
        <v>3421</v>
      </c>
      <c r="P255" s="232" t="s">
        <v>3176</v>
      </c>
      <c r="Q255" s="54" t="n">
        <v>122.32</v>
      </c>
      <c r="R255" s="55"/>
      <c r="S255" s="56" t="str">
        <f aca="false">IF(ISBLANK(R255),"",IF(ISNUMBER(Q255),ROUND(Q255*R255,2),"Укажите цену"))</f>
        <v/>
      </c>
    </row>
    <row r="256" customFormat="false" ht="32" hidden="false" customHeight="true" outlineLevel="1" collapsed="false">
      <c r="J256" s="62"/>
      <c r="M256" s="301" t="n">
        <v>253</v>
      </c>
      <c r="N256" s="232" t="s">
        <v>3174</v>
      </c>
      <c r="O256" s="233" t="s">
        <v>3422</v>
      </c>
      <c r="P256" s="232" t="s">
        <v>3176</v>
      </c>
      <c r="Q256" s="54" t="n">
        <v>122.32</v>
      </c>
      <c r="R256" s="55"/>
      <c r="S256" s="56" t="str">
        <f aca="false">IF(ISBLANK(R256),"",IF(ISNUMBER(Q256),ROUND(Q256*R256,2),"Укажите цену"))</f>
        <v/>
      </c>
    </row>
    <row r="257" customFormat="false" ht="32" hidden="false" customHeight="true" outlineLevel="1" collapsed="false">
      <c r="J257" s="62"/>
      <c r="M257" s="301" t="n">
        <v>254</v>
      </c>
      <c r="N257" s="232" t="s">
        <v>3174</v>
      </c>
      <c r="O257" s="233" t="s">
        <v>3567</v>
      </c>
      <c r="P257" s="232" t="s">
        <v>3176</v>
      </c>
      <c r="Q257" s="54" t="n">
        <v>122.32</v>
      </c>
      <c r="R257" s="55"/>
      <c r="S257" s="56" t="str">
        <f aca="false">IF(ISBLANK(R257),"",IF(ISNUMBER(Q257),ROUND(Q257*R257,2),"Укажите цену"))</f>
        <v/>
      </c>
    </row>
    <row r="258" customFormat="false" ht="32" hidden="false" customHeight="true" outlineLevel="1" collapsed="false">
      <c r="J258" s="62"/>
      <c r="M258" s="301" t="n">
        <v>255</v>
      </c>
      <c r="N258" s="232" t="s">
        <v>3174</v>
      </c>
      <c r="O258" s="233" t="s">
        <v>3424</v>
      </c>
      <c r="P258" s="232" t="s">
        <v>3176</v>
      </c>
      <c r="Q258" s="54" t="n">
        <v>122.32</v>
      </c>
      <c r="R258" s="55"/>
      <c r="S258" s="56" t="str">
        <f aca="false">IF(ISBLANK(R258),"",IF(ISNUMBER(Q258),ROUND(Q258*R258,2),"Укажите цену"))</f>
        <v/>
      </c>
    </row>
    <row r="259" customFormat="false" ht="32" hidden="false" customHeight="true" outlineLevel="1" collapsed="false">
      <c r="J259" s="62"/>
      <c r="M259" s="301" t="n">
        <v>256</v>
      </c>
      <c r="N259" s="232" t="s">
        <v>3174</v>
      </c>
      <c r="O259" s="233" t="s">
        <v>3425</v>
      </c>
      <c r="P259" s="232" t="s">
        <v>3176</v>
      </c>
      <c r="Q259" s="54" t="n">
        <v>122.32</v>
      </c>
      <c r="R259" s="55"/>
      <c r="S259" s="56" t="str">
        <f aca="false">IF(ISBLANK(R259),"",IF(ISNUMBER(Q259),ROUND(Q259*R259,2),"Укажите цену"))</f>
        <v/>
      </c>
    </row>
    <row r="260" customFormat="false" ht="32" hidden="false" customHeight="true" outlineLevel="1" collapsed="false">
      <c r="J260" s="62"/>
      <c r="M260" s="301" t="n">
        <v>257</v>
      </c>
      <c r="N260" s="232" t="s">
        <v>3174</v>
      </c>
      <c r="O260" s="233" t="s">
        <v>3426</v>
      </c>
      <c r="P260" s="232" t="s">
        <v>3176</v>
      </c>
      <c r="Q260" s="54" t="n">
        <v>122.32</v>
      </c>
      <c r="R260" s="55"/>
      <c r="S260" s="56" t="str">
        <f aca="false">IF(ISBLANK(R260),"",IF(ISNUMBER(Q260),ROUND(Q260*R260,2),"Укажите цену"))</f>
        <v/>
      </c>
    </row>
    <row r="261" customFormat="false" ht="32" hidden="false" customHeight="true" outlineLevel="1" collapsed="false">
      <c r="J261" s="62"/>
      <c r="M261" s="301" t="n">
        <v>258</v>
      </c>
      <c r="N261" s="232" t="s">
        <v>3174</v>
      </c>
      <c r="O261" s="233" t="s">
        <v>3213</v>
      </c>
      <c r="P261" s="232" t="s">
        <v>3176</v>
      </c>
      <c r="Q261" s="54" t="n">
        <v>122.32</v>
      </c>
      <c r="R261" s="55"/>
      <c r="S261" s="56" t="str">
        <f aca="false">IF(ISBLANK(R261),"",IF(ISNUMBER(Q261),ROUND(Q261*R261,2),"Укажите цену"))</f>
        <v/>
      </c>
    </row>
    <row r="262" customFormat="false" ht="32" hidden="false" customHeight="true" outlineLevel="1" collapsed="false">
      <c r="J262" s="62"/>
      <c r="M262" s="301" t="n">
        <v>259</v>
      </c>
      <c r="N262" s="232" t="s">
        <v>3174</v>
      </c>
      <c r="O262" s="233" t="s">
        <v>3427</v>
      </c>
      <c r="P262" s="232" t="s">
        <v>3176</v>
      </c>
      <c r="Q262" s="54" t="n">
        <v>122.32</v>
      </c>
      <c r="R262" s="55"/>
      <c r="S262" s="56" t="str">
        <f aca="false">IF(ISBLANK(R262),"",IF(ISNUMBER(Q262),ROUND(Q262*R262,2),"Укажите цену"))</f>
        <v/>
      </c>
    </row>
    <row r="263" customFormat="false" ht="32" hidden="false" customHeight="true" outlineLevel="1" collapsed="false">
      <c r="J263" s="62"/>
      <c r="M263" s="301" t="n">
        <v>260</v>
      </c>
      <c r="N263" s="232" t="s">
        <v>3174</v>
      </c>
      <c r="O263" s="233" t="s">
        <v>3428</v>
      </c>
      <c r="P263" s="232" t="s">
        <v>3176</v>
      </c>
      <c r="Q263" s="54" t="n">
        <v>122.32</v>
      </c>
      <c r="R263" s="55"/>
      <c r="S263" s="56" t="str">
        <f aca="false">IF(ISBLANK(R263),"",IF(ISNUMBER(Q263),ROUND(Q263*R263,2),"Укажите цену"))</f>
        <v/>
      </c>
    </row>
    <row r="264" customFormat="false" ht="32" hidden="false" customHeight="true" outlineLevel="1" collapsed="false">
      <c r="J264" s="62"/>
      <c r="M264" s="301" t="n">
        <v>261</v>
      </c>
      <c r="N264" s="232" t="s">
        <v>3174</v>
      </c>
      <c r="O264" s="233" t="s">
        <v>3429</v>
      </c>
      <c r="P264" s="232" t="s">
        <v>3176</v>
      </c>
      <c r="Q264" s="54" t="n">
        <v>122.32</v>
      </c>
      <c r="R264" s="55"/>
      <c r="S264" s="56" t="str">
        <f aca="false">IF(ISBLANK(R264),"",IF(ISNUMBER(Q264),ROUND(Q264*R264,2),"Укажите цену"))</f>
        <v/>
      </c>
    </row>
    <row r="265" customFormat="false" ht="32" hidden="false" customHeight="true" outlineLevel="1" collapsed="false">
      <c r="J265" s="62"/>
      <c r="M265" s="301" t="n">
        <v>262</v>
      </c>
      <c r="N265" s="232" t="s">
        <v>3174</v>
      </c>
      <c r="O265" s="233" t="s">
        <v>3568</v>
      </c>
      <c r="P265" s="232" t="s">
        <v>3176</v>
      </c>
      <c r="Q265" s="54" t="n">
        <v>122.32</v>
      </c>
      <c r="R265" s="55"/>
      <c r="S265" s="56" t="str">
        <f aca="false">IF(ISBLANK(R265),"",IF(ISNUMBER(Q265),ROUND(Q265*R265,2),"Укажите цену"))</f>
        <v/>
      </c>
    </row>
    <row r="266" customFormat="false" ht="32" hidden="false" customHeight="true" outlineLevel="1" collapsed="false">
      <c r="J266" s="62"/>
      <c r="M266" s="301" t="n">
        <v>263</v>
      </c>
      <c r="N266" s="232" t="s">
        <v>3174</v>
      </c>
      <c r="O266" s="233" t="s">
        <v>3431</v>
      </c>
      <c r="P266" s="232" t="s">
        <v>3176</v>
      </c>
      <c r="Q266" s="54" t="n">
        <v>122.32</v>
      </c>
      <c r="R266" s="55"/>
      <c r="S266" s="56" t="str">
        <f aca="false">IF(ISBLANK(R266),"",IF(ISNUMBER(Q266),ROUND(Q266*R266,2),"Укажите цену"))</f>
        <v/>
      </c>
    </row>
    <row r="267" customFormat="false" ht="32" hidden="false" customHeight="true" outlineLevel="1" collapsed="false">
      <c r="J267" s="62"/>
      <c r="M267" s="301" t="n">
        <v>264</v>
      </c>
      <c r="N267" s="232" t="s">
        <v>3174</v>
      </c>
      <c r="O267" s="233" t="s">
        <v>3432</v>
      </c>
      <c r="P267" s="232" t="s">
        <v>3176</v>
      </c>
      <c r="Q267" s="54" t="n">
        <v>122.32</v>
      </c>
      <c r="R267" s="55"/>
      <c r="S267" s="56" t="str">
        <f aca="false">IF(ISBLANK(R267),"",IF(ISNUMBER(Q267),ROUND(Q267*R267,2),"Укажите цену"))</f>
        <v/>
      </c>
    </row>
    <row r="268" customFormat="false" ht="32" hidden="false" customHeight="true" outlineLevel="1" collapsed="false">
      <c r="J268" s="62"/>
      <c r="M268" s="301" t="n">
        <v>265</v>
      </c>
      <c r="N268" s="232" t="s">
        <v>3174</v>
      </c>
      <c r="O268" s="233" t="s">
        <v>3433</v>
      </c>
      <c r="P268" s="232" t="s">
        <v>3176</v>
      </c>
      <c r="Q268" s="54" t="n">
        <v>122.32</v>
      </c>
      <c r="R268" s="55"/>
      <c r="S268" s="56" t="str">
        <f aca="false">IF(ISBLANK(R268),"",IF(ISNUMBER(Q268),ROUND(Q268*R268,2),"Укажите цену"))</f>
        <v/>
      </c>
    </row>
    <row r="269" customFormat="false" ht="32" hidden="false" customHeight="true" outlineLevel="1" collapsed="false">
      <c r="J269" s="62"/>
      <c r="M269" s="301" t="n">
        <v>266</v>
      </c>
      <c r="N269" s="232" t="s">
        <v>3174</v>
      </c>
      <c r="O269" s="233" t="s">
        <v>3223</v>
      </c>
      <c r="P269" s="232" t="s">
        <v>3176</v>
      </c>
      <c r="Q269" s="54" t="n">
        <v>122.32</v>
      </c>
      <c r="R269" s="55"/>
      <c r="S269" s="56" t="str">
        <f aca="false">IF(ISBLANK(R269),"",IF(ISNUMBER(Q269),ROUND(Q269*R269,2),"Укажите цену"))</f>
        <v/>
      </c>
    </row>
    <row r="270" customFormat="false" ht="32" hidden="false" customHeight="true" outlineLevel="1" collapsed="false">
      <c r="J270" s="62"/>
      <c r="M270" s="301" t="n">
        <v>267</v>
      </c>
      <c r="N270" s="232" t="s">
        <v>3174</v>
      </c>
      <c r="O270" s="233" t="s">
        <v>3434</v>
      </c>
      <c r="P270" s="232" t="s">
        <v>3176</v>
      </c>
      <c r="Q270" s="54" t="n">
        <v>122.32</v>
      </c>
      <c r="R270" s="55"/>
      <c r="S270" s="56" t="str">
        <f aca="false">IF(ISBLANK(R270),"",IF(ISNUMBER(Q270),ROUND(Q270*R270,2),"Укажите цену"))</f>
        <v/>
      </c>
    </row>
    <row r="271" customFormat="false" ht="32" hidden="false" customHeight="true" outlineLevel="1" collapsed="false">
      <c r="J271" s="62"/>
      <c r="M271" s="301" t="n">
        <v>268</v>
      </c>
      <c r="N271" s="232" t="s">
        <v>3174</v>
      </c>
      <c r="O271" s="233" t="s">
        <v>3435</v>
      </c>
      <c r="P271" s="232" t="s">
        <v>3176</v>
      </c>
      <c r="Q271" s="54" t="n">
        <v>122.32</v>
      </c>
      <c r="R271" s="55"/>
      <c r="S271" s="56" t="str">
        <f aca="false">IF(ISBLANK(R271),"",IF(ISNUMBER(Q271),ROUND(Q271*R271,2),"Укажите цену"))</f>
        <v/>
      </c>
    </row>
    <row r="272" customFormat="false" ht="32" hidden="false" customHeight="true" outlineLevel="1" collapsed="false">
      <c r="J272" s="62"/>
      <c r="M272" s="301" t="n">
        <v>269</v>
      </c>
      <c r="N272" s="232" t="s">
        <v>3174</v>
      </c>
      <c r="O272" s="233" t="s">
        <v>3436</v>
      </c>
      <c r="P272" s="232" t="s">
        <v>3176</v>
      </c>
      <c r="Q272" s="54" t="n">
        <v>122.32</v>
      </c>
      <c r="R272" s="55"/>
      <c r="S272" s="56" t="str">
        <f aca="false">IF(ISBLANK(R272),"",IF(ISNUMBER(Q272),ROUND(Q272*R272,2),"Укажите цену"))</f>
        <v/>
      </c>
    </row>
    <row r="273" customFormat="false" ht="32" hidden="false" customHeight="true" outlineLevel="1" collapsed="false">
      <c r="J273" s="62"/>
      <c r="M273" s="301" t="n">
        <v>270</v>
      </c>
      <c r="N273" s="232" t="s">
        <v>3174</v>
      </c>
      <c r="O273" s="233" t="s">
        <v>3437</v>
      </c>
      <c r="P273" s="232" t="s">
        <v>3176</v>
      </c>
      <c r="Q273" s="54" t="n">
        <v>122.32</v>
      </c>
      <c r="R273" s="55"/>
      <c r="S273" s="56" t="str">
        <f aca="false">IF(ISBLANK(R273),"",IF(ISNUMBER(Q273),ROUND(Q273*R273,2),"Укажите цену"))</f>
        <v/>
      </c>
    </row>
    <row r="274" customFormat="false" ht="32" hidden="false" customHeight="true" outlineLevel="1" collapsed="false">
      <c r="J274" s="62"/>
      <c r="M274" s="301" t="n">
        <v>271</v>
      </c>
      <c r="N274" s="232" t="s">
        <v>3174</v>
      </c>
      <c r="O274" s="233" t="s">
        <v>3438</v>
      </c>
      <c r="P274" s="232" t="s">
        <v>3176</v>
      </c>
      <c r="Q274" s="54" t="n">
        <v>122.32</v>
      </c>
      <c r="R274" s="55"/>
      <c r="S274" s="56" t="str">
        <f aca="false">IF(ISBLANK(R274),"",IF(ISNUMBER(Q274),ROUND(Q274*R274,2),"Укажите цену"))</f>
        <v/>
      </c>
    </row>
    <row r="275" customFormat="false" ht="32" hidden="false" customHeight="true" outlineLevel="1" collapsed="false">
      <c r="J275" s="62"/>
      <c r="M275" s="301" t="n">
        <v>272</v>
      </c>
      <c r="N275" s="232" t="s">
        <v>3174</v>
      </c>
      <c r="O275" s="233" t="s">
        <v>3439</v>
      </c>
      <c r="P275" s="232" t="s">
        <v>3176</v>
      </c>
      <c r="Q275" s="54" t="n">
        <v>122.32</v>
      </c>
      <c r="R275" s="55"/>
      <c r="S275" s="56" t="str">
        <f aca="false">IF(ISBLANK(R275),"",IF(ISNUMBER(Q275),ROUND(Q275*R275,2),"Укажите цену"))</f>
        <v/>
      </c>
    </row>
    <row r="276" customFormat="false" ht="32" hidden="false" customHeight="true" outlineLevel="1" collapsed="false">
      <c r="J276" s="62"/>
      <c r="M276" s="301" t="n">
        <v>273</v>
      </c>
      <c r="N276" s="232" t="s">
        <v>3174</v>
      </c>
      <c r="O276" s="233" t="s">
        <v>3440</v>
      </c>
      <c r="P276" s="232" t="s">
        <v>3176</v>
      </c>
      <c r="Q276" s="54" t="n">
        <v>122.32</v>
      </c>
      <c r="R276" s="55"/>
      <c r="S276" s="56" t="str">
        <f aca="false">IF(ISBLANK(R276),"",IF(ISNUMBER(Q276),ROUND(Q276*R276,2),"Укажите цену"))</f>
        <v/>
      </c>
    </row>
    <row r="277" customFormat="false" ht="32" hidden="false" customHeight="true" outlineLevel="1" collapsed="false">
      <c r="J277" s="62"/>
      <c r="M277" s="301" t="n">
        <v>274</v>
      </c>
      <c r="N277" s="232" t="s">
        <v>3174</v>
      </c>
      <c r="O277" s="233" t="s">
        <v>3233</v>
      </c>
      <c r="P277" s="232" t="s">
        <v>3176</v>
      </c>
      <c r="Q277" s="54" t="n">
        <v>122.32</v>
      </c>
      <c r="R277" s="55"/>
      <c r="S277" s="56" t="str">
        <f aca="false">IF(ISBLANK(R277),"",IF(ISNUMBER(Q277),ROUND(Q277*R277,2),"Укажите цену"))</f>
        <v/>
      </c>
    </row>
    <row r="278" customFormat="false" ht="32" hidden="false" customHeight="true" outlineLevel="1" collapsed="false">
      <c r="J278" s="62"/>
      <c r="M278" s="301" t="n">
        <v>275</v>
      </c>
      <c r="N278" s="232" t="s">
        <v>3174</v>
      </c>
      <c r="O278" s="233" t="s">
        <v>3441</v>
      </c>
      <c r="P278" s="232" t="s">
        <v>3176</v>
      </c>
      <c r="Q278" s="54" t="n">
        <v>122.32</v>
      </c>
      <c r="R278" s="55"/>
      <c r="S278" s="56" t="str">
        <f aca="false">IF(ISBLANK(R278),"",IF(ISNUMBER(Q278),ROUND(Q278*R278,2),"Укажите цену"))</f>
        <v/>
      </c>
    </row>
    <row r="279" customFormat="false" ht="32" hidden="false" customHeight="true" outlineLevel="1" collapsed="false">
      <c r="J279" s="62"/>
      <c r="M279" s="301" t="n">
        <v>276</v>
      </c>
      <c r="N279" s="232" t="s">
        <v>3174</v>
      </c>
      <c r="O279" s="233" t="s">
        <v>3442</v>
      </c>
      <c r="P279" s="232" t="s">
        <v>3176</v>
      </c>
      <c r="Q279" s="54" t="n">
        <v>122.32</v>
      </c>
      <c r="R279" s="55"/>
      <c r="S279" s="56" t="str">
        <f aca="false">IF(ISBLANK(R279),"",IF(ISNUMBER(Q279),ROUND(Q279*R279,2),"Укажите цену"))</f>
        <v/>
      </c>
    </row>
    <row r="280" customFormat="false" ht="32" hidden="false" customHeight="true" outlineLevel="1" collapsed="false">
      <c r="J280" s="62"/>
      <c r="M280" s="301" t="n">
        <v>277</v>
      </c>
      <c r="N280" s="232" t="s">
        <v>3174</v>
      </c>
      <c r="O280" s="233" t="s">
        <v>3443</v>
      </c>
      <c r="P280" s="232" t="s">
        <v>3176</v>
      </c>
      <c r="Q280" s="54" t="n">
        <v>122.32</v>
      </c>
      <c r="R280" s="55"/>
      <c r="S280" s="56" t="str">
        <f aca="false">IF(ISBLANK(R280),"",IF(ISNUMBER(Q280),ROUND(Q280*R280,2),"Укажите цену"))</f>
        <v/>
      </c>
    </row>
    <row r="281" customFormat="false" ht="32" hidden="false" customHeight="true" outlineLevel="1" collapsed="false">
      <c r="J281" s="62"/>
      <c r="M281" s="301" t="n">
        <v>278</v>
      </c>
      <c r="N281" s="232" t="s">
        <v>3174</v>
      </c>
      <c r="O281" s="233" t="s">
        <v>3444</v>
      </c>
      <c r="P281" s="232" t="s">
        <v>3176</v>
      </c>
      <c r="Q281" s="54" t="n">
        <v>122.32</v>
      </c>
      <c r="R281" s="55"/>
      <c r="S281" s="56" t="str">
        <f aca="false">IF(ISBLANK(R281),"",IF(ISNUMBER(Q281),ROUND(Q281*R281,2),"Укажите цену"))</f>
        <v/>
      </c>
    </row>
    <row r="282" customFormat="false" ht="32" hidden="false" customHeight="true" outlineLevel="1" collapsed="false">
      <c r="J282" s="62"/>
      <c r="M282" s="301" t="n">
        <v>279</v>
      </c>
      <c r="N282" s="232" t="s">
        <v>3174</v>
      </c>
      <c r="O282" s="233" t="s">
        <v>3445</v>
      </c>
      <c r="P282" s="232" t="s">
        <v>3176</v>
      </c>
      <c r="Q282" s="54" t="n">
        <v>122.32</v>
      </c>
      <c r="R282" s="55"/>
      <c r="S282" s="56" t="str">
        <f aca="false">IF(ISBLANK(R282),"",IF(ISNUMBER(Q282),ROUND(Q282*R282,2),"Укажите цену"))</f>
        <v/>
      </c>
    </row>
    <row r="283" customFormat="false" ht="32" hidden="false" customHeight="true" outlineLevel="1" collapsed="false">
      <c r="J283" s="62"/>
      <c r="M283" s="301" t="n">
        <v>280</v>
      </c>
      <c r="N283" s="232" t="s">
        <v>3174</v>
      </c>
      <c r="O283" s="233" t="s">
        <v>3446</v>
      </c>
      <c r="P283" s="232" t="s">
        <v>3176</v>
      </c>
      <c r="Q283" s="54" t="n">
        <v>122.32</v>
      </c>
      <c r="R283" s="55"/>
      <c r="S283" s="56" t="str">
        <f aca="false">IF(ISBLANK(R283),"",IF(ISNUMBER(Q283),ROUND(Q283*R283,2),"Укажите цену"))</f>
        <v/>
      </c>
    </row>
    <row r="284" customFormat="false" ht="32" hidden="false" customHeight="true" outlineLevel="1" collapsed="false">
      <c r="J284" s="62"/>
      <c r="M284" s="301" t="n">
        <v>281</v>
      </c>
      <c r="N284" s="232" t="s">
        <v>3174</v>
      </c>
      <c r="O284" s="233" t="s">
        <v>3447</v>
      </c>
      <c r="P284" s="232" t="s">
        <v>3176</v>
      </c>
      <c r="Q284" s="54" t="n">
        <v>122.32</v>
      </c>
      <c r="R284" s="55"/>
      <c r="S284" s="56" t="str">
        <f aca="false">IF(ISBLANK(R284),"",IF(ISNUMBER(Q284),ROUND(Q284*R284,2),"Укажите цену"))</f>
        <v/>
      </c>
    </row>
    <row r="285" customFormat="false" ht="32" hidden="false" customHeight="true" outlineLevel="1" collapsed="false">
      <c r="J285" s="62"/>
      <c r="M285" s="301" t="n">
        <v>282</v>
      </c>
      <c r="N285" s="232" t="s">
        <v>3174</v>
      </c>
      <c r="O285" s="233" t="s">
        <v>3243</v>
      </c>
      <c r="P285" s="232" t="s">
        <v>3176</v>
      </c>
      <c r="Q285" s="54" t="n">
        <v>122.32</v>
      </c>
      <c r="R285" s="55"/>
      <c r="S285" s="56" t="str">
        <f aca="false">IF(ISBLANK(R285),"",IF(ISNUMBER(Q285),ROUND(Q285*R285,2),"Укажите цену"))</f>
        <v/>
      </c>
    </row>
    <row r="286" customFormat="false" ht="32" hidden="false" customHeight="true" outlineLevel="1" collapsed="false">
      <c r="J286" s="62"/>
      <c r="M286" s="301" t="n">
        <v>283</v>
      </c>
      <c r="N286" s="232" t="s">
        <v>3174</v>
      </c>
      <c r="O286" s="233" t="s">
        <v>3448</v>
      </c>
      <c r="P286" s="232" t="s">
        <v>3176</v>
      </c>
      <c r="Q286" s="54" t="n">
        <v>122.32</v>
      </c>
      <c r="R286" s="55"/>
      <c r="S286" s="56" t="str">
        <f aca="false">IF(ISBLANK(R286),"",IF(ISNUMBER(Q286),ROUND(Q286*R286,2),"Укажите цену"))</f>
        <v/>
      </c>
    </row>
    <row r="287" customFormat="false" ht="32" hidden="false" customHeight="true" outlineLevel="1" collapsed="false">
      <c r="J287" s="62"/>
      <c r="M287" s="301" t="n">
        <v>284</v>
      </c>
      <c r="N287" s="232" t="s">
        <v>3174</v>
      </c>
      <c r="O287" s="233" t="s">
        <v>3449</v>
      </c>
      <c r="P287" s="232" t="s">
        <v>3176</v>
      </c>
      <c r="Q287" s="54" t="n">
        <v>122.32</v>
      </c>
      <c r="R287" s="55"/>
      <c r="S287" s="56" t="str">
        <f aca="false">IF(ISBLANK(R287),"",IF(ISNUMBER(Q287),ROUND(Q287*R287,2),"Укажите цену"))</f>
        <v/>
      </c>
    </row>
    <row r="288" customFormat="false" ht="32" hidden="false" customHeight="true" outlineLevel="1" collapsed="false">
      <c r="J288" s="62"/>
      <c r="M288" s="301" t="n">
        <v>285</v>
      </c>
      <c r="N288" s="232" t="s">
        <v>3174</v>
      </c>
      <c r="O288" s="233" t="s">
        <v>3450</v>
      </c>
      <c r="P288" s="232" t="s">
        <v>3176</v>
      </c>
      <c r="Q288" s="54" t="n">
        <v>122.32</v>
      </c>
      <c r="R288" s="55"/>
      <c r="S288" s="56" t="str">
        <f aca="false">IF(ISBLANK(R288),"",IF(ISNUMBER(Q288),ROUND(Q288*R288,2),"Укажите цену"))</f>
        <v/>
      </c>
    </row>
    <row r="289" customFormat="false" ht="32" hidden="false" customHeight="true" outlineLevel="1" collapsed="false">
      <c r="J289" s="62"/>
      <c r="M289" s="301" t="n">
        <v>286</v>
      </c>
      <c r="N289" s="232" t="s">
        <v>3174</v>
      </c>
      <c r="O289" s="233" t="s">
        <v>3451</v>
      </c>
      <c r="P289" s="232" t="s">
        <v>3176</v>
      </c>
      <c r="Q289" s="54" t="n">
        <v>122.32</v>
      </c>
      <c r="R289" s="55"/>
      <c r="S289" s="56" t="str">
        <f aca="false">IF(ISBLANK(R289),"",IF(ISNUMBER(Q289),ROUND(Q289*R289,2),"Укажите цену"))</f>
        <v/>
      </c>
    </row>
    <row r="290" customFormat="false" ht="32" hidden="false" customHeight="true" outlineLevel="1" collapsed="false">
      <c r="J290" s="62"/>
      <c r="M290" s="301" t="n">
        <v>287</v>
      </c>
      <c r="N290" s="232" t="s">
        <v>3174</v>
      </c>
      <c r="O290" s="233" t="s">
        <v>3452</v>
      </c>
      <c r="P290" s="232" t="s">
        <v>3176</v>
      </c>
      <c r="Q290" s="54" t="n">
        <v>122.32</v>
      </c>
      <c r="R290" s="55"/>
      <c r="S290" s="56" t="str">
        <f aca="false">IF(ISBLANK(R290),"",IF(ISNUMBER(Q290),ROUND(Q290*R290,2),"Укажите цену"))</f>
        <v/>
      </c>
    </row>
    <row r="291" customFormat="false" ht="32" hidden="false" customHeight="true" outlineLevel="1" collapsed="false">
      <c r="J291" s="62"/>
      <c r="M291" s="301" t="n">
        <v>288</v>
      </c>
      <c r="N291" s="232" t="s">
        <v>3174</v>
      </c>
      <c r="O291" s="233" t="s">
        <v>3453</v>
      </c>
      <c r="P291" s="232" t="s">
        <v>3176</v>
      </c>
      <c r="Q291" s="54" t="n">
        <v>122.32</v>
      </c>
      <c r="R291" s="55"/>
      <c r="S291" s="56" t="str">
        <f aca="false">IF(ISBLANK(R291),"",IF(ISNUMBER(Q291),ROUND(Q291*R291,2),"Укажите цену"))</f>
        <v/>
      </c>
    </row>
    <row r="292" customFormat="false" ht="32" hidden="false" customHeight="true" outlineLevel="1" collapsed="false">
      <c r="J292" s="62"/>
      <c r="M292" s="301" t="n">
        <v>289</v>
      </c>
      <c r="N292" s="232" t="s">
        <v>3174</v>
      </c>
      <c r="O292" s="233" t="s">
        <v>3454</v>
      </c>
      <c r="P292" s="232" t="s">
        <v>3176</v>
      </c>
      <c r="Q292" s="54" t="n">
        <v>122.32</v>
      </c>
      <c r="R292" s="55"/>
      <c r="S292" s="56" t="str">
        <f aca="false">IF(ISBLANK(R292),"",IF(ISNUMBER(Q292),ROUND(Q292*R292,2),"Укажите цену"))</f>
        <v/>
      </c>
    </row>
    <row r="293" customFormat="false" ht="32" hidden="false" customHeight="true" outlineLevel="1" collapsed="false">
      <c r="J293" s="62"/>
      <c r="M293" s="301" t="n">
        <v>290</v>
      </c>
      <c r="N293" s="232" t="s">
        <v>3174</v>
      </c>
      <c r="O293" s="233" t="s">
        <v>3253</v>
      </c>
      <c r="P293" s="232" t="s">
        <v>3176</v>
      </c>
      <c r="Q293" s="54" t="n">
        <v>122.32</v>
      </c>
      <c r="R293" s="55"/>
      <c r="S293" s="56" t="str">
        <f aca="false">IF(ISBLANK(R293),"",IF(ISNUMBER(Q293),ROUND(Q293*R293,2),"Укажите цену"))</f>
        <v/>
      </c>
    </row>
    <row r="294" customFormat="false" ht="32" hidden="false" customHeight="true" outlineLevel="1" collapsed="false">
      <c r="J294" s="62"/>
      <c r="M294" s="301" t="n">
        <v>291</v>
      </c>
      <c r="N294" s="232" t="s">
        <v>3174</v>
      </c>
      <c r="O294" s="233" t="s">
        <v>3455</v>
      </c>
      <c r="P294" s="232" t="s">
        <v>3176</v>
      </c>
      <c r="Q294" s="54" t="n">
        <v>122.32</v>
      </c>
      <c r="R294" s="55"/>
      <c r="S294" s="56" t="str">
        <f aca="false">IF(ISBLANK(R294),"",IF(ISNUMBER(Q294),ROUND(Q294*R294,2),"Укажите цену"))</f>
        <v/>
      </c>
    </row>
    <row r="295" customFormat="false" ht="32" hidden="false" customHeight="true" outlineLevel="1" collapsed="false">
      <c r="J295" s="62"/>
      <c r="M295" s="301" t="n">
        <v>292</v>
      </c>
      <c r="N295" s="232" t="s">
        <v>3174</v>
      </c>
      <c r="O295" s="233" t="s">
        <v>3456</v>
      </c>
      <c r="P295" s="232" t="s">
        <v>3176</v>
      </c>
      <c r="Q295" s="54" t="n">
        <v>122.32</v>
      </c>
      <c r="R295" s="55"/>
      <c r="S295" s="56" t="str">
        <f aca="false">IF(ISBLANK(R295),"",IF(ISNUMBER(Q295),ROUND(Q295*R295,2),"Укажите цену"))</f>
        <v/>
      </c>
    </row>
    <row r="296" customFormat="false" ht="32" hidden="false" customHeight="true" outlineLevel="1" collapsed="false">
      <c r="J296" s="62"/>
      <c r="M296" s="301" t="n">
        <v>293</v>
      </c>
      <c r="N296" s="232" t="s">
        <v>3174</v>
      </c>
      <c r="O296" s="233" t="s">
        <v>3457</v>
      </c>
      <c r="P296" s="232" t="s">
        <v>3176</v>
      </c>
      <c r="Q296" s="54" t="n">
        <v>122.32</v>
      </c>
      <c r="R296" s="55"/>
      <c r="S296" s="56" t="str">
        <f aca="false">IF(ISBLANK(R296),"",IF(ISNUMBER(Q296),ROUND(Q296*R296,2),"Укажите цену"))</f>
        <v/>
      </c>
    </row>
    <row r="297" customFormat="false" ht="32" hidden="false" customHeight="true" outlineLevel="1" collapsed="false">
      <c r="J297" s="62"/>
      <c r="M297" s="301" t="n">
        <v>294</v>
      </c>
      <c r="N297" s="232" t="s">
        <v>3174</v>
      </c>
      <c r="O297" s="233" t="s">
        <v>3458</v>
      </c>
      <c r="P297" s="232" t="s">
        <v>3176</v>
      </c>
      <c r="Q297" s="54" t="n">
        <v>122.32</v>
      </c>
      <c r="R297" s="55"/>
      <c r="S297" s="56" t="str">
        <f aca="false">IF(ISBLANK(R297),"",IF(ISNUMBER(Q297),ROUND(Q297*R297,2),"Укажите цену"))</f>
        <v/>
      </c>
    </row>
    <row r="298" customFormat="false" ht="32" hidden="false" customHeight="true" outlineLevel="1" collapsed="false">
      <c r="J298" s="62"/>
      <c r="M298" s="301" t="n">
        <v>295</v>
      </c>
      <c r="N298" s="232" t="s">
        <v>3174</v>
      </c>
      <c r="O298" s="233" t="s">
        <v>3459</v>
      </c>
      <c r="P298" s="232" t="s">
        <v>3176</v>
      </c>
      <c r="Q298" s="54" t="n">
        <v>122.32</v>
      </c>
      <c r="R298" s="55"/>
      <c r="S298" s="56" t="str">
        <f aca="false">IF(ISBLANK(R298),"",IF(ISNUMBER(Q298),ROUND(Q298*R298,2),"Укажите цену"))</f>
        <v/>
      </c>
    </row>
    <row r="299" customFormat="false" ht="32" hidden="false" customHeight="true" outlineLevel="1" collapsed="false">
      <c r="J299" s="62"/>
      <c r="M299" s="301" t="n">
        <v>296</v>
      </c>
      <c r="N299" s="232" t="s">
        <v>3174</v>
      </c>
      <c r="O299" s="233" t="s">
        <v>3460</v>
      </c>
      <c r="P299" s="232" t="s">
        <v>3176</v>
      </c>
      <c r="Q299" s="54" t="n">
        <v>122.32</v>
      </c>
      <c r="R299" s="55"/>
      <c r="S299" s="56" t="str">
        <f aca="false">IF(ISBLANK(R299),"",IF(ISNUMBER(Q299),ROUND(Q299*R299,2),"Укажите цену"))</f>
        <v/>
      </c>
    </row>
    <row r="300" customFormat="false" ht="32" hidden="false" customHeight="true" outlineLevel="1" collapsed="false">
      <c r="J300" s="62"/>
      <c r="M300" s="301" t="n">
        <v>297</v>
      </c>
      <c r="N300" s="232" t="s">
        <v>3174</v>
      </c>
      <c r="O300" s="233" t="s">
        <v>3461</v>
      </c>
      <c r="P300" s="232" t="s">
        <v>3176</v>
      </c>
      <c r="Q300" s="54" t="n">
        <v>122.32</v>
      </c>
      <c r="R300" s="55"/>
      <c r="S300" s="56" t="str">
        <f aca="false">IF(ISBLANK(R300),"",IF(ISNUMBER(Q300),ROUND(Q300*R300,2),"Укажите цену"))</f>
        <v/>
      </c>
    </row>
    <row r="301" customFormat="false" ht="32" hidden="false" customHeight="true" outlineLevel="1" collapsed="false">
      <c r="J301" s="62"/>
      <c r="M301" s="301" t="n">
        <v>298</v>
      </c>
      <c r="N301" s="232" t="s">
        <v>3174</v>
      </c>
      <c r="O301" s="233" t="s">
        <v>3462</v>
      </c>
      <c r="P301" s="232" t="s">
        <v>3176</v>
      </c>
      <c r="Q301" s="54" t="n">
        <v>122.32</v>
      </c>
      <c r="R301" s="55"/>
      <c r="S301" s="56" t="str">
        <f aca="false">IF(ISBLANK(R301),"",IF(ISNUMBER(Q301),ROUND(Q301*R301,2),"Укажите цену"))</f>
        <v/>
      </c>
    </row>
    <row r="302" customFormat="false" ht="32" hidden="false" customHeight="true" outlineLevel="1" collapsed="false">
      <c r="J302" s="62"/>
      <c r="M302" s="301" t="n">
        <v>299</v>
      </c>
      <c r="N302" s="232" t="s">
        <v>3174</v>
      </c>
      <c r="O302" s="233" t="s">
        <v>3463</v>
      </c>
      <c r="P302" s="232" t="s">
        <v>3176</v>
      </c>
      <c r="Q302" s="54" t="n">
        <v>122.32</v>
      </c>
      <c r="R302" s="55"/>
      <c r="S302" s="56" t="str">
        <f aca="false">IF(ISBLANK(R302),"",IF(ISNUMBER(Q302),ROUND(Q302*R302,2),"Укажите цену"))</f>
        <v/>
      </c>
    </row>
    <row r="303" customFormat="false" ht="32" hidden="false" customHeight="true" outlineLevel="1" collapsed="false">
      <c r="J303" s="62"/>
      <c r="M303" s="301" t="n">
        <v>300</v>
      </c>
      <c r="N303" s="232" t="s">
        <v>3174</v>
      </c>
      <c r="O303" s="233" t="s">
        <v>3464</v>
      </c>
      <c r="P303" s="232" t="s">
        <v>3176</v>
      </c>
      <c r="Q303" s="54" t="n">
        <v>122.32</v>
      </c>
      <c r="R303" s="55"/>
      <c r="S303" s="56" t="str">
        <f aca="false">IF(ISBLANK(R303),"",IF(ISNUMBER(Q303),ROUND(Q303*R303,2),"Укажите цену"))</f>
        <v/>
      </c>
    </row>
    <row r="304" customFormat="false" ht="32" hidden="false" customHeight="true" outlineLevel="1" collapsed="false">
      <c r="J304" s="62"/>
      <c r="M304" s="301" t="n">
        <v>301</v>
      </c>
      <c r="N304" s="232" t="s">
        <v>3174</v>
      </c>
      <c r="O304" s="233" t="s">
        <v>3465</v>
      </c>
      <c r="P304" s="232" t="s">
        <v>3176</v>
      </c>
      <c r="Q304" s="54" t="n">
        <v>122.32</v>
      </c>
      <c r="R304" s="55"/>
      <c r="S304" s="56" t="str">
        <f aca="false">IF(ISBLANK(R304),"",IF(ISNUMBER(Q304),ROUND(Q304*R304,2),"Укажите цену"))</f>
        <v/>
      </c>
    </row>
    <row r="305" customFormat="false" ht="32" hidden="false" customHeight="true" outlineLevel="1" collapsed="false">
      <c r="J305" s="62"/>
      <c r="M305" s="301" t="n">
        <v>302</v>
      </c>
      <c r="N305" s="232" t="s">
        <v>3174</v>
      </c>
      <c r="O305" s="233" t="s">
        <v>3466</v>
      </c>
      <c r="P305" s="232" t="s">
        <v>3176</v>
      </c>
      <c r="Q305" s="54" t="n">
        <v>122.32</v>
      </c>
      <c r="R305" s="55"/>
      <c r="S305" s="56" t="str">
        <f aca="false">IF(ISBLANK(R305),"",IF(ISNUMBER(Q305),ROUND(Q305*R305,2),"Укажите цену"))</f>
        <v/>
      </c>
    </row>
    <row r="306" customFormat="false" ht="32" hidden="false" customHeight="true" outlineLevel="1" collapsed="false">
      <c r="J306" s="62"/>
      <c r="M306" s="301" t="n">
        <v>303</v>
      </c>
      <c r="N306" s="232" t="s">
        <v>3174</v>
      </c>
      <c r="O306" s="233" t="s">
        <v>3467</v>
      </c>
      <c r="P306" s="232" t="s">
        <v>3176</v>
      </c>
      <c r="Q306" s="54" t="n">
        <v>122.32</v>
      </c>
      <c r="R306" s="55"/>
      <c r="S306" s="56" t="str">
        <f aca="false">IF(ISBLANK(R306),"",IF(ISNUMBER(Q306),ROUND(Q306*R306,2),"Укажите цену"))</f>
        <v/>
      </c>
    </row>
    <row r="307" customFormat="false" ht="32" hidden="false" customHeight="true" outlineLevel="1" collapsed="false">
      <c r="J307" s="62"/>
      <c r="M307" s="301" t="n">
        <v>304</v>
      </c>
      <c r="N307" s="232" t="s">
        <v>3174</v>
      </c>
      <c r="O307" s="233" t="s">
        <v>3469</v>
      </c>
      <c r="P307" s="232" t="s">
        <v>3176</v>
      </c>
      <c r="Q307" s="54" t="n">
        <v>122.32</v>
      </c>
      <c r="R307" s="55"/>
      <c r="S307" s="56" t="str">
        <f aca="false">IF(ISBLANK(R307),"",IF(ISNUMBER(Q307),ROUND(Q307*R307,2),"Укажите цену"))</f>
        <v/>
      </c>
    </row>
    <row r="308" customFormat="false" ht="32" hidden="false" customHeight="true" outlineLevel="1" collapsed="false">
      <c r="J308" s="62"/>
      <c r="M308" s="301" t="n">
        <v>305</v>
      </c>
      <c r="N308" s="232" t="s">
        <v>3174</v>
      </c>
      <c r="O308" s="233" t="s">
        <v>3470</v>
      </c>
      <c r="P308" s="232" t="s">
        <v>3176</v>
      </c>
      <c r="Q308" s="54" t="n">
        <v>122.32</v>
      </c>
      <c r="R308" s="55"/>
      <c r="S308" s="56" t="str">
        <f aca="false">IF(ISBLANK(R308),"",IF(ISNUMBER(Q308),ROUND(Q308*R308,2),"Укажите цену"))</f>
        <v/>
      </c>
    </row>
    <row r="309" customFormat="false" ht="32" hidden="false" customHeight="true" outlineLevel="1" collapsed="false">
      <c r="J309" s="62"/>
      <c r="M309" s="301" t="n">
        <v>306</v>
      </c>
      <c r="N309" s="232" t="s">
        <v>3174</v>
      </c>
      <c r="O309" s="233" t="s">
        <v>3471</v>
      </c>
      <c r="P309" s="232" t="s">
        <v>3176</v>
      </c>
      <c r="Q309" s="54" t="n">
        <v>122.32</v>
      </c>
      <c r="R309" s="55"/>
      <c r="S309" s="56" t="str">
        <f aca="false">IF(ISBLANK(R309),"",IF(ISNUMBER(Q309),ROUND(Q309*R309,2),"Укажите цену"))</f>
        <v/>
      </c>
    </row>
    <row r="310" customFormat="false" ht="32" hidden="false" customHeight="true" outlineLevel="1" collapsed="false">
      <c r="J310" s="62"/>
      <c r="M310" s="301" t="n">
        <v>307</v>
      </c>
      <c r="N310" s="232" t="s">
        <v>3174</v>
      </c>
      <c r="O310" s="233" t="s">
        <v>3472</v>
      </c>
      <c r="P310" s="232" t="s">
        <v>3176</v>
      </c>
      <c r="Q310" s="54" t="n">
        <v>122.32</v>
      </c>
      <c r="R310" s="55"/>
      <c r="S310" s="56" t="str">
        <f aca="false">IF(ISBLANK(R310),"",IF(ISNUMBER(Q310),ROUND(Q310*R310,2),"Укажите цену"))</f>
        <v/>
      </c>
    </row>
    <row r="311" customFormat="false" ht="32" hidden="false" customHeight="true" outlineLevel="1" collapsed="false">
      <c r="J311" s="62"/>
      <c r="M311" s="301" t="n">
        <v>308</v>
      </c>
      <c r="N311" s="232" t="s">
        <v>3174</v>
      </c>
      <c r="O311" s="233" t="s">
        <v>3473</v>
      </c>
      <c r="P311" s="232" t="s">
        <v>3176</v>
      </c>
      <c r="Q311" s="54" t="n">
        <v>122.32</v>
      </c>
      <c r="R311" s="55"/>
      <c r="S311" s="56" t="str">
        <f aca="false">IF(ISBLANK(R311),"",IF(ISNUMBER(Q311),ROUND(Q311*R311,2),"Укажите цену"))</f>
        <v/>
      </c>
    </row>
    <row r="312" customFormat="false" ht="32" hidden="false" customHeight="true" outlineLevel="1" collapsed="false">
      <c r="J312" s="62"/>
      <c r="M312" s="301" t="n">
        <v>309</v>
      </c>
      <c r="N312" s="232" t="s">
        <v>3174</v>
      </c>
      <c r="O312" s="233" t="s">
        <v>3474</v>
      </c>
      <c r="P312" s="232" t="s">
        <v>3176</v>
      </c>
      <c r="Q312" s="54" t="n">
        <v>122.32</v>
      </c>
      <c r="R312" s="55"/>
      <c r="S312" s="56" t="str">
        <f aca="false">IF(ISBLANK(R312),"",IF(ISNUMBER(Q312),ROUND(Q312*R312,2),"Укажите цену"))</f>
        <v/>
      </c>
    </row>
    <row r="313" customFormat="false" ht="32" hidden="false" customHeight="true" outlineLevel="1" collapsed="false">
      <c r="J313" s="62"/>
      <c r="M313" s="301" t="n">
        <v>310</v>
      </c>
      <c r="N313" s="232" t="s">
        <v>3174</v>
      </c>
      <c r="O313" s="233" t="s">
        <v>3475</v>
      </c>
      <c r="P313" s="232" t="s">
        <v>3176</v>
      </c>
      <c r="Q313" s="54" t="n">
        <v>122.32</v>
      </c>
      <c r="R313" s="55"/>
      <c r="S313" s="56" t="str">
        <f aca="false">IF(ISBLANK(R313),"",IF(ISNUMBER(Q313),ROUND(Q313*R313,2),"Укажите цену"))</f>
        <v/>
      </c>
    </row>
    <row r="314" customFormat="false" ht="32" hidden="false" customHeight="true" outlineLevel="1" collapsed="false">
      <c r="J314" s="62"/>
      <c r="M314" s="301" t="n">
        <v>311</v>
      </c>
      <c r="N314" s="232" t="s">
        <v>3174</v>
      </c>
      <c r="O314" s="233" t="s">
        <v>3476</v>
      </c>
      <c r="P314" s="232" t="s">
        <v>3176</v>
      </c>
      <c r="Q314" s="54" t="n">
        <v>122.32</v>
      </c>
      <c r="R314" s="55"/>
      <c r="S314" s="56" t="str">
        <f aca="false">IF(ISBLANK(R314),"",IF(ISNUMBER(Q314),ROUND(Q314*R314,2),"Укажите цену"))</f>
        <v/>
      </c>
    </row>
    <row r="315" customFormat="false" ht="32" hidden="false" customHeight="true" outlineLevel="1" collapsed="false">
      <c r="J315" s="62"/>
      <c r="M315" s="301" t="n">
        <v>312</v>
      </c>
      <c r="N315" s="232" t="s">
        <v>3174</v>
      </c>
      <c r="O315" s="233" t="s">
        <v>3477</v>
      </c>
      <c r="P315" s="232" t="s">
        <v>3176</v>
      </c>
      <c r="Q315" s="54" t="n">
        <v>122.32</v>
      </c>
      <c r="R315" s="55"/>
      <c r="S315" s="56" t="str">
        <f aca="false">IF(ISBLANK(R315),"",IF(ISNUMBER(Q315),ROUND(Q315*R315,2),"Укажите цену"))</f>
        <v/>
      </c>
    </row>
    <row r="316" customFormat="false" ht="32" hidden="false" customHeight="true" outlineLevel="1" collapsed="false">
      <c r="J316" s="62"/>
      <c r="M316" s="301" t="n">
        <v>313</v>
      </c>
      <c r="N316" s="232" t="s">
        <v>3174</v>
      </c>
      <c r="O316" s="233" t="s">
        <v>3478</v>
      </c>
      <c r="P316" s="232" t="s">
        <v>3176</v>
      </c>
      <c r="Q316" s="54" t="n">
        <v>122.32</v>
      </c>
      <c r="R316" s="55"/>
      <c r="S316" s="56" t="str">
        <f aca="false">IF(ISBLANK(R316),"",IF(ISNUMBER(Q316),ROUND(Q316*R316,2),"Укажите цену"))</f>
        <v/>
      </c>
    </row>
    <row r="317" customFormat="false" ht="32" hidden="false" customHeight="true" outlineLevel="1" collapsed="false">
      <c r="J317" s="62"/>
      <c r="M317" s="301" t="n">
        <v>314</v>
      </c>
      <c r="N317" s="232" t="s">
        <v>3174</v>
      </c>
      <c r="O317" s="233" t="s">
        <v>3479</v>
      </c>
      <c r="P317" s="232" t="s">
        <v>3176</v>
      </c>
      <c r="Q317" s="54" t="n">
        <v>122.32</v>
      </c>
      <c r="R317" s="55"/>
      <c r="S317" s="56" t="str">
        <f aca="false">IF(ISBLANK(R317),"",IF(ISNUMBER(Q317),ROUND(Q317*R317,2),"Укажите цену"))</f>
        <v/>
      </c>
    </row>
    <row r="318" customFormat="false" ht="32" hidden="false" customHeight="true" outlineLevel="1" collapsed="false">
      <c r="J318" s="62"/>
      <c r="M318" s="301" t="n">
        <v>315</v>
      </c>
      <c r="N318" s="232" t="s">
        <v>3174</v>
      </c>
      <c r="O318" s="233" t="s">
        <v>3480</v>
      </c>
      <c r="P318" s="232" t="s">
        <v>3176</v>
      </c>
      <c r="Q318" s="54" t="n">
        <v>122.32</v>
      </c>
      <c r="R318" s="55"/>
      <c r="S318" s="56" t="str">
        <f aca="false">IF(ISBLANK(R318),"",IF(ISNUMBER(Q318),ROUND(Q318*R318,2),"Укажите цену"))</f>
        <v/>
      </c>
    </row>
    <row r="319" customFormat="false" ht="32" hidden="false" customHeight="true" outlineLevel="1" collapsed="false">
      <c r="J319" s="62"/>
      <c r="M319" s="301" t="n">
        <v>316</v>
      </c>
      <c r="N319" s="232" t="s">
        <v>3174</v>
      </c>
      <c r="O319" s="233" t="s">
        <v>3481</v>
      </c>
      <c r="P319" s="232" t="s">
        <v>3176</v>
      </c>
      <c r="Q319" s="54" t="n">
        <v>122.32</v>
      </c>
      <c r="R319" s="55"/>
      <c r="S319" s="56" t="str">
        <f aca="false">IF(ISBLANK(R319),"",IF(ISNUMBER(Q319),ROUND(Q319*R319,2),"Укажите цену"))</f>
        <v/>
      </c>
    </row>
    <row r="320" customFormat="false" ht="32" hidden="false" customHeight="true" outlineLevel="1" collapsed="false">
      <c r="J320" s="62"/>
      <c r="M320" s="301" t="n">
        <v>317</v>
      </c>
      <c r="N320" s="232" t="s">
        <v>3174</v>
      </c>
      <c r="O320" s="233" t="s">
        <v>3482</v>
      </c>
      <c r="P320" s="232" t="s">
        <v>3176</v>
      </c>
      <c r="Q320" s="54" t="n">
        <v>122.32</v>
      </c>
      <c r="R320" s="55"/>
      <c r="S320" s="56" t="str">
        <f aca="false">IF(ISBLANK(R320),"",IF(ISNUMBER(Q320),ROUND(Q320*R320,2),"Укажите цену"))</f>
        <v/>
      </c>
    </row>
    <row r="321" customFormat="false" ht="32" hidden="false" customHeight="true" outlineLevel="1" collapsed="false">
      <c r="J321" s="62"/>
      <c r="M321" s="301" t="n">
        <v>318</v>
      </c>
      <c r="N321" s="232" t="s">
        <v>3174</v>
      </c>
      <c r="O321" s="233" t="s">
        <v>3483</v>
      </c>
      <c r="P321" s="232" t="s">
        <v>3176</v>
      </c>
      <c r="Q321" s="54" t="n">
        <v>122.32</v>
      </c>
      <c r="R321" s="55"/>
      <c r="S321" s="56" t="str">
        <f aca="false">IF(ISBLANK(R321),"",IF(ISNUMBER(Q321),ROUND(Q321*R321,2),"Укажите цену"))</f>
        <v/>
      </c>
    </row>
    <row r="322" customFormat="false" ht="32" hidden="false" customHeight="true" outlineLevel="1" collapsed="false">
      <c r="J322" s="62"/>
      <c r="M322" s="301" t="n">
        <v>319</v>
      </c>
      <c r="N322" s="232" t="s">
        <v>3174</v>
      </c>
      <c r="O322" s="233" t="s">
        <v>3484</v>
      </c>
      <c r="P322" s="232" t="s">
        <v>3176</v>
      </c>
      <c r="Q322" s="54" t="n">
        <v>122.32</v>
      </c>
      <c r="R322" s="55"/>
      <c r="S322" s="56" t="str">
        <f aca="false">IF(ISBLANK(R322),"",IF(ISNUMBER(Q322),ROUND(Q322*R322,2),"Укажите цену"))</f>
        <v/>
      </c>
    </row>
    <row r="323" customFormat="false" ht="32" hidden="false" customHeight="true" outlineLevel="1" collapsed="false">
      <c r="J323" s="62"/>
      <c r="M323" s="301" t="n">
        <v>320</v>
      </c>
      <c r="N323" s="232" t="s">
        <v>3174</v>
      </c>
      <c r="O323" s="233" t="s">
        <v>3485</v>
      </c>
      <c r="P323" s="232" t="s">
        <v>3176</v>
      </c>
      <c r="Q323" s="54" t="n">
        <v>122.32</v>
      </c>
      <c r="R323" s="55"/>
      <c r="S323" s="56" t="str">
        <f aca="false">IF(ISBLANK(R323),"",IF(ISNUMBER(Q323),ROUND(Q323*R323,2),"Укажите цену"))</f>
        <v/>
      </c>
    </row>
    <row r="324" customFormat="false" ht="32" hidden="false" customHeight="true" outlineLevel="1" collapsed="false">
      <c r="J324" s="62"/>
      <c r="M324" s="301" t="n">
        <v>321</v>
      </c>
      <c r="N324" s="232" t="s">
        <v>3174</v>
      </c>
      <c r="O324" s="233" t="s">
        <v>3486</v>
      </c>
      <c r="P324" s="232" t="s">
        <v>3176</v>
      </c>
      <c r="Q324" s="54" t="n">
        <v>122.32</v>
      </c>
      <c r="R324" s="55"/>
      <c r="S324" s="56" t="str">
        <f aca="false">IF(ISBLANK(R324),"",IF(ISNUMBER(Q324),ROUND(Q324*R324,2),"Укажите цену"))</f>
        <v/>
      </c>
    </row>
    <row r="325" customFormat="false" ht="32" hidden="false" customHeight="true" outlineLevel="1" collapsed="false">
      <c r="J325" s="62"/>
      <c r="M325" s="301" t="n">
        <v>322</v>
      </c>
      <c r="N325" s="232" t="s">
        <v>3174</v>
      </c>
      <c r="O325" s="233" t="s">
        <v>3569</v>
      </c>
      <c r="P325" s="232" t="s">
        <v>3176</v>
      </c>
      <c r="Q325" s="54" t="n">
        <v>122.32</v>
      </c>
      <c r="R325" s="55"/>
      <c r="S325" s="56" t="str">
        <f aca="false">IF(ISBLANK(R325),"",IF(ISNUMBER(Q325),ROUND(Q325*R325,2),"Укажите цену"))</f>
        <v/>
      </c>
    </row>
    <row r="326" customFormat="false" ht="32" hidden="false" customHeight="true" outlineLevel="1" collapsed="false">
      <c r="J326" s="62"/>
      <c r="M326" s="301" t="n">
        <v>323</v>
      </c>
      <c r="N326" s="232" t="s">
        <v>3174</v>
      </c>
      <c r="O326" s="233" t="s">
        <v>3488</v>
      </c>
      <c r="P326" s="232" t="s">
        <v>3176</v>
      </c>
      <c r="Q326" s="54" t="n">
        <v>122.32</v>
      </c>
      <c r="R326" s="55"/>
      <c r="S326" s="56" t="str">
        <f aca="false">IF(ISBLANK(R326),"",IF(ISNUMBER(Q326),ROUND(Q326*R326,2),"Укажите цену"))</f>
        <v/>
      </c>
    </row>
    <row r="327" customFormat="false" ht="32" hidden="false" customHeight="true" outlineLevel="1" collapsed="false">
      <c r="J327" s="62"/>
      <c r="M327" s="301" t="n">
        <v>324</v>
      </c>
      <c r="N327" s="232" t="s">
        <v>3174</v>
      </c>
      <c r="O327" s="233" t="s">
        <v>3489</v>
      </c>
      <c r="P327" s="232" t="s">
        <v>3176</v>
      </c>
      <c r="Q327" s="54" t="n">
        <v>122.32</v>
      </c>
      <c r="R327" s="55"/>
      <c r="S327" s="56" t="str">
        <f aca="false">IF(ISBLANK(R327),"",IF(ISNUMBER(Q327),ROUND(Q327*R327,2),"Укажите цену"))</f>
        <v/>
      </c>
    </row>
    <row r="328" customFormat="false" ht="32" hidden="false" customHeight="true" outlineLevel="1" collapsed="false">
      <c r="J328" s="62"/>
      <c r="M328" s="301" t="n">
        <v>325</v>
      </c>
      <c r="N328" s="232" t="s">
        <v>3174</v>
      </c>
      <c r="O328" s="233" t="s">
        <v>3490</v>
      </c>
      <c r="P328" s="232" t="s">
        <v>3176</v>
      </c>
      <c r="Q328" s="54" t="n">
        <v>122.32</v>
      </c>
      <c r="R328" s="55"/>
      <c r="S328" s="56" t="str">
        <f aca="false">IF(ISBLANK(R328),"",IF(ISNUMBER(Q328),ROUND(Q328*R328,2),"Укажите цену"))</f>
        <v/>
      </c>
    </row>
    <row r="329" customFormat="false" ht="32" hidden="false" customHeight="true" outlineLevel="1" collapsed="false">
      <c r="J329" s="62"/>
      <c r="M329" s="301" t="n">
        <v>326</v>
      </c>
      <c r="N329" s="232" t="s">
        <v>3174</v>
      </c>
      <c r="O329" s="233" t="s">
        <v>3491</v>
      </c>
      <c r="P329" s="232" t="s">
        <v>3176</v>
      </c>
      <c r="Q329" s="54" t="n">
        <v>122.32</v>
      </c>
      <c r="R329" s="55"/>
      <c r="S329" s="56" t="str">
        <f aca="false">IF(ISBLANK(R329),"",IF(ISNUMBER(Q329),ROUND(Q329*R329,2),"Укажите цену"))</f>
        <v/>
      </c>
    </row>
    <row r="330" customFormat="false" ht="32" hidden="false" customHeight="true" outlineLevel="1" collapsed="false">
      <c r="J330" s="62"/>
      <c r="M330" s="301" t="n">
        <v>327</v>
      </c>
      <c r="N330" s="232" t="s">
        <v>3174</v>
      </c>
      <c r="O330" s="233" t="s">
        <v>3492</v>
      </c>
      <c r="P330" s="232" t="s">
        <v>3176</v>
      </c>
      <c r="Q330" s="54" t="n">
        <v>122.32</v>
      </c>
      <c r="R330" s="55"/>
      <c r="S330" s="56" t="str">
        <f aca="false">IF(ISBLANK(R330),"",IF(ISNUMBER(Q330),ROUND(Q330*R330,2),"Укажите цену"))</f>
        <v/>
      </c>
    </row>
    <row r="331" customFormat="false" ht="32" hidden="false" customHeight="true" outlineLevel="1" collapsed="false">
      <c r="J331" s="62"/>
      <c r="M331" s="301" t="n">
        <v>328</v>
      </c>
      <c r="N331" s="232" t="s">
        <v>3174</v>
      </c>
      <c r="O331" s="233" t="s">
        <v>3493</v>
      </c>
      <c r="P331" s="232" t="s">
        <v>3176</v>
      </c>
      <c r="Q331" s="54" t="n">
        <v>122.32</v>
      </c>
      <c r="R331" s="55"/>
      <c r="S331" s="56" t="str">
        <f aca="false">IF(ISBLANK(R331),"",IF(ISNUMBER(Q331),ROUND(Q331*R331,2),"Укажите цену"))</f>
        <v/>
      </c>
    </row>
    <row r="332" customFormat="false" ht="32" hidden="false" customHeight="true" outlineLevel="1" collapsed="false">
      <c r="J332" s="62"/>
      <c r="M332" s="301" t="n">
        <v>329</v>
      </c>
      <c r="N332" s="232" t="s">
        <v>3174</v>
      </c>
      <c r="O332" s="233" t="s">
        <v>3494</v>
      </c>
      <c r="P332" s="232" t="s">
        <v>3176</v>
      </c>
      <c r="Q332" s="54" t="n">
        <v>122.32</v>
      </c>
      <c r="R332" s="55"/>
      <c r="S332" s="56" t="str">
        <f aca="false">IF(ISBLANK(R332),"",IF(ISNUMBER(Q332),ROUND(Q332*R332,2),"Укажите цену"))</f>
        <v/>
      </c>
    </row>
    <row r="333" customFormat="false" ht="32" hidden="false" customHeight="true" outlineLevel="1" collapsed="false">
      <c r="J333" s="62"/>
      <c r="M333" s="301" t="n">
        <v>330</v>
      </c>
      <c r="N333" s="232" t="s">
        <v>3174</v>
      </c>
      <c r="O333" s="233" t="s">
        <v>3495</v>
      </c>
      <c r="P333" s="232" t="s">
        <v>3176</v>
      </c>
      <c r="Q333" s="54" t="n">
        <v>122.32</v>
      </c>
      <c r="R333" s="55"/>
      <c r="S333" s="56" t="str">
        <f aca="false">IF(ISBLANK(R333),"",IF(ISNUMBER(Q333),ROUND(Q333*R333,2),"Укажите цену"))</f>
        <v/>
      </c>
    </row>
    <row r="334" customFormat="false" ht="32" hidden="false" customHeight="true" outlineLevel="1" collapsed="false">
      <c r="J334" s="62"/>
      <c r="M334" s="301" t="n">
        <v>331</v>
      </c>
      <c r="N334" s="232" t="s">
        <v>3174</v>
      </c>
      <c r="O334" s="233" t="s">
        <v>3496</v>
      </c>
      <c r="P334" s="232" t="s">
        <v>3176</v>
      </c>
      <c r="Q334" s="54" t="n">
        <v>122.32</v>
      </c>
      <c r="R334" s="55"/>
      <c r="S334" s="56" t="str">
        <f aca="false">IF(ISBLANK(R334),"",IF(ISNUMBER(Q334),ROUND(Q334*R334,2),"Укажите цену"))</f>
        <v/>
      </c>
    </row>
    <row r="335" customFormat="false" ht="32" hidden="false" customHeight="true" outlineLevel="1" collapsed="false">
      <c r="J335" s="62"/>
      <c r="M335" s="301" t="n">
        <v>332</v>
      </c>
      <c r="N335" s="232" t="s">
        <v>3174</v>
      </c>
      <c r="O335" s="233" t="s">
        <v>3497</v>
      </c>
      <c r="P335" s="232" t="s">
        <v>3176</v>
      </c>
      <c r="Q335" s="54" t="n">
        <v>122.32</v>
      </c>
      <c r="R335" s="55"/>
      <c r="S335" s="56" t="str">
        <f aca="false">IF(ISBLANK(R335),"",IF(ISNUMBER(Q335),ROUND(Q335*R335,2),"Укажите цену"))</f>
        <v/>
      </c>
    </row>
    <row r="336" customFormat="false" ht="32" hidden="false" customHeight="true" outlineLevel="1" collapsed="false">
      <c r="J336" s="62"/>
      <c r="M336" s="301" t="n">
        <v>333</v>
      </c>
      <c r="N336" s="232" t="s">
        <v>3174</v>
      </c>
      <c r="O336" s="233" t="s">
        <v>3498</v>
      </c>
      <c r="P336" s="232" t="s">
        <v>3176</v>
      </c>
      <c r="Q336" s="54" t="n">
        <v>122.32</v>
      </c>
      <c r="R336" s="55"/>
      <c r="S336" s="56" t="str">
        <f aca="false">IF(ISBLANK(R336),"",IF(ISNUMBER(Q336),ROUND(Q336*R336,2),"Укажите цену"))</f>
        <v/>
      </c>
    </row>
    <row r="337" customFormat="false" ht="32" hidden="false" customHeight="true" outlineLevel="1" collapsed="false">
      <c r="J337" s="62"/>
      <c r="M337" s="301" t="n">
        <v>334</v>
      </c>
      <c r="N337" s="232" t="s">
        <v>3174</v>
      </c>
      <c r="O337" s="233" t="s">
        <v>3499</v>
      </c>
      <c r="P337" s="232" t="s">
        <v>3176</v>
      </c>
      <c r="Q337" s="54" t="n">
        <v>122.32</v>
      </c>
      <c r="R337" s="55"/>
      <c r="S337" s="56" t="str">
        <f aca="false">IF(ISBLANK(R337),"",IF(ISNUMBER(Q337),ROUND(Q337*R337,2),"Укажите цену"))</f>
        <v/>
      </c>
    </row>
    <row r="338" customFormat="false" ht="32" hidden="false" customHeight="true" outlineLevel="1" collapsed="false">
      <c r="J338" s="62"/>
      <c r="M338" s="301" t="n">
        <v>335</v>
      </c>
      <c r="N338" s="232" t="s">
        <v>3174</v>
      </c>
      <c r="O338" s="233" t="s">
        <v>3500</v>
      </c>
      <c r="P338" s="232" t="s">
        <v>3176</v>
      </c>
      <c r="Q338" s="54" t="n">
        <v>122.32</v>
      </c>
      <c r="R338" s="55"/>
      <c r="S338" s="56" t="str">
        <f aca="false">IF(ISBLANK(R338),"",IF(ISNUMBER(Q338),ROUND(Q338*R338,2),"Укажите цену"))</f>
        <v/>
      </c>
    </row>
    <row r="339" customFormat="false" ht="32" hidden="false" customHeight="true" outlineLevel="1" collapsed="false">
      <c r="J339" s="62"/>
      <c r="M339" s="301" t="n">
        <v>336</v>
      </c>
      <c r="N339" s="232" t="s">
        <v>3174</v>
      </c>
      <c r="O339" s="233" t="s">
        <v>3501</v>
      </c>
      <c r="P339" s="232" t="s">
        <v>3176</v>
      </c>
      <c r="Q339" s="54" t="n">
        <v>122.32</v>
      </c>
      <c r="R339" s="55"/>
      <c r="S339" s="56" t="str">
        <f aca="false">IF(ISBLANK(R339),"",IF(ISNUMBER(Q339),ROUND(Q339*R339,2),"Укажите цену"))</f>
        <v/>
      </c>
    </row>
    <row r="340" customFormat="false" ht="32" hidden="false" customHeight="true" outlineLevel="1" collapsed="false">
      <c r="J340" s="62"/>
      <c r="M340" s="301" t="n">
        <v>337</v>
      </c>
      <c r="N340" s="232" t="s">
        <v>3174</v>
      </c>
      <c r="O340" s="233" t="s">
        <v>3332</v>
      </c>
      <c r="P340" s="232" t="s">
        <v>3176</v>
      </c>
      <c r="Q340" s="54" t="n">
        <v>122.32</v>
      </c>
      <c r="R340" s="55"/>
      <c r="S340" s="56" t="str">
        <f aca="false">IF(ISBLANK(R340),"",IF(ISNUMBER(Q340),ROUND(Q340*R340,2),"Укажите цену"))</f>
        <v/>
      </c>
    </row>
    <row r="341" customFormat="false" ht="32" hidden="false" customHeight="true" outlineLevel="1" collapsed="false">
      <c r="J341" s="62"/>
      <c r="M341" s="301" t="n">
        <v>338</v>
      </c>
      <c r="N341" s="232" t="s">
        <v>3174</v>
      </c>
      <c r="O341" s="233" t="s">
        <v>3502</v>
      </c>
      <c r="P341" s="232" t="s">
        <v>3176</v>
      </c>
      <c r="Q341" s="54" t="n">
        <v>122.32</v>
      </c>
      <c r="R341" s="55"/>
      <c r="S341" s="56" t="str">
        <f aca="false">IF(ISBLANK(R341),"",IF(ISNUMBER(Q341),ROUND(Q341*R341,2),"Укажите цену"))</f>
        <v/>
      </c>
    </row>
    <row r="342" customFormat="false" ht="32" hidden="false" customHeight="true" outlineLevel="1" collapsed="false">
      <c r="J342" s="62"/>
      <c r="M342" s="301" t="n">
        <v>339</v>
      </c>
      <c r="N342" s="232" t="s">
        <v>3174</v>
      </c>
      <c r="O342" s="233" t="s">
        <v>3503</v>
      </c>
      <c r="P342" s="232" t="s">
        <v>3176</v>
      </c>
      <c r="Q342" s="54" t="n">
        <v>122.32</v>
      </c>
      <c r="R342" s="55"/>
      <c r="S342" s="56" t="str">
        <f aca="false">IF(ISBLANK(R342),"",IF(ISNUMBER(Q342),ROUND(Q342*R342,2),"Укажите цену"))</f>
        <v/>
      </c>
    </row>
    <row r="343" customFormat="false" ht="32" hidden="false" customHeight="true" outlineLevel="1" collapsed="false">
      <c r="J343" s="62"/>
      <c r="M343" s="301" t="n">
        <v>340</v>
      </c>
      <c r="N343" s="232" t="s">
        <v>3174</v>
      </c>
      <c r="O343" s="233" t="s">
        <v>3504</v>
      </c>
      <c r="P343" s="232" t="s">
        <v>3176</v>
      </c>
      <c r="Q343" s="54" t="n">
        <v>122.32</v>
      </c>
      <c r="R343" s="55"/>
      <c r="S343" s="56" t="str">
        <f aca="false">IF(ISBLANK(R343),"",IF(ISNUMBER(Q343),ROUND(Q343*R343,2),"Укажите цену"))</f>
        <v/>
      </c>
    </row>
    <row r="344" customFormat="false" ht="32" hidden="false" customHeight="true" outlineLevel="1" collapsed="false">
      <c r="J344" s="62"/>
      <c r="M344" s="301" t="n">
        <v>341</v>
      </c>
      <c r="N344" s="232" t="s">
        <v>3174</v>
      </c>
      <c r="O344" s="233" t="s">
        <v>3347</v>
      </c>
      <c r="P344" s="232" t="s">
        <v>3176</v>
      </c>
      <c r="Q344" s="54" t="n">
        <v>122.32</v>
      </c>
      <c r="R344" s="55"/>
      <c r="S344" s="56" t="str">
        <f aca="false">IF(ISBLANK(R344),"",IF(ISNUMBER(Q344),ROUND(Q344*R344,2),"Укажите цену"))</f>
        <v/>
      </c>
    </row>
    <row r="345" customFormat="false" ht="32" hidden="false" customHeight="true" outlineLevel="1" collapsed="false">
      <c r="J345" s="62"/>
      <c r="M345" s="301" t="n">
        <v>342</v>
      </c>
      <c r="N345" s="232" t="s">
        <v>3174</v>
      </c>
      <c r="O345" s="233" t="s">
        <v>3505</v>
      </c>
      <c r="P345" s="232" t="s">
        <v>3176</v>
      </c>
      <c r="Q345" s="54" t="n">
        <v>122.32</v>
      </c>
      <c r="R345" s="55"/>
      <c r="S345" s="56" t="str">
        <f aca="false">IF(ISBLANK(R345),"",IF(ISNUMBER(Q345),ROUND(Q345*R345,2),"Укажите цену"))</f>
        <v/>
      </c>
    </row>
    <row r="346" customFormat="false" ht="32" hidden="false" customHeight="true" outlineLevel="1" collapsed="false">
      <c r="J346" s="62"/>
      <c r="M346" s="301" t="n">
        <v>343</v>
      </c>
      <c r="N346" s="232" t="s">
        <v>3174</v>
      </c>
      <c r="O346" s="233" t="s">
        <v>3506</v>
      </c>
      <c r="P346" s="232" t="s">
        <v>3176</v>
      </c>
      <c r="Q346" s="54" t="n">
        <v>122.32</v>
      </c>
      <c r="R346" s="55"/>
      <c r="S346" s="56" t="str">
        <f aca="false">IF(ISBLANK(R346),"",IF(ISNUMBER(Q346),ROUND(Q346*R346,2),"Укажите цену"))</f>
        <v/>
      </c>
    </row>
    <row r="347" customFormat="false" ht="32" hidden="false" customHeight="true" outlineLevel="1" collapsed="false">
      <c r="J347" s="62"/>
      <c r="M347" s="301" t="n">
        <v>344</v>
      </c>
      <c r="N347" s="232" t="s">
        <v>3174</v>
      </c>
      <c r="O347" s="233" t="s">
        <v>3507</v>
      </c>
      <c r="P347" s="232" t="s">
        <v>3176</v>
      </c>
      <c r="Q347" s="54" t="n">
        <v>122.32</v>
      </c>
      <c r="R347" s="55"/>
      <c r="S347" s="56" t="str">
        <f aca="false">IF(ISBLANK(R347),"",IF(ISNUMBER(Q347),ROUND(Q347*R347,2),"Укажите цену"))</f>
        <v/>
      </c>
    </row>
    <row r="348" customFormat="false" ht="32" hidden="false" customHeight="true" outlineLevel="1" collapsed="false">
      <c r="J348" s="62"/>
      <c r="M348" s="301" t="n">
        <v>345</v>
      </c>
      <c r="N348" s="232" t="s">
        <v>3174</v>
      </c>
      <c r="O348" s="233" t="s">
        <v>3508</v>
      </c>
      <c r="P348" s="232" t="s">
        <v>3176</v>
      </c>
      <c r="Q348" s="54" t="n">
        <v>122.32</v>
      </c>
      <c r="R348" s="55"/>
      <c r="S348" s="56" t="str">
        <f aca="false">IF(ISBLANK(R348),"",IF(ISNUMBER(Q348),ROUND(Q348*R348,2),"Укажите цену"))</f>
        <v/>
      </c>
    </row>
    <row r="349" customFormat="false" ht="32" hidden="false" customHeight="true" outlineLevel="1" collapsed="false">
      <c r="J349" s="62"/>
      <c r="M349" s="301" t="n">
        <v>346</v>
      </c>
      <c r="N349" s="232" t="s">
        <v>3174</v>
      </c>
      <c r="O349" s="233" t="s">
        <v>3509</v>
      </c>
      <c r="P349" s="232" t="s">
        <v>3176</v>
      </c>
      <c r="Q349" s="54" t="n">
        <v>122.32</v>
      </c>
      <c r="R349" s="55"/>
      <c r="S349" s="56" t="str">
        <f aca="false">IF(ISBLANK(R349),"",IF(ISNUMBER(Q349),ROUND(Q349*R349,2),"Укажите цену"))</f>
        <v/>
      </c>
    </row>
    <row r="350" customFormat="false" ht="32" hidden="false" customHeight="true" outlineLevel="1" collapsed="false">
      <c r="J350" s="62"/>
      <c r="M350" s="301" t="n">
        <v>347</v>
      </c>
      <c r="N350" s="232" t="s">
        <v>3174</v>
      </c>
      <c r="O350" s="233" t="s">
        <v>3299</v>
      </c>
      <c r="P350" s="232" t="s">
        <v>3176</v>
      </c>
      <c r="Q350" s="54" t="n">
        <v>122.32</v>
      </c>
      <c r="R350" s="55"/>
      <c r="S350" s="56" t="str">
        <f aca="false">IF(ISBLANK(R350),"",IF(ISNUMBER(Q350),ROUND(Q350*R350,2),"Укажите цену"))</f>
        <v/>
      </c>
    </row>
    <row r="351" customFormat="false" ht="32" hidden="false" customHeight="true" outlineLevel="1" collapsed="false">
      <c r="J351" s="62"/>
      <c r="M351" s="301" t="n">
        <v>348</v>
      </c>
      <c r="N351" s="232" t="s">
        <v>3174</v>
      </c>
      <c r="O351" s="233" t="s">
        <v>3356</v>
      </c>
      <c r="P351" s="232" t="s">
        <v>3176</v>
      </c>
      <c r="Q351" s="54" t="n">
        <v>122.32</v>
      </c>
      <c r="R351" s="55"/>
      <c r="S351" s="56" t="str">
        <f aca="false">IF(ISBLANK(R351),"",IF(ISNUMBER(Q351),ROUND(Q351*R351,2),"Укажите цену"))</f>
        <v/>
      </c>
    </row>
    <row r="352" customFormat="false" ht="32" hidden="false" customHeight="true" outlineLevel="1" collapsed="false">
      <c r="J352" s="62"/>
      <c r="M352" s="301" t="n">
        <v>349</v>
      </c>
      <c r="N352" s="232" t="s">
        <v>3174</v>
      </c>
      <c r="O352" s="233" t="s">
        <v>3510</v>
      </c>
      <c r="P352" s="232" t="s">
        <v>3176</v>
      </c>
      <c r="Q352" s="54" t="n">
        <v>122.32</v>
      </c>
      <c r="R352" s="55"/>
      <c r="S352" s="56" t="str">
        <f aca="false">IF(ISBLANK(R352),"",IF(ISNUMBER(Q352),ROUND(Q352*R352,2),"Укажите цену"))</f>
        <v/>
      </c>
    </row>
    <row r="353" customFormat="false" ht="32" hidden="false" customHeight="true" outlineLevel="1" collapsed="false">
      <c r="J353" s="62"/>
      <c r="M353" s="301" t="n">
        <v>350</v>
      </c>
      <c r="N353" s="232" t="s">
        <v>3174</v>
      </c>
      <c r="O353" s="233" t="s">
        <v>3511</v>
      </c>
      <c r="P353" s="232" t="s">
        <v>3176</v>
      </c>
      <c r="Q353" s="54" t="n">
        <v>122.32</v>
      </c>
      <c r="R353" s="55"/>
      <c r="S353" s="56" t="str">
        <f aca="false">IF(ISBLANK(R353),"",IF(ISNUMBER(Q353),ROUND(Q353*R353,2),"Укажите цену"))</f>
        <v/>
      </c>
    </row>
    <row r="354" customFormat="false" ht="32" hidden="false" customHeight="true" outlineLevel="1" collapsed="false">
      <c r="J354" s="62"/>
      <c r="M354" s="301" t="n">
        <v>351</v>
      </c>
      <c r="N354" s="232" t="s">
        <v>3174</v>
      </c>
      <c r="O354" s="233" t="s">
        <v>3512</v>
      </c>
      <c r="P354" s="232" t="s">
        <v>3176</v>
      </c>
      <c r="Q354" s="54" t="n">
        <v>122.32</v>
      </c>
      <c r="R354" s="55"/>
      <c r="S354" s="56" t="str">
        <f aca="false">IF(ISBLANK(R354),"",IF(ISNUMBER(Q354),ROUND(Q354*R354,2),"Укажите цену"))</f>
        <v/>
      </c>
    </row>
    <row r="355" customFormat="false" ht="32" hidden="false" customHeight="true" outlineLevel="1" collapsed="false">
      <c r="J355" s="62"/>
      <c r="M355" s="301" t="n">
        <v>352</v>
      </c>
      <c r="N355" s="232" t="s">
        <v>3174</v>
      </c>
      <c r="O355" s="233" t="s">
        <v>3513</v>
      </c>
      <c r="P355" s="232" t="s">
        <v>3176</v>
      </c>
      <c r="Q355" s="54" t="n">
        <v>122.32</v>
      </c>
      <c r="R355" s="55"/>
      <c r="S355" s="56" t="str">
        <f aca="false">IF(ISBLANK(R355),"",IF(ISNUMBER(Q355),ROUND(Q355*R355,2),"Укажите цену"))</f>
        <v/>
      </c>
    </row>
    <row r="356" customFormat="false" ht="32" hidden="false" customHeight="true" outlineLevel="1" collapsed="false">
      <c r="J356" s="62"/>
      <c r="M356" s="301" t="n">
        <v>353</v>
      </c>
      <c r="N356" s="232" t="s">
        <v>3174</v>
      </c>
      <c r="O356" s="233" t="s">
        <v>3514</v>
      </c>
      <c r="P356" s="232" t="s">
        <v>3176</v>
      </c>
      <c r="Q356" s="54" t="n">
        <v>122.32</v>
      </c>
      <c r="R356" s="55"/>
      <c r="S356" s="56" t="str">
        <f aca="false">IF(ISBLANK(R356),"",IF(ISNUMBER(Q356),ROUND(Q356*R356,2),"Укажите цену"))</f>
        <v/>
      </c>
    </row>
    <row r="357" customFormat="false" ht="50" hidden="false" customHeight="true" outlineLevel="1" collapsed="false">
      <c r="J357" s="62"/>
      <c r="M357" s="301" t="n">
        <v>354</v>
      </c>
      <c r="N357" s="232" t="s">
        <v>3174</v>
      </c>
      <c r="O357" s="233" t="s">
        <v>3570</v>
      </c>
      <c r="P357" s="232" t="s">
        <v>3176</v>
      </c>
      <c r="Q357" s="54" t="n">
        <v>122.32</v>
      </c>
      <c r="R357" s="55"/>
      <c r="S357" s="56" t="str">
        <f aca="false">IF(ISBLANK(R357),"",IF(ISNUMBER(Q357),ROUND(Q357*R357,2),"Укажите цену"))</f>
        <v/>
      </c>
    </row>
    <row r="358" customFormat="false" ht="32" hidden="false" customHeight="true" outlineLevel="1" collapsed="false">
      <c r="J358" s="62"/>
      <c r="M358" s="301" t="n">
        <v>355</v>
      </c>
      <c r="N358" s="232" t="s">
        <v>3174</v>
      </c>
      <c r="O358" s="233" t="s">
        <v>3365</v>
      </c>
      <c r="P358" s="232" t="s">
        <v>3176</v>
      </c>
      <c r="Q358" s="54" t="n">
        <v>122.32</v>
      </c>
      <c r="R358" s="55"/>
      <c r="S358" s="56" t="str">
        <f aca="false">IF(ISBLANK(R358),"",IF(ISNUMBER(Q358),ROUND(Q358*R358,2),"Укажите цену"))</f>
        <v/>
      </c>
    </row>
    <row r="359" customFormat="false" ht="32" hidden="false" customHeight="true" outlineLevel="1" collapsed="false">
      <c r="J359" s="62"/>
      <c r="M359" s="301" t="n">
        <v>356</v>
      </c>
      <c r="N359" s="232" t="s">
        <v>3174</v>
      </c>
      <c r="O359" s="233" t="s">
        <v>3516</v>
      </c>
      <c r="P359" s="232" t="s">
        <v>3176</v>
      </c>
      <c r="Q359" s="54" t="n">
        <v>122.32</v>
      </c>
      <c r="R359" s="55"/>
      <c r="S359" s="56" t="str">
        <f aca="false">IF(ISBLANK(R359),"",IF(ISNUMBER(Q359),ROUND(Q359*R359,2),"Укажите цену"))</f>
        <v/>
      </c>
    </row>
    <row r="360" customFormat="false" ht="32" hidden="false" customHeight="true" outlineLevel="1" collapsed="false">
      <c r="J360" s="62"/>
      <c r="M360" s="301" t="n">
        <v>357</v>
      </c>
      <c r="N360" s="232" t="s">
        <v>3174</v>
      </c>
      <c r="O360" s="233" t="s">
        <v>3517</v>
      </c>
      <c r="P360" s="232" t="s">
        <v>3176</v>
      </c>
      <c r="Q360" s="54" t="n">
        <v>122.32</v>
      </c>
      <c r="R360" s="55"/>
      <c r="S360" s="56" t="str">
        <f aca="false">IF(ISBLANK(R360),"",IF(ISNUMBER(Q360),ROUND(Q360*R360,2),"Укажите цену"))</f>
        <v/>
      </c>
    </row>
    <row r="361" customFormat="false" ht="32" hidden="false" customHeight="true" outlineLevel="1" collapsed="false">
      <c r="J361" s="62"/>
      <c r="M361" s="301" t="n">
        <v>358</v>
      </c>
      <c r="N361" s="232" t="s">
        <v>3174</v>
      </c>
      <c r="O361" s="233" t="s">
        <v>3518</v>
      </c>
      <c r="P361" s="232" t="s">
        <v>3176</v>
      </c>
      <c r="Q361" s="54" t="n">
        <v>122.32</v>
      </c>
      <c r="R361" s="55"/>
      <c r="S361" s="56" t="str">
        <f aca="false">IF(ISBLANK(R361),"",IF(ISNUMBER(Q361),ROUND(Q361*R361,2),"Укажите цену"))</f>
        <v/>
      </c>
    </row>
    <row r="362" customFormat="false" ht="32" hidden="false" customHeight="true" outlineLevel="1" collapsed="false">
      <c r="J362" s="62"/>
      <c r="M362" s="301" t="n">
        <v>359</v>
      </c>
      <c r="N362" s="232" t="s">
        <v>3174</v>
      </c>
      <c r="O362" s="233" t="s">
        <v>3519</v>
      </c>
      <c r="P362" s="232" t="s">
        <v>3176</v>
      </c>
      <c r="Q362" s="54" t="n">
        <v>122.32</v>
      </c>
      <c r="R362" s="55"/>
      <c r="S362" s="56" t="str">
        <f aca="false">IF(ISBLANK(R362),"",IF(ISNUMBER(Q362),ROUND(Q362*R362,2),"Укажите цену"))</f>
        <v/>
      </c>
    </row>
    <row r="363" customFormat="false" ht="32" hidden="false" customHeight="true" outlineLevel="1" collapsed="false">
      <c r="J363" s="62"/>
      <c r="M363" s="301" t="n">
        <v>360</v>
      </c>
      <c r="N363" s="232" t="s">
        <v>3174</v>
      </c>
      <c r="O363" s="233" t="s">
        <v>3520</v>
      </c>
      <c r="P363" s="232" t="s">
        <v>3176</v>
      </c>
      <c r="Q363" s="54" t="n">
        <v>122.32</v>
      </c>
      <c r="R363" s="55"/>
      <c r="S363" s="56" t="str">
        <f aca="false">IF(ISBLANK(R363),"",IF(ISNUMBER(Q363),ROUND(Q363*R363,2),"Укажите цену"))</f>
        <v/>
      </c>
    </row>
    <row r="364" customFormat="false" ht="32" hidden="false" customHeight="true" outlineLevel="1" collapsed="false">
      <c r="J364" s="62"/>
      <c r="M364" s="301" t="n">
        <v>361</v>
      </c>
      <c r="N364" s="232" t="s">
        <v>3174</v>
      </c>
      <c r="O364" s="233" t="s">
        <v>3374</v>
      </c>
      <c r="P364" s="232" t="s">
        <v>3176</v>
      </c>
      <c r="Q364" s="54" t="n">
        <v>122.32</v>
      </c>
      <c r="R364" s="55"/>
      <c r="S364" s="56" t="str">
        <f aca="false">IF(ISBLANK(R364),"",IF(ISNUMBER(Q364),ROUND(Q364*R364,2),"Укажите цену"))</f>
        <v/>
      </c>
    </row>
    <row r="365" customFormat="false" ht="32" hidden="false" customHeight="true" outlineLevel="1" collapsed="false">
      <c r="J365" s="62"/>
      <c r="M365" s="301" t="n">
        <v>362</v>
      </c>
      <c r="N365" s="232" t="s">
        <v>3174</v>
      </c>
      <c r="O365" s="233" t="s">
        <v>3521</v>
      </c>
      <c r="P365" s="232" t="s">
        <v>3176</v>
      </c>
      <c r="Q365" s="54" t="n">
        <v>122.32</v>
      </c>
      <c r="R365" s="55"/>
      <c r="S365" s="56" t="str">
        <f aca="false">IF(ISBLANK(R365),"",IF(ISNUMBER(Q365),ROUND(Q365*R365,2),"Укажите цену"))</f>
        <v/>
      </c>
    </row>
    <row r="366" customFormat="false" ht="32" hidden="false" customHeight="true" outlineLevel="1" collapsed="false">
      <c r="J366" s="62"/>
      <c r="M366" s="301" t="n">
        <v>363</v>
      </c>
      <c r="N366" s="232" t="s">
        <v>3174</v>
      </c>
      <c r="O366" s="233" t="s">
        <v>3522</v>
      </c>
      <c r="P366" s="232" t="s">
        <v>3176</v>
      </c>
      <c r="Q366" s="54" t="n">
        <v>122.32</v>
      </c>
      <c r="R366" s="55"/>
      <c r="S366" s="56" t="str">
        <f aca="false">IF(ISBLANK(R366),"",IF(ISNUMBER(Q366),ROUND(Q366*R366,2),"Укажите цену"))</f>
        <v/>
      </c>
    </row>
    <row r="367" customFormat="false" ht="32" hidden="false" customHeight="true" outlineLevel="1" collapsed="false">
      <c r="J367" s="62"/>
      <c r="M367" s="301" t="n">
        <v>364</v>
      </c>
      <c r="N367" s="232" t="s">
        <v>3174</v>
      </c>
      <c r="O367" s="233" t="s">
        <v>3523</v>
      </c>
      <c r="P367" s="232" t="s">
        <v>3176</v>
      </c>
      <c r="Q367" s="54" t="n">
        <v>122.32</v>
      </c>
      <c r="R367" s="55"/>
      <c r="S367" s="56" t="str">
        <f aca="false">IF(ISBLANK(R367),"",IF(ISNUMBER(Q367),ROUND(Q367*R367,2),"Укажите цену"))</f>
        <v/>
      </c>
    </row>
    <row r="368" customFormat="false" ht="32" hidden="false" customHeight="true" outlineLevel="1" collapsed="false">
      <c r="J368" s="62"/>
      <c r="M368" s="301" t="n">
        <v>365</v>
      </c>
      <c r="N368" s="232" t="s">
        <v>3174</v>
      </c>
      <c r="O368" s="233" t="s">
        <v>3524</v>
      </c>
      <c r="P368" s="232" t="s">
        <v>3176</v>
      </c>
      <c r="Q368" s="54" t="n">
        <v>122.32</v>
      </c>
      <c r="R368" s="55"/>
      <c r="S368" s="56" t="str">
        <f aca="false">IF(ISBLANK(R368),"",IF(ISNUMBER(Q368),ROUND(Q368*R368,2),"Укажите цену"))</f>
        <v/>
      </c>
    </row>
    <row r="369" customFormat="false" ht="32" hidden="false" customHeight="true" outlineLevel="1" collapsed="false">
      <c r="J369" s="62"/>
      <c r="M369" s="301" t="n">
        <v>366</v>
      </c>
      <c r="N369" s="232" t="s">
        <v>3174</v>
      </c>
      <c r="O369" s="233" t="s">
        <v>3525</v>
      </c>
      <c r="P369" s="232" t="s">
        <v>3176</v>
      </c>
      <c r="Q369" s="54" t="n">
        <v>122.32</v>
      </c>
      <c r="R369" s="55"/>
      <c r="S369" s="56" t="str">
        <f aca="false">IF(ISBLANK(R369),"",IF(ISNUMBER(Q369),ROUND(Q369*R369,2),"Укажите цену"))</f>
        <v/>
      </c>
    </row>
    <row r="370" customFormat="false" ht="32" hidden="false" customHeight="true" outlineLevel="1" collapsed="false">
      <c r="J370" s="62"/>
      <c r="M370" s="301" t="n">
        <v>367</v>
      </c>
      <c r="N370" s="232" t="s">
        <v>3174</v>
      </c>
      <c r="O370" s="233" t="s">
        <v>3382</v>
      </c>
      <c r="P370" s="232" t="s">
        <v>3176</v>
      </c>
      <c r="Q370" s="54" t="n">
        <v>122.32</v>
      </c>
      <c r="R370" s="55"/>
      <c r="S370" s="56" t="str">
        <f aca="false">IF(ISBLANK(R370),"",IF(ISNUMBER(Q370),ROUND(Q370*R370,2),"Укажите цену"))</f>
        <v/>
      </c>
    </row>
    <row r="371" customFormat="false" ht="32" hidden="false" customHeight="true" outlineLevel="1" collapsed="false">
      <c r="J371" s="62"/>
      <c r="M371" s="301" t="n">
        <v>368</v>
      </c>
      <c r="N371" s="232" t="s">
        <v>3174</v>
      </c>
      <c r="O371" s="233" t="s">
        <v>3526</v>
      </c>
      <c r="P371" s="232" t="s">
        <v>3176</v>
      </c>
      <c r="Q371" s="54" t="n">
        <v>122.32</v>
      </c>
      <c r="R371" s="55"/>
      <c r="S371" s="56" t="str">
        <f aca="false">IF(ISBLANK(R371),"",IF(ISNUMBER(Q371),ROUND(Q371*R371,2),"Укажите цену"))</f>
        <v/>
      </c>
    </row>
    <row r="372" customFormat="false" ht="32" hidden="false" customHeight="true" outlineLevel="1" collapsed="false">
      <c r="J372" s="62"/>
      <c r="M372" s="301" t="n">
        <v>369</v>
      </c>
      <c r="N372" s="232" t="s">
        <v>3174</v>
      </c>
      <c r="O372" s="233" t="s">
        <v>3527</v>
      </c>
      <c r="P372" s="232" t="s">
        <v>3176</v>
      </c>
      <c r="Q372" s="54" t="n">
        <v>122.32</v>
      </c>
      <c r="R372" s="55"/>
      <c r="S372" s="56" t="str">
        <f aca="false">IF(ISBLANK(R372),"",IF(ISNUMBER(Q372),ROUND(Q372*R372,2),"Укажите цену"))</f>
        <v/>
      </c>
    </row>
    <row r="373" customFormat="false" ht="32" hidden="false" customHeight="true" outlineLevel="1" collapsed="false">
      <c r="J373" s="62"/>
      <c r="M373" s="301" t="n">
        <v>370</v>
      </c>
      <c r="N373" s="232" t="s">
        <v>3174</v>
      </c>
      <c r="O373" s="233" t="s">
        <v>3528</v>
      </c>
      <c r="P373" s="232" t="s">
        <v>3176</v>
      </c>
      <c r="Q373" s="54" t="n">
        <v>122.32</v>
      </c>
      <c r="R373" s="55"/>
      <c r="S373" s="56" t="str">
        <f aca="false">IF(ISBLANK(R373),"",IF(ISNUMBER(Q373),ROUND(Q373*R373,2),"Укажите цену"))</f>
        <v/>
      </c>
    </row>
    <row r="374" customFormat="false" ht="32" hidden="false" customHeight="true" outlineLevel="1" collapsed="false">
      <c r="J374" s="62"/>
      <c r="M374" s="301" t="n">
        <v>371</v>
      </c>
      <c r="N374" s="232" t="s">
        <v>3174</v>
      </c>
      <c r="O374" s="233" t="s">
        <v>3529</v>
      </c>
      <c r="P374" s="232" t="s">
        <v>3176</v>
      </c>
      <c r="Q374" s="54" t="n">
        <v>122.32</v>
      </c>
      <c r="R374" s="55"/>
      <c r="S374" s="56" t="str">
        <f aca="false">IF(ISBLANK(R374),"",IF(ISNUMBER(Q374),ROUND(Q374*R374,2),"Укажите цену"))</f>
        <v/>
      </c>
    </row>
    <row r="375" customFormat="false" ht="32" hidden="false" customHeight="true" outlineLevel="1" collapsed="false">
      <c r="J375" s="62"/>
      <c r="M375" s="301" t="n">
        <v>372</v>
      </c>
      <c r="N375" s="232" t="s">
        <v>3174</v>
      </c>
      <c r="O375" s="233" t="s">
        <v>3531</v>
      </c>
      <c r="P375" s="232" t="s">
        <v>3176</v>
      </c>
      <c r="Q375" s="54" t="n">
        <v>122.32</v>
      </c>
      <c r="R375" s="55"/>
      <c r="S375" s="56" t="str">
        <f aca="false">IF(ISBLANK(R375),"",IF(ISNUMBER(Q375),ROUND(Q375*R375,2),"Укажите цену"))</f>
        <v/>
      </c>
    </row>
    <row r="376" customFormat="false" ht="32" hidden="false" customHeight="true" outlineLevel="1" collapsed="false">
      <c r="J376" s="62"/>
      <c r="M376" s="301" t="n">
        <v>373</v>
      </c>
      <c r="N376" s="232" t="s">
        <v>3174</v>
      </c>
      <c r="O376" s="233" t="s">
        <v>3532</v>
      </c>
      <c r="P376" s="232" t="s">
        <v>3176</v>
      </c>
      <c r="Q376" s="54" t="n">
        <v>122.32</v>
      </c>
      <c r="R376" s="55"/>
      <c r="S376" s="56" t="str">
        <f aca="false">IF(ISBLANK(R376),"",IF(ISNUMBER(Q376),ROUND(Q376*R376,2),"Укажите цену"))</f>
        <v/>
      </c>
    </row>
    <row r="377" customFormat="false" ht="32" hidden="false" customHeight="true" outlineLevel="1" collapsed="false">
      <c r="J377" s="62"/>
      <c r="M377" s="301" t="n">
        <v>374</v>
      </c>
      <c r="N377" s="232" t="s">
        <v>3174</v>
      </c>
      <c r="O377" s="233" t="s">
        <v>3390</v>
      </c>
      <c r="P377" s="232" t="s">
        <v>3176</v>
      </c>
      <c r="Q377" s="54" t="n">
        <v>122.32</v>
      </c>
      <c r="R377" s="55"/>
      <c r="S377" s="56" t="str">
        <f aca="false">IF(ISBLANK(R377),"",IF(ISNUMBER(Q377),ROUND(Q377*R377,2),"Укажите цену"))</f>
        <v/>
      </c>
    </row>
    <row r="378" customFormat="false" ht="32" hidden="false" customHeight="true" outlineLevel="1" collapsed="false">
      <c r="J378" s="62"/>
      <c r="M378" s="301" t="n">
        <v>375</v>
      </c>
      <c r="N378" s="232" t="s">
        <v>3174</v>
      </c>
      <c r="O378" s="233" t="s">
        <v>3533</v>
      </c>
      <c r="P378" s="232" t="s">
        <v>3176</v>
      </c>
      <c r="Q378" s="54" t="n">
        <v>122.32</v>
      </c>
      <c r="R378" s="55"/>
      <c r="S378" s="56" t="str">
        <f aca="false">IF(ISBLANK(R378),"",IF(ISNUMBER(Q378),ROUND(Q378*R378,2),"Укажите цену"))</f>
        <v/>
      </c>
    </row>
    <row r="379" customFormat="false" ht="32" hidden="false" customHeight="true" outlineLevel="1" collapsed="false">
      <c r="J379" s="62"/>
      <c r="M379" s="301" t="n">
        <v>376</v>
      </c>
      <c r="N379" s="232" t="s">
        <v>3174</v>
      </c>
      <c r="O379" s="233" t="s">
        <v>3534</v>
      </c>
      <c r="P379" s="232" t="s">
        <v>3176</v>
      </c>
      <c r="Q379" s="54" t="n">
        <v>122.32</v>
      </c>
      <c r="R379" s="55"/>
      <c r="S379" s="56" t="str">
        <f aca="false">IF(ISBLANK(R379),"",IF(ISNUMBER(Q379),ROUND(Q379*R379,2),"Укажите цену"))</f>
        <v/>
      </c>
    </row>
    <row r="380" customFormat="false" ht="32" hidden="false" customHeight="true" outlineLevel="1" collapsed="false">
      <c r="J380" s="62"/>
      <c r="M380" s="301" t="n">
        <v>377</v>
      </c>
      <c r="N380" s="232" t="s">
        <v>3174</v>
      </c>
      <c r="O380" s="233" t="s">
        <v>3535</v>
      </c>
      <c r="P380" s="232" t="s">
        <v>3176</v>
      </c>
      <c r="Q380" s="54" t="n">
        <v>122.32</v>
      </c>
      <c r="R380" s="55"/>
      <c r="S380" s="56" t="str">
        <f aca="false">IF(ISBLANK(R380),"",IF(ISNUMBER(Q380),ROUND(Q380*R380,2),"Укажите цену"))</f>
        <v/>
      </c>
    </row>
    <row r="381" customFormat="false" ht="32" hidden="false" customHeight="true" outlineLevel="1" collapsed="false">
      <c r="J381" s="62"/>
      <c r="M381" s="301" t="n">
        <v>378</v>
      </c>
      <c r="N381" s="232" t="s">
        <v>3174</v>
      </c>
      <c r="O381" s="233" t="s">
        <v>3536</v>
      </c>
      <c r="P381" s="232" t="s">
        <v>3176</v>
      </c>
      <c r="Q381" s="54" t="n">
        <v>122.32</v>
      </c>
      <c r="R381" s="55"/>
      <c r="S381" s="56" t="str">
        <f aca="false">IF(ISBLANK(R381),"",IF(ISNUMBER(Q381),ROUND(Q381*R381,2),"Укажите цену"))</f>
        <v/>
      </c>
    </row>
    <row r="382" customFormat="false" ht="32" hidden="false" customHeight="true" outlineLevel="1" collapsed="false">
      <c r="J382" s="62"/>
      <c r="M382" s="301" t="n">
        <v>379</v>
      </c>
      <c r="N382" s="232" t="s">
        <v>3174</v>
      </c>
      <c r="O382" s="233" t="s">
        <v>3537</v>
      </c>
      <c r="P382" s="232" t="s">
        <v>3176</v>
      </c>
      <c r="Q382" s="54" t="n">
        <v>122.32</v>
      </c>
      <c r="R382" s="55"/>
      <c r="S382" s="56" t="str">
        <f aca="false">IF(ISBLANK(R382),"",IF(ISNUMBER(Q382),ROUND(Q382*R382,2),"Укажите цену"))</f>
        <v/>
      </c>
    </row>
    <row r="383" customFormat="false" ht="32" hidden="false" customHeight="true" outlineLevel="1" collapsed="false">
      <c r="J383" s="62"/>
      <c r="M383" s="301" t="n">
        <v>380</v>
      </c>
      <c r="N383" s="232" t="s">
        <v>3174</v>
      </c>
      <c r="O383" s="233" t="s">
        <v>3397</v>
      </c>
      <c r="P383" s="232" t="s">
        <v>3176</v>
      </c>
      <c r="Q383" s="54" t="n">
        <v>122.32</v>
      </c>
      <c r="R383" s="55"/>
      <c r="S383" s="56" t="str">
        <f aca="false">IF(ISBLANK(R383),"",IF(ISNUMBER(Q383),ROUND(Q383*R383,2),"Укажите цену"))</f>
        <v/>
      </c>
    </row>
    <row r="384" customFormat="false" ht="32" hidden="false" customHeight="true" outlineLevel="1" collapsed="false">
      <c r="J384" s="62"/>
      <c r="M384" s="301" t="n">
        <v>381</v>
      </c>
      <c r="N384" s="232" t="s">
        <v>3174</v>
      </c>
      <c r="O384" s="233" t="s">
        <v>3538</v>
      </c>
      <c r="P384" s="232" t="s">
        <v>3176</v>
      </c>
      <c r="Q384" s="54" t="n">
        <v>122.32</v>
      </c>
      <c r="R384" s="55"/>
      <c r="S384" s="56" t="str">
        <f aca="false">IF(ISBLANK(R384),"",IF(ISNUMBER(Q384),ROUND(Q384*R384,2),"Укажите цену"))</f>
        <v/>
      </c>
    </row>
    <row r="385" customFormat="false" ht="32" hidden="false" customHeight="true" outlineLevel="1" collapsed="false">
      <c r="J385" s="62"/>
      <c r="M385" s="301" t="n">
        <v>382</v>
      </c>
      <c r="N385" s="232" t="s">
        <v>3174</v>
      </c>
      <c r="O385" s="233" t="s">
        <v>3539</v>
      </c>
      <c r="P385" s="232" t="s">
        <v>3176</v>
      </c>
      <c r="Q385" s="54" t="n">
        <v>122.32</v>
      </c>
      <c r="R385" s="55"/>
      <c r="S385" s="56" t="str">
        <f aca="false">IF(ISBLANK(R385),"",IF(ISNUMBER(Q385),ROUND(Q385*R385,2),"Укажите цену"))</f>
        <v/>
      </c>
    </row>
    <row r="386" customFormat="false" ht="36" hidden="false" customHeight="true" outlineLevel="1" collapsed="false">
      <c r="J386" s="62"/>
      <c r="M386" s="301" t="n">
        <v>383</v>
      </c>
      <c r="N386" s="232" t="s">
        <v>3174</v>
      </c>
      <c r="O386" s="233" t="s">
        <v>3540</v>
      </c>
      <c r="P386" s="232" t="s">
        <v>3176</v>
      </c>
      <c r="Q386" s="54" t="n">
        <v>122.32</v>
      </c>
      <c r="R386" s="55"/>
      <c r="S386" s="56" t="str">
        <f aca="false">IF(ISBLANK(R386),"",IF(ISNUMBER(Q386),ROUND(Q386*R386,2),"Укажите цену"))</f>
        <v/>
      </c>
    </row>
    <row r="387" customFormat="false" ht="32" hidden="false" customHeight="true" outlineLevel="1" collapsed="false">
      <c r="J387" s="62"/>
      <c r="M387" s="301" t="n">
        <v>384</v>
      </c>
      <c r="N387" s="232" t="s">
        <v>3174</v>
      </c>
      <c r="O387" s="233" t="s">
        <v>3541</v>
      </c>
      <c r="P387" s="232" t="s">
        <v>3176</v>
      </c>
      <c r="Q387" s="54" t="n">
        <v>122.32</v>
      </c>
      <c r="R387" s="55"/>
      <c r="S387" s="56" t="str">
        <f aca="false">IF(ISBLANK(R387),"",IF(ISNUMBER(Q387),ROUND(Q387*R387,2),"Укажите цену"))</f>
        <v/>
      </c>
    </row>
    <row r="388" customFormat="false" ht="32" hidden="false" customHeight="true" outlineLevel="1" collapsed="false">
      <c r="J388" s="62"/>
      <c r="M388" s="301" t="n">
        <v>385</v>
      </c>
      <c r="N388" s="232" t="s">
        <v>3174</v>
      </c>
      <c r="O388" s="233" t="s">
        <v>3542</v>
      </c>
      <c r="P388" s="232" t="s">
        <v>3176</v>
      </c>
      <c r="Q388" s="54" t="n">
        <v>122.32</v>
      </c>
      <c r="R388" s="55"/>
      <c r="S388" s="56" t="str">
        <f aca="false">IF(ISBLANK(R388),"",IF(ISNUMBER(Q388),ROUND(Q388*R388,2),"Укажите цену"))</f>
        <v/>
      </c>
    </row>
    <row r="389" customFormat="false" ht="32" hidden="false" customHeight="true" outlineLevel="1" collapsed="false">
      <c r="J389" s="62"/>
      <c r="M389" s="301" t="n">
        <v>386</v>
      </c>
      <c r="N389" s="232" t="s">
        <v>3174</v>
      </c>
      <c r="O389" s="233" t="s">
        <v>3543</v>
      </c>
      <c r="P389" s="232" t="s">
        <v>3176</v>
      </c>
      <c r="Q389" s="54" t="n">
        <v>122.32</v>
      </c>
      <c r="R389" s="55"/>
      <c r="S389" s="56" t="str">
        <f aca="false">IF(ISBLANK(R389),"",IF(ISNUMBER(Q389),ROUND(Q389*R389,2),"Укажите цену"))</f>
        <v/>
      </c>
    </row>
    <row r="390" customFormat="false" ht="32" hidden="false" customHeight="true" outlineLevel="1" collapsed="false">
      <c r="J390" s="62"/>
      <c r="M390" s="301" t="n">
        <v>387</v>
      </c>
      <c r="N390" s="232" t="s">
        <v>3174</v>
      </c>
      <c r="O390" s="233" t="s">
        <v>3544</v>
      </c>
      <c r="P390" s="232" t="s">
        <v>3176</v>
      </c>
      <c r="Q390" s="54" t="n">
        <v>122.32</v>
      </c>
      <c r="R390" s="55"/>
      <c r="S390" s="56" t="str">
        <f aca="false">IF(ISBLANK(R390),"",IF(ISNUMBER(Q390),ROUND(Q390*R390,2),"Укажите цену"))</f>
        <v/>
      </c>
    </row>
    <row r="391" customFormat="false" ht="32" hidden="false" customHeight="true" outlineLevel="1" collapsed="false">
      <c r="J391" s="62"/>
      <c r="M391" s="301" t="n">
        <v>388</v>
      </c>
      <c r="N391" s="232" t="s">
        <v>3174</v>
      </c>
      <c r="O391" s="233" t="s">
        <v>3545</v>
      </c>
      <c r="P391" s="232" t="s">
        <v>3176</v>
      </c>
      <c r="Q391" s="54" t="n">
        <v>122.32</v>
      </c>
      <c r="R391" s="55"/>
      <c r="S391" s="56" t="str">
        <f aca="false">IF(ISBLANK(R391),"",IF(ISNUMBER(Q391),ROUND(Q391*R391,2),"Укажите цену"))</f>
        <v/>
      </c>
    </row>
    <row r="392" customFormat="false" ht="36" hidden="false" customHeight="true" outlineLevel="1" collapsed="false">
      <c r="J392" s="62"/>
      <c r="M392" s="301" t="n">
        <v>389</v>
      </c>
      <c r="N392" s="232" t="s">
        <v>3174</v>
      </c>
      <c r="O392" s="233" t="s">
        <v>3546</v>
      </c>
      <c r="P392" s="232" t="s">
        <v>3176</v>
      </c>
      <c r="Q392" s="54" t="n">
        <v>122.32</v>
      </c>
      <c r="R392" s="55"/>
      <c r="S392" s="56" t="str">
        <f aca="false">IF(ISBLANK(R392),"",IF(ISNUMBER(Q392),ROUND(Q392*R392,2),"Укажите цену"))</f>
        <v/>
      </c>
    </row>
    <row r="393" customFormat="false" ht="32" hidden="false" customHeight="true" outlineLevel="1" collapsed="false">
      <c r="J393" s="62"/>
      <c r="M393" s="301" t="n">
        <v>390</v>
      </c>
      <c r="N393" s="232" t="s">
        <v>3174</v>
      </c>
      <c r="O393" s="233" t="s">
        <v>3547</v>
      </c>
      <c r="P393" s="232" t="s">
        <v>3176</v>
      </c>
      <c r="Q393" s="54" t="n">
        <v>122.32</v>
      </c>
      <c r="R393" s="55"/>
      <c r="S393" s="56" t="str">
        <f aca="false">IF(ISBLANK(R393),"",IF(ISNUMBER(Q393),ROUND(Q393*R393,2),"Укажите цену"))</f>
        <v/>
      </c>
    </row>
    <row r="394" customFormat="false" ht="32" hidden="false" customHeight="true" outlineLevel="1" collapsed="false">
      <c r="J394" s="62"/>
      <c r="M394" s="301" t="n">
        <v>391</v>
      </c>
      <c r="N394" s="232" t="s">
        <v>3174</v>
      </c>
      <c r="O394" s="233" t="s">
        <v>3548</v>
      </c>
      <c r="P394" s="232" t="s">
        <v>3176</v>
      </c>
      <c r="Q394" s="54" t="n">
        <v>122.32</v>
      </c>
      <c r="R394" s="55"/>
      <c r="S394" s="56" t="str">
        <f aca="false">IF(ISBLANK(R394),"",IF(ISNUMBER(Q394),ROUND(Q394*R394,2),"Укажите цену"))</f>
        <v/>
      </c>
    </row>
    <row r="395" customFormat="false" ht="32" hidden="false" customHeight="true" outlineLevel="1" collapsed="false">
      <c r="J395" s="62"/>
      <c r="M395" s="301" t="n">
        <v>392</v>
      </c>
      <c r="N395" s="232" t="s">
        <v>3174</v>
      </c>
      <c r="O395" s="233" t="s">
        <v>3549</v>
      </c>
      <c r="P395" s="232" t="s">
        <v>3176</v>
      </c>
      <c r="Q395" s="54" t="n">
        <v>122.32</v>
      </c>
      <c r="R395" s="55"/>
      <c r="S395" s="56" t="str">
        <f aca="false">IF(ISBLANK(R395),"",IF(ISNUMBER(Q395),ROUND(Q395*R395,2),"Укажите цену"))</f>
        <v/>
      </c>
    </row>
    <row r="396" customFormat="false" ht="32" hidden="false" customHeight="true" outlineLevel="1" collapsed="false">
      <c r="J396" s="62"/>
      <c r="M396" s="301" t="n">
        <v>393</v>
      </c>
      <c r="N396" s="232" t="s">
        <v>3174</v>
      </c>
      <c r="O396" s="233" t="s">
        <v>3550</v>
      </c>
      <c r="P396" s="232" t="s">
        <v>3176</v>
      </c>
      <c r="Q396" s="54" t="n">
        <v>122.32</v>
      </c>
      <c r="R396" s="55"/>
      <c r="S396" s="56" t="str">
        <f aca="false">IF(ISBLANK(R396),"",IF(ISNUMBER(Q396),ROUND(Q396*R396,2),"Укажите цену"))</f>
        <v/>
      </c>
    </row>
    <row r="397" customFormat="false" ht="32" hidden="false" customHeight="true" outlineLevel="1" collapsed="false">
      <c r="J397" s="62"/>
      <c r="M397" s="301" t="n">
        <v>394</v>
      </c>
      <c r="N397" s="232" t="s">
        <v>3174</v>
      </c>
      <c r="O397" s="233" t="s">
        <v>3551</v>
      </c>
      <c r="P397" s="232" t="s">
        <v>3176</v>
      </c>
      <c r="Q397" s="54" t="n">
        <v>122.32</v>
      </c>
      <c r="R397" s="55"/>
      <c r="S397" s="56" t="str">
        <f aca="false">IF(ISBLANK(R397),"",IF(ISNUMBER(Q397),ROUND(Q397*R397,2),"Укажите цену"))</f>
        <v/>
      </c>
    </row>
    <row r="398" customFormat="false" ht="32" hidden="false" customHeight="true" outlineLevel="1" collapsed="false">
      <c r="J398" s="62"/>
      <c r="M398" s="301" t="n">
        <v>395</v>
      </c>
      <c r="N398" s="232" t="s">
        <v>3174</v>
      </c>
      <c r="O398" s="233" t="s">
        <v>3552</v>
      </c>
      <c r="P398" s="232" t="s">
        <v>3176</v>
      </c>
      <c r="Q398" s="54" t="n">
        <v>122.32</v>
      </c>
      <c r="R398" s="55"/>
      <c r="S398" s="56" t="str">
        <f aca="false">IF(ISBLANK(R398),"",IF(ISNUMBER(Q398),ROUND(Q398*R398,2),"Укажите цену"))</f>
        <v/>
      </c>
    </row>
    <row r="399" customFormat="false" ht="32" hidden="false" customHeight="true" outlineLevel="1" collapsed="false">
      <c r="J399" s="62"/>
      <c r="M399" s="301" t="n">
        <v>396</v>
      </c>
      <c r="N399" s="232" t="s">
        <v>3174</v>
      </c>
      <c r="O399" s="233" t="s">
        <v>3553</v>
      </c>
      <c r="P399" s="232" t="s">
        <v>3176</v>
      </c>
      <c r="Q399" s="54" t="n">
        <v>122.32</v>
      </c>
      <c r="R399" s="55"/>
      <c r="S399" s="56" t="str">
        <f aca="false">IF(ISBLANK(R399),"",IF(ISNUMBER(Q399),ROUND(Q399*R399,2),"Укажите цену"))</f>
        <v/>
      </c>
    </row>
    <row r="400" customFormat="false" ht="32" hidden="false" customHeight="true" outlineLevel="1" collapsed="false">
      <c r="J400" s="62"/>
      <c r="M400" s="301" t="n">
        <v>397</v>
      </c>
      <c r="N400" s="232" t="s">
        <v>3174</v>
      </c>
      <c r="O400" s="233" t="s">
        <v>3554</v>
      </c>
      <c r="P400" s="232" t="s">
        <v>3176</v>
      </c>
      <c r="Q400" s="54" t="n">
        <v>122.32</v>
      </c>
      <c r="R400" s="55"/>
      <c r="S400" s="56" t="str">
        <f aca="false">IF(ISBLANK(R400),"",IF(ISNUMBER(Q400),ROUND(Q400*R400,2),"Укажите цену"))</f>
        <v/>
      </c>
    </row>
    <row r="401" customFormat="false" ht="32" hidden="false" customHeight="true" outlineLevel="1" collapsed="false">
      <c r="J401" s="62"/>
      <c r="M401" s="301" t="n">
        <v>398</v>
      </c>
      <c r="N401" s="232" t="s">
        <v>3174</v>
      </c>
      <c r="O401" s="233" t="s">
        <v>3405</v>
      </c>
      <c r="P401" s="232" t="s">
        <v>3176</v>
      </c>
      <c r="Q401" s="54" t="n">
        <v>122.32</v>
      </c>
      <c r="R401" s="55"/>
      <c r="S401" s="56" t="str">
        <f aca="false">IF(ISBLANK(R401),"",IF(ISNUMBER(Q401),ROUND(Q401*R401,2),"Укажите цену"))</f>
        <v/>
      </c>
    </row>
    <row r="402" customFormat="false" ht="32" hidden="false" customHeight="true" outlineLevel="1" collapsed="false">
      <c r="J402" s="62"/>
      <c r="M402" s="301" t="n">
        <v>399</v>
      </c>
      <c r="N402" s="232" t="s">
        <v>3174</v>
      </c>
      <c r="O402" s="233" t="s">
        <v>3555</v>
      </c>
      <c r="P402" s="232" t="s">
        <v>3176</v>
      </c>
      <c r="Q402" s="54" t="n">
        <v>122.32</v>
      </c>
      <c r="R402" s="55"/>
      <c r="S402" s="56" t="str">
        <f aca="false">IF(ISBLANK(R402),"",IF(ISNUMBER(Q402),ROUND(Q402*R402,2),"Укажите цену"))</f>
        <v/>
      </c>
    </row>
    <row r="403" customFormat="false" ht="32" hidden="false" customHeight="true" outlineLevel="1" collapsed="false">
      <c r="J403" s="62"/>
      <c r="M403" s="301" t="n">
        <v>400</v>
      </c>
      <c r="N403" s="232" t="s">
        <v>3174</v>
      </c>
      <c r="O403" s="233" t="s">
        <v>3556</v>
      </c>
      <c r="P403" s="232" t="s">
        <v>3176</v>
      </c>
      <c r="Q403" s="54" t="n">
        <v>122.32</v>
      </c>
      <c r="R403" s="55"/>
      <c r="S403" s="56" t="str">
        <f aca="false">IF(ISBLANK(R403),"",IF(ISNUMBER(Q403),ROUND(Q403*R403,2),"Укажите цену"))</f>
        <v/>
      </c>
    </row>
    <row r="404" customFormat="false" ht="32" hidden="false" customHeight="true" outlineLevel="1" collapsed="false">
      <c r="J404" s="62"/>
      <c r="M404" s="301" t="n">
        <v>401</v>
      </c>
      <c r="N404" s="232" t="s">
        <v>3174</v>
      </c>
      <c r="O404" s="233" t="s">
        <v>3557</v>
      </c>
      <c r="P404" s="232" t="s">
        <v>3176</v>
      </c>
      <c r="Q404" s="54" t="n">
        <v>122.32</v>
      </c>
      <c r="R404" s="55"/>
      <c r="S404" s="56" t="str">
        <f aca="false">IF(ISBLANK(R404),"",IF(ISNUMBER(Q404),ROUND(Q404*R404,2),"Укажите цену"))</f>
        <v/>
      </c>
    </row>
    <row r="405" customFormat="false" ht="32" hidden="false" customHeight="true" outlineLevel="1" collapsed="false">
      <c r="J405" s="62"/>
      <c r="M405" s="301" t="n">
        <v>402</v>
      </c>
      <c r="N405" s="232" t="s">
        <v>3174</v>
      </c>
      <c r="O405" s="233" t="s">
        <v>3558</v>
      </c>
      <c r="P405" s="232" t="s">
        <v>3176</v>
      </c>
      <c r="Q405" s="54" t="n">
        <v>122.32</v>
      </c>
      <c r="R405" s="55"/>
      <c r="S405" s="56" t="str">
        <f aca="false">IF(ISBLANK(R405),"",IF(ISNUMBER(Q405),ROUND(Q405*R405,2),"Укажите цену"))</f>
        <v/>
      </c>
    </row>
    <row r="406" customFormat="false" ht="32" hidden="false" customHeight="true" outlineLevel="1" collapsed="false">
      <c r="J406" s="62"/>
      <c r="M406" s="301" t="n">
        <v>403</v>
      </c>
      <c r="N406" s="232" t="s">
        <v>3174</v>
      </c>
      <c r="O406" s="233" t="s">
        <v>3559</v>
      </c>
      <c r="P406" s="232" t="s">
        <v>3176</v>
      </c>
      <c r="Q406" s="54" t="n">
        <v>122.32</v>
      </c>
      <c r="R406" s="55"/>
      <c r="S406" s="56" t="str">
        <f aca="false">IF(ISBLANK(R406),"",IF(ISNUMBER(Q406),ROUND(Q406*R406,2),"Укажите цену"))</f>
        <v/>
      </c>
    </row>
    <row r="407" customFormat="false" ht="32" hidden="false" customHeight="true" outlineLevel="1" collapsed="false">
      <c r="J407" s="62"/>
      <c r="M407" s="301" t="n">
        <v>404</v>
      </c>
      <c r="N407" s="232" t="s">
        <v>3174</v>
      </c>
      <c r="O407" s="233" t="s">
        <v>3560</v>
      </c>
      <c r="P407" s="232" t="s">
        <v>3176</v>
      </c>
      <c r="Q407" s="54" t="n">
        <v>122.32</v>
      </c>
      <c r="R407" s="55"/>
      <c r="S407" s="56" t="str">
        <f aca="false">IF(ISBLANK(R407),"",IF(ISNUMBER(Q407),ROUND(Q407*R407,2),"Укажите цену"))</f>
        <v/>
      </c>
    </row>
    <row r="408" customFormat="false" ht="30" hidden="false" customHeight="true" outlineLevel="1" collapsed="false">
      <c r="J408" s="62"/>
      <c r="M408" s="109"/>
      <c r="N408" s="109"/>
      <c r="O408" s="109"/>
      <c r="P408" s="109"/>
      <c r="Q408" s="109" t="s">
        <v>633</v>
      </c>
      <c r="R408" s="109"/>
      <c r="S408" s="109" t="n">
        <f aca="false">IF(COUNTIFS(S4:S407,"Укажите цену")&gt;0,"Укажите цены",SUM(S4:S407))</f>
        <v>0</v>
      </c>
    </row>
    <row r="409" customFormat="false" ht="13.2" hidden="false" customHeight="false" outlineLevel="0" collapsed="false">
      <c r="J409" s="62"/>
    </row>
    <row r="410" customFormat="false" ht="13.2" hidden="false" customHeight="false" outlineLevel="0" collapsed="false">
      <c r="J410" s="62"/>
    </row>
    <row r="411" customFormat="false" ht="13.2" hidden="false" customHeight="false" outlineLevel="0" collapsed="false">
      <c r="J411" s="62"/>
    </row>
    <row r="412" customFormat="false" ht="13.2" hidden="false" customHeight="false" outlineLevel="0" collapsed="false">
      <c r="J412" s="62"/>
    </row>
    <row r="413" customFormat="false" ht="13.2" hidden="false" customHeight="false" outlineLevel="0" collapsed="false">
      <c r="J413" s="62"/>
    </row>
    <row r="414" customFormat="false" ht="13.2" hidden="false" customHeight="false" outlineLevel="0" collapsed="false">
      <c r="J414" s="62"/>
    </row>
    <row r="415" customFormat="false" ht="13.2" hidden="false" customHeight="false" outlineLevel="0" collapsed="false">
      <c r="J415" s="62"/>
    </row>
    <row r="416" customFormat="false" ht="13.2" hidden="false" customHeight="false" outlineLevel="0" collapsed="false">
      <c r="J416" s="62"/>
    </row>
    <row r="417" customFormat="false" ht="13.2" hidden="false" customHeight="false" outlineLevel="0" collapsed="false">
      <c r="J417" s="62"/>
    </row>
    <row r="418" customFormat="false" ht="13.2" hidden="false" customHeight="false" outlineLevel="0" collapsed="false">
      <c r="J418" s="62"/>
    </row>
    <row r="419" customFormat="false" ht="13.2" hidden="false" customHeight="false" outlineLevel="0" collapsed="false">
      <c r="J419" s="62"/>
    </row>
    <row r="420" customFormat="false" ht="13.2" hidden="false" customHeight="false" outlineLevel="0" collapsed="false">
      <c r="J420" s="62"/>
    </row>
    <row r="421" customFormat="false" ht="13.2" hidden="false" customHeight="false" outlineLevel="0" collapsed="false">
      <c r="J421" s="62"/>
    </row>
    <row r="422" customFormat="false" ht="13.2" hidden="false" customHeight="false" outlineLevel="0" collapsed="false">
      <c r="J422" s="62"/>
    </row>
    <row r="423" customFormat="false" ht="13.2" hidden="false" customHeight="false" outlineLevel="0" collapsed="false">
      <c r="J423" s="62"/>
    </row>
    <row r="424" customFormat="false" ht="13.2" hidden="false" customHeight="false" outlineLevel="0" collapsed="false">
      <c r="J424" s="62"/>
    </row>
    <row r="425" customFormat="false" ht="13.2" hidden="false" customHeight="false" outlineLevel="0" collapsed="false">
      <c r="J425" s="62"/>
    </row>
    <row r="426" customFormat="false" ht="13.2" hidden="false" customHeight="false" outlineLevel="0" collapsed="false">
      <c r="J426" s="62"/>
    </row>
    <row r="427" customFormat="false" ht="13.2" hidden="false" customHeight="false" outlineLevel="0" collapsed="false">
      <c r="J427" s="62"/>
    </row>
    <row r="428" customFormat="false" ht="13.2" hidden="false" customHeight="false" outlineLevel="0" collapsed="false">
      <c r="J428" s="62"/>
    </row>
    <row r="429" customFormat="false" ht="13.2" hidden="false" customHeight="false" outlineLevel="0" collapsed="false">
      <c r="J429" s="62"/>
    </row>
    <row r="430" customFormat="false" ht="13.2" hidden="false" customHeight="false" outlineLevel="0" collapsed="false">
      <c r="J430" s="62"/>
    </row>
    <row r="431" customFormat="false" ht="13.2" hidden="false" customHeight="false" outlineLevel="0" collapsed="false">
      <c r="J431" s="62"/>
    </row>
    <row r="432" customFormat="false" ht="13.2" hidden="false" customHeight="false" outlineLevel="0" collapsed="false">
      <c r="J432" s="62"/>
    </row>
    <row r="433" customFormat="false" ht="13.2" hidden="false" customHeight="false" outlineLevel="0" collapsed="false">
      <c r="J433" s="62"/>
    </row>
    <row r="434" customFormat="false" ht="13.2" hidden="false" customHeight="false" outlineLevel="0" collapsed="false">
      <c r="J434" s="62"/>
    </row>
    <row r="435" customFormat="false" ht="13.2" hidden="false" customHeight="false" outlineLevel="0" collapsed="false">
      <c r="J435" s="62"/>
    </row>
    <row r="436" customFormat="false" ht="13.2" hidden="false" customHeight="false" outlineLevel="0" collapsed="false">
      <c r="J436" s="62"/>
    </row>
    <row r="437" customFormat="false" ht="13.2" hidden="false" customHeight="false" outlineLevel="0" collapsed="false">
      <c r="J437" s="62"/>
    </row>
    <row r="438" customFormat="false" ht="13.2" hidden="false" customHeight="false" outlineLevel="0" collapsed="false">
      <c r="J438" s="62"/>
    </row>
    <row r="439" customFormat="false" ht="13.2" hidden="false" customHeight="false" outlineLevel="0" collapsed="false">
      <c r="J439" s="62"/>
    </row>
    <row r="440" customFormat="false" ht="13.2" hidden="false" customHeight="false" outlineLevel="0" collapsed="false">
      <c r="J440" s="62"/>
    </row>
    <row r="441" customFormat="false" ht="13.2" hidden="false" customHeight="false" outlineLevel="0" collapsed="false">
      <c r="J441" s="62"/>
    </row>
    <row r="442" customFormat="false" ht="13.2" hidden="false" customHeight="false" outlineLevel="0" collapsed="false">
      <c r="J442" s="62"/>
    </row>
    <row r="443" customFormat="false" ht="13.2" hidden="false" customHeight="false" outlineLevel="0" collapsed="false">
      <c r="J443" s="62"/>
    </row>
    <row r="444" customFormat="false" ht="13.2" hidden="false" customHeight="false" outlineLevel="0" collapsed="false">
      <c r="J444" s="62"/>
    </row>
    <row r="445" customFormat="false" ht="13.2" hidden="false" customHeight="false" outlineLevel="0" collapsed="false">
      <c r="J445" s="62"/>
    </row>
    <row r="446" customFormat="false" ht="13.2" hidden="false" customHeight="false" outlineLevel="0" collapsed="false">
      <c r="J446" s="62"/>
    </row>
    <row r="447" customFormat="false" ht="13.2" hidden="false" customHeight="false" outlineLevel="0" collapsed="false">
      <c r="J447" s="62"/>
    </row>
    <row r="448" customFormat="false" ht="13.2" hidden="false" customHeight="false" outlineLevel="0" collapsed="false">
      <c r="J448" s="62"/>
    </row>
    <row r="449" customFormat="false" ht="13.2" hidden="false" customHeight="false" outlineLevel="0" collapsed="false">
      <c r="J449" s="62"/>
    </row>
    <row r="450" customFormat="false" ht="13.2" hidden="false" customHeight="false" outlineLevel="0" collapsed="false">
      <c r="J450" s="62"/>
    </row>
    <row r="451" customFormat="false" ht="13.2" hidden="false" customHeight="false" outlineLevel="0" collapsed="false">
      <c r="J451" s="62"/>
    </row>
    <row r="452" customFormat="false" ht="13.2" hidden="false" customHeight="false" outlineLevel="0" collapsed="false">
      <c r="J452" s="62"/>
    </row>
    <row r="453" customFormat="false" ht="13.2" hidden="false" customHeight="false" outlineLevel="0" collapsed="false">
      <c r="J453" s="62"/>
    </row>
    <row r="454" customFormat="false" ht="13.2" hidden="false" customHeight="false" outlineLevel="0" collapsed="false">
      <c r="J454" s="62"/>
    </row>
    <row r="455" customFormat="false" ht="13.2" hidden="false" customHeight="false" outlineLevel="0" collapsed="false">
      <c r="J455" s="62"/>
    </row>
    <row r="456" customFormat="false" ht="13.2" hidden="false" customHeight="false" outlineLevel="0" collapsed="false">
      <c r="J456" s="62"/>
    </row>
    <row r="457" customFormat="false" ht="13.2" hidden="false" customHeight="false" outlineLevel="0" collapsed="false">
      <c r="J457" s="62"/>
    </row>
    <row r="458" customFormat="false" ht="13.2" hidden="false" customHeight="false" outlineLevel="0" collapsed="false">
      <c r="J458" s="62"/>
    </row>
    <row r="459" customFormat="false" ht="13.2" hidden="false" customHeight="false" outlineLevel="0" collapsed="false">
      <c r="J459" s="62"/>
    </row>
    <row r="460" customFormat="false" ht="13.2" hidden="false" customHeight="false" outlineLevel="0" collapsed="false">
      <c r="J460" s="62"/>
    </row>
    <row r="461" customFormat="false" ht="13.2" hidden="false" customHeight="false" outlineLevel="0" collapsed="false">
      <c r="J461" s="62"/>
    </row>
    <row r="462" customFormat="false" ht="13.2" hidden="false" customHeight="false" outlineLevel="0" collapsed="false">
      <c r="J462" s="62"/>
    </row>
    <row r="463" customFormat="false" ht="13.2" hidden="false" customHeight="false" outlineLevel="0" collapsed="false">
      <c r="J463" s="62"/>
    </row>
    <row r="464" customFormat="false" ht="13.2" hidden="false" customHeight="false" outlineLevel="0" collapsed="false">
      <c r="J464" s="62"/>
    </row>
    <row r="465" customFormat="false" ht="13.2" hidden="false" customHeight="false" outlineLevel="0" collapsed="false">
      <c r="J465" s="62"/>
    </row>
    <row r="466" customFormat="false" ht="13.2" hidden="false" customHeight="false" outlineLevel="0" collapsed="false">
      <c r="J466" s="62"/>
    </row>
    <row r="467" customFormat="false" ht="13.2" hidden="false" customHeight="false" outlineLevel="0" collapsed="false">
      <c r="J467" s="62"/>
    </row>
    <row r="468" customFormat="false" ht="13.2" hidden="false" customHeight="false" outlineLevel="0" collapsed="false">
      <c r="J468" s="62"/>
    </row>
    <row r="469" customFormat="false" ht="13.2" hidden="false" customHeight="false" outlineLevel="0" collapsed="false">
      <c r="J469" s="62"/>
    </row>
    <row r="470" customFormat="false" ht="13.2" hidden="false" customHeight="false" outlineLevel="0" collapsed="false">
      <c r="J470" s="62"/>
    </row>
    <row r="471" customFormat="false" ht="13.2" hidden="false" customHeight="false" outlineLevel="0" collapsed="false">
      <c r="J471" s="62"/>
    </row>
    <row r="472" customFormat="false" ht="13.2" hidden="false" customHeight="false" outlineLevel="0" collapsed="false">
      <c r="J472" s="62"/>
    </row>
    <row r="473" customFormat="false" ht="13.2" hidden="false" customHeight="false" outlineLevel="0" collapsed="false">
      <c r="J473" s="62"/>
    </row>
    <row r="474" customFormat="false" ht="13.2" hidden="false" customHeight="false" outlineLevel="0" collapsed="false">
      <c r="J474" s="62"/>
    </row>
    <row r="475" customFormat="false" ht="13.2" hidden="false" customHeight="false" outlineLevel="0" collapsed="false">
      <c r="J475" s="62"/>
    </row>
    <row r="476" customFormat="false" ht="13.2" hidden="false" customHeight="false" outlineLevel="0" collapsed="false">
      <c r="J476" s="62"/>
    </row>
    <row r="477" customFormat="false" ht="13.2" hidden="false" customHeight="false" outlineLevel="0" collapsed="false">
      <c r="J477" s="62"/>
    </row>
    <row r="478" customFormat="false" ht="13.2" hidden="false" customHeight="false" outlineLevel="0" collapsed="false">
      <c r="J478" s="62"/>
    </row>
    <row r="479" customFormat="false" ht="13.2" hidden="false" customHeight="false" outlineLevel="0" collapsed="false">
      <c r="J479" s="62"/>
    </row>
    <row r="480" customFormat="false" ht="13.2" hidden="false" customHeight="false" outlineLevel="0" collapsed="false">
      <c r="J480" s="62"/>
    </row>
    <row r="481" customFormat="false" ht="13.2" hidden="false" customHeight="false" outlineLevel="0" collapsed="false">
      <c r="J481" s="62"/>
    </row>
    <row r="482" customFormat="false" ht="13.2" hidden="false" customHeight="false" outlineLevel="0" collapsed="false">
      <c r="J482" s="62"/>
    </row>
    <row r="483" customFormat="false" ht="13.2" hidden="false" customHeight="false" outlineLevel="0" collapsed="false">
      <c r="J483" s="62"/>
    </row>
    <row r="484" customFormat="false" ht="13.2" hidden="false" customHeight="false" outlineLevel="0" collapsed="false">
      <c r="J484" s="62"/>
    </row>
    <row r="485" customFormat="false" ht="13.2" hidden="false" customHeight="false" outlineLevel="0" collapsed="false">
      <c r="J485" s="62"/>
    </row>
    <row r="486" customFormat="false" ht="13.2" hidden="false" customHeight="false" outlineLevel="0" collapsed="false">
      <c r="J486" s="62"/>
    </row>
    <row r="487" customFormat="false" ht="13.2" hidden="false" customHeight="false" outlineLevel="0" collapsed="false">
      <c r="J487" s="62"/>
    </row>
    <row r="488" customFormat="false" ht="13.2" hidden="false" customHeight="false" outlineLevel="0" collapsed="false">
      <c r="J488" s="62"/>
    </row>
    <row r="489" customFormat="false" ht="13.2" hidden="false" customHeight="false" outlineLevel="0" collapsed="false">
      <c r="J489" s="62"/>
    </row>
    <row r="490" customFormat="false" ht="13.2" hidden="false" customHeight="false" outlineLevel="0" collapsed="false">
      <c r="J490" s="62"/>
    </row>
    <row r="491" customFormat="false" ht="13.2" hidden="false" customHeight="false" outlineLevel="0" collapsed="false">
      <c r="J491" s="62"/>
    </row>
    <row r="492" customFormat="false" ht="13.2" hidden="false" customHeight="false" outlineLevel="0" collapsed="false">
      <c r="J492" s="62"/>
    </row>
    <row r="493" customFormat="false" ht="13.2" hidden="false" customHeight="false" outlineLevel="0" collapsed="false">
      <c r="J493" s="62"/>
    </row>
    <row r="494" customFormat="false" ht="13.2" hidden="false" customHeight="false" outlineLevel="0" collapsed="false">
      <c r="J494" s="62"/>
    </row>
    <row r="495" customFormat="false" ht="13.2" hidden="false" customHeight="false" outlineLevel="0" collapsed="false">
      <c r="J495" s="62"/>
    </row>
    <row r="496" customFormat="false" ht="13.2" hidden="false" customHeight="false" outlineLevel="0" collapsed="false">
      <c r="J496" s="62"/>
    </row>
    <row r="497" customFormat="false" ht="13.2" hidden="false" customHeight="false" outlineLevel="0" collapsed="false">
      <c r="J497" s="62"/>
    </row>
    <row r="498" customFormat="false" ht="13.2" hidden="false" customHeight="false" outlineLevel="0" collapsed="false">
      <c r="J498" s="62"/>
    </row>
    <row r="499" customFormat="false" ht="13.2" hidden="false" customHeight="false" outlineLevel="0" collapsed="false">
      <c r="J499" s="62"/>
    </row>
    <row r="500" customFormat="false" ht="13.2" hidden="false" customHeight="false" outlineLevel="0" collapsed="false">
      <c r="J500" s="62"/>
    </row>
    <row r="501" customFormat="false" ht="13.2" hidden="false" customHeight="false" outlineLevel="0" collapsed="false">
      <c r="J501" s="62"/>
    </row>
    <row r="502" customFormat="false" ht="13.2" hidden="false" customHeight="false" outlineLevel="0" collapsed="false">
      <c r="J502" s="62"/>
    </row>
    <row r="503" customFormat="false" ht="13.2" hidden="false" customHeight="false" outlineLevel="0" collapsed="false">
      <c r="J503" s="62"/>
    </row>
    <row r="504" customFormat="false" ht="13.2" hidden="false" customHeight="false" outlineLevel="0" collapsed="false">
      <c r="J504" s="62"/>
    </row>
    <row r="505" customFormat="false" ht="13.2" hidden="false" customHeight="false" outlineLevel="0" collapsed="false">
      <c r="J505" s="62"/>
    </row>
    <row r="506" customFormat="false" ht="13.2" hidden="false" customHeight="false" outlineLevel="0" collapsed="false">
      <c r="J506" s="62"/>
    </row>
    <row r="507" customFormat="false" ht="13.2" hidden="false" customHeight="false" outlineLevel="0" collapsed="false">
      <c r="J507" s="62"/>
    </row>
    <row r="508" customFormat="false" ht="13.2" hidden="false" customHeight="false" outlineLevel="0" collapsed="false">
      <c r="J508" s="62"/>
    </row>
    <row r="509" customFormat="false" ht="13.2" hidden="false" customHeight="false" outlineLevel="0" collapsed="false">
      <c r="J509" s="62"/>
    </row>
    <row r="510" customFormat="false" ht="13.2" hidden="false" customHeight="false" outlineLevel="0" collapsed="false">
      <c r="J510" s="62"/>
    </row>
    <row r="511" customFormat="false" ht="13.2" hidden="false" customHeight="false" outlineLevel="0" collapsed="false">
      <c r="J511" s="62"/>
    </row>
    <row r="512" customFormat="false" ht="13.2" hidden="false" customHeight="false" outlineLevel="0" collapsed="false">
      <c r="J512" s="62"/>
    </row>
    <row r="513" customFormat="false" ht="13.2" hidden="false" customHeight="false" outlineLevel="0" collapsed="false">
      <c r="J513" s="62"/>
    </row>
    <row r="514" customFormat="false" ht="13.2" hidden="false" customHeight="false" outlineLevel="0" collapsed="false">
      <c r="J514" s="62"/>
    </row>
    <row r="515" customFormat="false" ht="13.2" hidden="false" customHeight="false" outlineLevel="0" collapsed="false">
      <c r="J515" s="62"/>
    </row>
    <row r="516" customFormat="false" ht="13.2" hidden="false" customHeight="false" outlineLevel="0" collapsed="false">
      <c r="J516" s="62"/>
    </row>
    <row r="517" customFormat="false" ht="13.2" hidden="false" customHeight="false" outlineLevel="0" collapsed="false">
      <c r="J517" s="62"/>
    </row>
    <row r="518" customFormat="false" ht="13.2" hidden="false" customHeight="false" outlineLevel="0" collapsed="false">
      <c r="J518" s="62"/>
    </row>
    <row r="519" customFormat="false" ht="13.2" hidden="false" customHeight="false" outlineLevel="0" collapsed="false">
      <c r="J519" s="62"/>
    </row>
    <row r="520" customFormat="false" ht="13.2" hidden="false" customHeight="false" outlineLevel="0" collapsed="false">
      <c r="J520" s="62"/>
    </row>
    <row r="521" customFormat="false" ht="13.2" hidden="false" customHeight="false" outlineLevel="0" collapsed="false">
      <c r="J521" s="62"/>
    </row>
    <row r="522" customFormat="false" ht="13.2" hidden="false" customHeight="false" outlineLevel="0" collapsed="false">
      <c r="J522" s="62"/>
    </row>
    <row r="523" customFormat="false" ht="13.2" hidden="false" customHeight="false" outlineLevel="0" collapsed="false">
      <c r="J523" s="62"/>
    </row>
    <row r="524" customFormat="false" ht="13.2" hidden="false" customHeight="false" outlineLevel="0" collapsed="false">
      <c r="J524" s="62"/>
    </row>
    <row r="525" customFormat="false" ht="13.2" hidden="false" customHeight="false" outlineLevel="0" collapsed="false">
      <c r="J525" s="62"/>
    </row>
    <row r="526" customFormat="false" ht="13.2" hidden="false" customHeight="false" outlineLevel="0" collapsed="false">
      <c r="J526" s="62"/>
    </row>
    <row r="527" customFormat="false" ht="13.2" hidden="false" customHeight="false" outlineLevel="0" collapsed="false">
      <c r="J527" s="62"/>
    </row>
    <row r="528" customFormat="false" ht="13.2" hidden="false" customHeight="false" outlineLevel="0" collapsed="false">
      <c r="J528" s="62"/>
    </row>
    <row r="529" customFormat="false" ht="13.2" hidden="false" customHeight="false" outlineLevel="0" collapsed="false">
      <c r="J529" s="62"/>
    </row>
    <row r="530" customFormat="false" ht="13.2" hidden="false" customHeight="false" outlineLevel="0" collapsed="false">
      <c r="J530" s="62"/>
    </row>
    <row r="531" customFormat="false" ht="13.2" hidden="false" customHeight="false" outlineLevel="0" collapsed="false">
      <c r="J531" s="62"/>
    </row>
    <row r="532" customFormat="false" ht="13.2" hidden="false" customHeight="false" outlineLevel="0" collapsed="false">
      <c r="J532" s="62"/>
    </row>
    <row r="533" customFormat="false" ht="13.2" hidden="false" customHeight="false" outlineLevel="0" collapsed="false">
      <c r="J533" s="62"/>
    </row>
    <row r="534" customFormat="false" ht="13.2" hidden="false" customHeight="false" outlineLevel="0" collapsed="false">
      <c r="J534" s="62"/>
    </row>
    <row r="535" customFormat="false" ht="13.2" hidden="false" customHeight="false" outlineLevel="0" collapsed="false">
      <c r="J535" s="62"/>
    </row>
    <row r="536" customFormat="false" ht="13.2" hidden="false" customHeight="false" outlineLevel="0" collapsed="false">
      <c r="J536" s="62"/>
    </row>
    <row r="537" customFormat="false" ht="13.2" hidden="false" customHeight="false" outlineLevel="0" collapsed="false">
      <c r="J537" s="62"/>
    </row>
    <row r="538" customFormat="false" ht="13.2" hidden="false" customHeight="false" outlineLevel="0" collapsed="false">
      <c r="J538" s="62"/>
    </row>
    <row r="539" customFormat="false" ht="13.2" hidden="false" customHeight="false" outlineLevel="0" collapsed="false">
      <c r="J539" s="62"/>
    </row>
    <row r="540" customFormat="false" ht="13.2" hidden="false" customHeight="false" outlineLevel="0" collapsed="false">
      <c r="J540" s="62"/>
    </row>
    <row r="541" customFormat="false" ht="13.2" hidden="false" customHeight="false" outlineLevel="0" collapsed="false">
      <c r="J541" s="62"/>
    </row>
    <row r="542" customFormat="false" ht="13.2" hidden="false" customHeight="false" outlineLevel="0" collapsed="false">
      <c r="J542" s="62"/>
    </row>
    <row r="543" customFormat="false" ht="13.2" hidden="false" customHeight="false" outlineLevel="0" collapsed="false">
      <c r="J543" s="62"/>
    </row>
    <row r="544" customFormat="false" ht="13.2" hidden="false" customHeight="false" outlineLevel="0" collapsed="false">
      <c r="J544" s="62"/>
    </row>
    <row r="545" customFormat="false" ht="13.2" hidden="false" customHeight="false" outlineLevel="0" collapsed="false">
      <c r="J545" s="62"/>
    </row>
    <row r="546" customFormat="false" ht="13.2" hidden="false" customHeight="false" outlineLevel="0" collapsed="false">
      <c r="J546" s="62"/>
    </row>
    <row r="547" customFormat="false" ht="13.2" hidden="false" customHeight="false" outlineLevel="0" collapsed="false">
      <c r="J547" s="62"/>
    </row>
    <row r="548" customFormat="false" ht="13.2" hidden="false" customHeight="false" outlineLevel="0" collapsed="false">
      <c r="J548" s="62"/>
    </row>
    <row r="549" customFormat="false" ht="13.2" hidden="false" customHeight="false" outlineLevel="0" collapsed="false">
      <c r="J549" s="62"/>
    </row>
    <row r="550" customFormat="false" ht="13.2" hidden="false" customHeight="false" outlineLevel="0" collapsed="false">
      <c r="J550" s="62"/>
    </row>
    <row r="551" customFormat="false" ht="13.2" hidden="false" customHeight="false" outlineLevel="0" collapsed="false">
      <c r="J551" s="62"/>
    </row>
    <row r="552" customFormat="false" ht="13.2" hidden="false" customHeight="false" outlineLevel="0" collapsed="false">
      <c r="J552" s="62"/>
    </row>
    <row r="553" customFormat="false" ht="13.2" hidden="false" customHeight="false" outlineLevel="0" collapsed="false">
      <c r="J553" s="62"/>
    </row>
    <row r="554" customFormat="false" ht="13.2" hidden="false" customHeight="false" outlineLevel="0" collapsed="false">
      <c r="J554" s="62"/>
    </row>
    <row r="555" customFormat="false" ht="13.2" hidden="false" customHeight="false" outlineLevel="0" collapsed="false">
      <c r="J555" s="62"/>
    </row>
    <row r="556" customFormat="false" ht="13.2" hidden="false" customHeight="false" outlineLevel="0" collapsed="false">
      <c r="J556" s="62"/>
    </row>
    <row r="557" customFormat="false" ht="13.2" hidden="false" customHeight="false" outlineLevel="0" collapsed="false">
      <c r="J557" s="62"/>
    </row>
    <row r="558" customFormat="false" ht="13.2" hidden="false" customHeight="false" outlineLevel="0" collapsed="false">
      <c r="J558" s="62"/>
    </row>
    <row r="559" customFormat="false" ht="13.2" hidden="false" customHeight="false" outlineLevel="0" collapsed="false">
      <c r="J559" s="62"/>
    </row>
    <row r="560" customFormat="false" ht="13.2" hidden="false" customHeight="false" outlineLevel="0" collapsed="false">
      <c r="J560" s="62"/>
    </row>
    <row r="561" customFormat="false" ht="13.2" hidden="false" customHeight="false" outlineLevel="0" collapsed="false">
      <c r="J561" s="62"/>
    </row>
    <row r="562" customFormat="false" ht="13.2" hidden="false" customHeight="false" outlineLevel="0" collapsed="false">
      <c r="J562" s="62"/>
    </row>
    <row r="563" customFormat="false" ht="13.2" hidden="false" customHeight="false" outlineLevel="0" collapsed="false">
      <c r="J563" s="62"/>
    </row>
    <row r="564" customFormat="false" ht="13.2" hidden="false" customHeight="false" outlineLevel="0" collapsed="false">
      <c r="J564" s="62"/>
    </row>
    <row r="565" customFormat="false" ht="13.2" hidden="false" customHeight="false" outlineLevel="0" collapsed="false">
      <c r="J565" s="62"/>
    </row>
    <row r="566" customFormat="false" ht="13.2" hidden="false" customHeight="false" outlineLevel="0" collapsed="false">
      <c r="J566" s="62"/>
    </row>
    <row r="567" customFormat="false" ht="13.2" hidden="false" customHeight="false" outlineLevel="0" collapsed="false">
      <c r="J567" s="62"/>
    </row>
    <row r="568" customFormat="false" ht="13.2" hidden="false" customHeight="false" outlineLevel="0" collapsed="false">
      <c r="J568" s="62"/>
    </row>
    <row r="569" customFormat="false" ht="13.2" hidden="false" customHeight="false" outlineLevel="0" collapsed="false">
      <c r="J569" s="62"/>
    </row>
    <row r="570" customFormat="false" ht="13.2" hidden="false" customHeight="false" outlineLevel="0" collapsed="false">
      <c r="J570" s="62"/>
    </row>
    <row r="571" customFormat="false" ht="13.2" hidden="false" customHeight="false" outlineLevel="0" collapsed="false">
      <c r="J571" s="62"/>
    </row>
    <row r="572" customFormat="false" ht="13.2" hidden="false" customHeight="false" outlineLevel="0" collapsed="false">
      <c r="J572" s="62"/>
    </row>
    <row r="573" customFormat="false" ht="13.2" hidden="false" customHeight="false" outlineLevel="0" collapsed="false">
      <c r="J573" s="62"/>
    </row>
    <row r="574" customFormat="false" ht="13.2" hidden="false" customHeight="false" outlineLevel="0" collapsed="false">
      <c r="J574" s="62"/>
    </row>
    <row r="575" customFormat="false" ht="13.2" hidden="false" customHeight="false" outlineLevel="0" collapsed="false">
      <c r="J575" s="62"/>
    </row>
    <row r="576" customFormat="false" ht="13.2" hidden="false" customHeight="false" outlineLevel="0" collapsed="false">
      <c r="J576" s="62"/>
    </row>
    <row r="577" customFormat="false" ht="13.2" hidden="false" customHeight="false" outlineLevel="0" collapsed="false">
      <c r="J577" s="62"/>
    </row>
    <row r="578" customFormat="false" ht="13.2" hidden="false" customHeight="false" outlineLevel="0" collapsed="false">
      <c r="J578" s="62"/>
    </row>
    <row r="579" customFormat="false" ht="13.2" hidden="false" customHeight="false" outlineLevel="0" collapsed="false">
      <c r="J579" s="62"/>
    </row>
    <row r="580" customFormat="false" ht="13.2" hidden="false" customHeight="false" outlineLevel="0" collapsed="false">
      <c r="J580" s="62"/>
    </row>
    <row r="581" customFormat="false" ht="13.2" hidden="false" customHeight="false" outlineLevel="0" collapsed="false">
      <c r="J581" s="62"/>
    </row>
    <row r="582" customFormat="false" ht="13.2" hidden="false" customHeight="false" outlineLevel="0" collapsed="false">
      <c r="J582" s="62"/>
    </row>
    <row r="583" customFormat="false" ht="13.2" hidden="false" customHeight="false" outlineLevel="0" collapsed="false">
      <c r="J583" s="62"/>
    </row>
    <row r="584" customFormat="false" ht="13.2" hidden="false" customHeight="false" outlineLevel="0" collapsed="false">
      <c r="J584" s="62"/>
    </row>
    <row r="585" customFormat="false" ht="13.2" hidden="false" customHeight="false" outlineLevel="0" collapsed="false">
      <c r="J585" s="62"/>
    </row>
    <row r="586" customFormat="false" ht="13.2" hidden="false" customHeight="false" outlineLevel="0" collapsed="false">
      <c r="J586" s="62"/>
    </row>
    <row r="587" customFormat="false" ht="13.2" hidden="false" customHeight="false" outlineLevel="0" collapsed="false">
      <c r="J587" s="62"/>
    </row>
    <row r="588" customFormat="false" ht="13.2" hidden="false" customHeight="false" outlineLevel="0" collapsed="false">
      <c r="J588" s="62"/>
    </row>
    <row r="589" customFormat="false" ht="13.2" hidden="false" customHeight="false" outlineLevel="0" collapsed="false">
      <c r="J589" s="62"/>
    </row>
    <row r="590" customFormat="false" ht="13.2" hidden="false" customHeight="false" outlineLevel="0" collapsed="false">
      <c r="J590" s="62"/>
    </row>
    <row r="591" customFormat="false" ht="13.2" hidden="false" customHeight="false" outlineLevel="0" collapsed="false">
      <c r="J591" s="62"/>
    </row>
    <row r="592" customFormat="false" ht="13.2" hidden="false" customHeight="false" outlineLevel="0" collapsed="false">
      <c r="J592" s="62"/>
    </row>
    <row r="593" customFormat="false" ht="13.2" hidden="false" customHeight="false" outlineLevel="0" collapsed="false">
      <c r="J593" s="62"/>
    </row>
    <row r="594" customFormat="false" ht="13.2" hidden="false" customHeight="false" outlineLevel="0" collapsed="false">
      <c r="J594" s="62"/>
    </row>
    <row r="595" customFormat="false" ht="13.2" hidden="false" customHeight="false" outlineLevel="0" collapsed="false">
      <c r="J595" s="62"/>
    </row>
    <row r="596" customFormat="false" ht="13.2" hidden="false" customHeight="false" outlineLevel="0" collapsed="false">
      <c r="J596" s="62"/>
    </row>
    <row r="597" customFormat="false" ht="13.2" hidden="false" customHeight="false" outlineLevel="0" collapsed="false">
      <c r="J597" s="62"/>
    </row>
    <row r="598" customFormat="false" ht="13.2" hidden="false" customHeight="false" outlineLevel="0" collapsed="false">
      <c r="J598" s="62"/>
    </row>
    <row r="599" customFormat="false" ht="13.2" hidden="false" customHeight="false" outlineLevel="0" collapsed="false">
      <c r="J599" s="62"/>
    </row>
    <row r="600" customFormat="false" ht="13.2" hidden="false" customHeight="false" outlineLevel="0" collapsed="false">
      <c r="J600" s="62"/>
    </row>
    <row r="601" customFormat="false" ht="13.2" hidden="false" customHeight="false" outlineLevel="0" collapsed="false">
      <c r="J601" s="62"/>
    </row>
    <row r="602" customFormat="false" ht="13.2" hidden="false" customHeight="false" outlineLevel="0" collapsed="false">
      <c r="J602" s="62"/>
    </row>
    <row r="603" customFormat="false" ht="13.2" hidden="false" customHeight="false" outlineLevel="0" collapsed="false">
      <c r="J603" s="62"/>
    </row>
    <row r="604" customFormat="false" ht="13.2" hidden="false" customHeight="false" outlineLevel="0" collapsed="false">
      <c r="J604" s="62"/>
    </row>
    <row r="605" customFormat="false" ht="13.2" hidden="false" customHeight="false" outlineLevel="0" collapsed="false">
      <c r="J605" s="62"/>
    </row>
    <row r="606" customFormat="false" ht="13.2" hidden="false" customHeight="false" outlineLevel="0" collapsed="false">
      <c r="J606" s="62"/>
    </row>
    <row r="607" customFormat="false" ht="13.2" hidden="false" customHeight="false" outlineLevel="0" collapsed="false">
      <c r="J607" s="62"/>
    </row>
    <row r="608" customFormat="false" ht="13.2" hidden="false" customHeight="false" outlineLevel="0" collapsed="false">
      <c r="J608" s="62"/>
    </row>
    <row r="609" customFormat="false" ht="13.2" hidden="false" customHeight="false" outlineLevel="0" collapsed="false">
      <c r="J609" s="62"/>
    </row>
    <row r="610" customFormat="false" ht="13.2" hidden="false" customHeight="false" outlineLevel="0" collapsed="false">
      <c r="J610" s="62"/>
    </row>
    <row r="611" customFormat="false" ht="13.2" hidden="false" customHeight="false" outlineLevel="0" collapsed="false">
      <c r="J611" s="62"/>
    </row>
    <row r="612" customFormat="false" ht="13.2" hidden="false" customHeight="false" outlineLevel="0" collapsed="false">
      <c r="J612" s="62"/>
    </row>
    <row r="613" customFormat="false" ht="13.2" hidden="false" customHeight="false" outlineLevel="0" collapsed="false">
      <c r="J613" s="62"/>
    </row>
    <row r="614" customFormat="false" ht="13.2" hidden="false" customHeight="false" outlineLevel="0" collapsed="false">
      <c r="J614" s="62"/>
    </row>
    <row r="615" customFormat="false" ht="13.2" hidden="false" customHeight="false" outlineLevel="0" collapsed="false">
      <c r="J615" s="62"/>
    </row>
    <row r="616" customFormat="false" ht="13.2" hidden="false" customHeight="false" outlineLevel="0" collapsed="false">
      <c r="J616" s="62"/>
    </row>
    <row r="617" customFormat="false" ht="13.2" hidden="false" customHeight="false" outlineLevel="0" collapsed="false">
      <c r="J617" s="62"/>
    </row>
    <row r="618" customFormat="false" ht="13.2" hidden="false" customHeight="false" outlineLevel="0" collapsed="false">
      <c r="J618" s="62"/>
    </row>
    <row r="619" customFormat="false" ht="13.2" hidden="false" customHeight="false" outlineLevel="0" collapsed="false">
      <c r="J619" s="62"/>
    </row>
    <row r="620" customFormat="false" ht="13.2" hidden="false" customHeight="false" outlineLevel="0" collapsed="false">
      <c r="J620" s="62"/>
    </row>
    <row r="621" customFormat="false" ht="13.2" hidden="false" customHeight="false" outlineLevel="0" collapsed="false">
      <c r="J621" s="62"/>
    </row>
    <row r="622" customFormat="false" ht="13.2" hidden="false" customHeight="false" outlineLevel="0" collapsed="false">
      <c r="J622" s="62"/>
    </row>
    <row r="623" customFormat="false" ht="13.2" hidden="false" customHeight="false" outlineLevel="0" collapsed="false">
      <c r="J623" s="62"/>
    </row>
    <row r="624" customFormat="false" ht="13.2" hidden="false" customHeight="false" outlineLevel="0" collapsed="false">
      <c r="J624" s="62"/>
    </row>
    <row r="625" customFormat="false" ht="13.2" hidden="false" customHeight="false" outlineLevel="0" collapsed="false">
      <c r="J625" s="62"/>
    </row>
    <row r="626" customFormat="false" ht="13.2" hidden="false" customHeight="false" outlineLevel="0" collapsed="false">
      <c r="J626" s="62"/>
    </row>
    <row r="627" customFormat="false" ht="13.2" hidden="false" customHeight="false" outlineLevel="0" collapsed="false">
      <c r="J627" s="62"/>
    </row>
    <row r="628" customFormat="false" ht="13.2" hidden="false" customHeight="false" outlineLevel="0" collapsed="false">
      <c r="J628" s="62"/>
    </row>
    <row r="629" customFormat="false" ht="13.2" hidden="false" customHeight="false" outlineLevel="0" collapsed="false">
      <c r="J629" s="62"/>
    </row>
    <row r="630" customFormat="false" ht="13.2" hidden="false" customHeight="false" outlineLevel="0" collapsed="false">
      <c r="J630" s="62"/>
    </row>
    <row r="631" customFormat="false" ht="13.2" hidden="false" customHeight="false" outlineLevel="0" collapsed="false">
      <c r="J631" s="62"/>
    </row>
    <row r="632" customFormat="false" ht="13.2" hidden="false" customHeight="false" outlineLevel="0" collapsed="false">
      <c r="J632" s="62"/>
    </row>
    <row r="633" customFormat="false" ht="13.2" hidden="false" customHeight="false" outlineLevel="0" collapsed="false">
      <c r="J633" s="62"/>
    </row>
    <row r="634" customFormat="false" ht="13.2" hidden="false" customHeight="false" outlineLevel="0" collapsed="false">
      <c r="J634" s="62"/>
    </row>
    <row r="635" customFormat="false" ht="13.2" hidden="false" customHeight="false" outlineLevel="0" collapsed="false">
      <c r="J635" s="62"/>
    </row>
    <row r="636" customFormat="false" ht="13.2" hidden="false" customHeight="false" outlineLevel="0" collapsed="false">
      <c r="J636" s="62"/>
    </row>
    <row r="637" customFormat="false" ht="13.2" hidden="false" customHeight="false" outlineLevel="0" collapsed="false">
      <c r="J637" s="62"/>
    </row>
    <row r="638" customFormat="false" ht="13.2" hidden="false" customHeight="false" outlineLevel="0" collapsed="false">
      <c r="J638" s="62"/>
    </row>
    <row r="639" customFormat="false" ht="13.2" hidden="false" customHeight="false" outlineLevel="0" collapsed="false">
      <c r="J639" s="62"/>
    </row>
    <row r="640" customFormat="false" ht="13.2" hidden="false" customHeight="false" outlineLevel="0" collapsed="false">
      <c r="J640" s="62"/>
    </row>
    <row r="641" customFormat="false" ht="13.2" hidden="false" customHeight="false" outlineLevel="0" collapsed="false">
      <c r="J641" s="62"/>
    </row>
    <row r="642" customFormat="false" ht="13.2" hidden="false" customHeight="false" outlineLevel="0" collapsed="false">
      <c r="J642" s="62"/>
    </row>
    <row r="643" customFormat="false" ht="13.2" hidden="false" customHeight="false" outlineLevel="0" collapsed="false">
      <c r="J643" s="62"/>
    </row>
    <row r="644" customFormat="false" ht="13.2" hidden="false" customHeight="false" outlineLevel="0" collapsed="false">
      <c r="J644" s="62"/>
    </row>
    <row r="645" customFormat="false" ht="13.2" hidden="false" customHeight="false" outlineLevel="0" collapsed="false">
      <c r="J645" s="62"/>
    </row>
    <row r="646" customFormat="false" ht="13.2" hidden="false" customHeight="false" outlineLevel="0" collapsed="false">
      <c r="J646" s="62"/>
    </row>
    <row r="647" customFormat="false" ht="13.2" hidden="false" customHeight="false" outlineLevel="0" collapsed="false">
      <c r="J647" s="62"/>
    </row>
    <row r="648" customFormat="false" ht="13.2" hidden="false" customHeight="false" outlineLevel="0" collapsed="false">
      <c r="J648" s="62"/>
    </row>
    <row r="649" customFormat="false" ht="13.2" hidden="false" customHeight="false" outlineLevel="0" collapsed="false">
      <c r="J649" s="62"/>
    </row>
    <row r="650" customFormat="false" ht="13.2" hidden="false" customHeight="false" outlineLevel="0" collapsed="false">
      <c r="J650" s="62"/>
    </row>
    <row r="651" customFormat="false" ht="13.2" hidden="false" customHeight="false" outlineLevel="0" collapsed="false">
      <c r="J651" s="62"/>
    </row>
    <row r="652" customFormat="false" ht="13.2" hidden="false" customHeight="false" outlineLevel="0" collapsed="false">
      <c r="J652" s="62"/>
    </row>
    <row r="653" customFormat="false" ht="13.2" hidden="false" customHeight="false" outlineLevel="0" collapsed="false">
      <c r="J653" s="62"/>
    </row>
    <row r="654" customFormat="false" ht="13.2" hidden="false" customHeight="false" outlineLevel="0" collapsed="false">
      <c r="J654" s="62"/>
    </row>
    <row r="655" customFormat="false" ht="13.2" hidden="false" customHeight="false" outlineLevel="0" collapsed="false">
      <c r="J655" s="62"/>
    </row>
    <row r="656" customFormat="false" ht="13.2" hidden="false" customHeight="false" outlineLevel="0" collapsed="false">
      <c r="J656" s="62"/>
    </row>
    <row r="657" customFormat="false" ht="13.2" hidden="false" customHeight="false" outlineLevel="0" collapsed="false">
      <c r="J657" s="62"/>
    </row>
    <row r="658" customFormat="false" ht="13.2" hidden="false" customHeight="false" outlineLevel="0" collapsed="false">
      <c r="J658" s="62"/>
    </row>
    <row r="659" customFormat="false" ht="13.2" hidden="false" customHeight="false" outlineLevel="0" collapsed="false">
      <c r="J659" s="62"/>
    </row>
    <row r="660" customFormat="false" ht="13.2" hidden="false" customHeight="false" outlineLevel="0" collapsed="false">
      <c r="J660" s="62"/>
    </row>
    <row r="661" customFormat="false" ht="13.2" hidden="false" customHeight="false" outlineLevel="0" collapsed="false">
      <c r="J661" s="62"/>
    </row>
    <row r="662" customFormat="false" ht="13.2" hidden="false" customHeight="false" outlineLevel="0" collapsed="false">
      <c r="J662" s="62"/>
    </row>
    <row r="663" customFormat="false" ht="13.2" hidden="false" customHeight="false" outlineLevel="0" collapsed="false">
      <c r="J663" s="62"/>
    </row>
    <row r="664" customFormat="false" ht="13.2" hidden="false" customHeight="false" outlineLevel="0" collapsed="false">
      <c r="J664" s="62"/>
    </row>
    <row r="665" customFormat="false" ht="13.2" hidden="false" customHeight="false" outlineLevel="0" collapsed="false">
      <c r="J665" s="62"/>
    </row>
    <row r="666" customFormat="false" ht="13.2" hidden="false" customHeight="false" outlineLevel="0" collapsed="false">
      <c r="J666" s="62"/>
    </row>
    <row r="667" customFormat="false" ht="13.2" hidden="false" customHeight="false" outlineLevel="0" collapsed="false">
      <c r="J667" s="62"/>
    </row>
    <row r="668" customFormat="false" ht="13.2" hidden="false" customHeight="false" outlineLevel="0" collapsed="false">
      <c r="J668" s="62"/>
    </row>
    <row r="669" customFormat="false" ht="13.2" hidden="false" customHeight="false" outlineLevel="0" collapsed="false">
      <c r="J669" s="62"/>
    </row>
    <row r="670" customFormat="false" ht="13.2" hidden="false" customHeight="false" outlineLevel="0" collapsed="false">
      <c r="J670" s="62"/>
    </row>
    <row r="671" customFormat="false" ht="13.2" hidden="false" customHeight="false" outlineLevel="0" collapsed="false">
      <c r="J671" s="62"/>
    </row>
    <row r="672" customFormat="false" ht="13.2" hidden="false" customHeight="false" outlineLevel="0" collapsed="false">
      <c r="J672" s="62"/>
    </row>
    <row r="673" customFormat="false" ht="13.2" hidden="false" customHeight="false" outlineLevel="0" collapsed="false">
      <c r="J673" s="62"/>
    </row>
    <row r="674" customFormat="false" ht="13.2" hidden="false" customHeight="false" outlineLevel="0" collapsed="false">
      <c r="J674" s="62"/>
    </row>
    <row r="675" customFormat="false" ht="13.2" hidden="false" customHeight="false" outlineLevel="0" collapsed="false">
      <c r="J675" s="62"/>
    </row>
    <row r="676" customFormat="false" ht="13.2" hidden="false" customHeight="false" outlineLevel="0" collapsed="false">
      <c r="J676" s="62"/>
    </row>
    <row r="677" customFormat="false" ht="13.2" hidden="false" customHeight="false" outlineLevel="0" collapsed="false">
      <c r="J677" s="62"/>
    </row>
    <row r="678" customFormat="false" ht="13.2" hidden="false" customHeight="false" outlineLevel="0" collapsed="false">
      <c r="J678" s="62"/>
    </row>
    <row r="679" customFormat="false" ht="13.2" hidden="false" customHeight="false" outlineLevel="0" collapsed="false">
      <c r="J679" s="62"/>
    </row>
    <row r="680" customFormat="false" ht="13.2" hidden="false" customHeight="false" outlineLevel="0" collapsed="false">
      <c r="J680" s="62"/>
    </row>
    <row r="681" customFormat="false" ht="13.2" hidden="false" customHeight="false" outlineLevel="0" collapsed="false">
      <c r="J681" s="62"/>
    </row>
    <row r="682" customFormat="false" ht="13.2" hidden="false" customHeight="false" outlineLevel="0" collapsed="false">
      <c r="J682" s="62"/>
    </row>
    <row r="683" customFormat="false" ht="13.2" hidden="false" customHeight="false" outlineLevel="0" collapsed="false">
      <c r="J683" s="62"/>
    </row>
    <row r="684" customFormat="false" ht="13.2" hidden="false" customHeight="false" outlineLevel="0" collapsed="false">
      <c r="J684" s="62"/>
    </row>
    <row r="685" customFormat="false" ht="13.2" hidden="false" customHeight="false" outlineLevel="0" collapsed="false">
      <c r="J685" s="62"/>
    </row>
    <row r="686" customFormat="false" ht="13.2" hidden="false" customHeight="false" outlineLevel="0" collapsed="false">
      <c r="J686" s="62"/>
    </row>
    <row r="687" customFormat="false" ht="13.2" hidden="false" customHeight="false" outlineLevel="0" collapsed="false">
      <c r="J687" s="62"/>
    </row>
    <row r="688" customFormat="false" ht="13.2" hidden="false" customHeight="false" outlineLevel="0" collapsed="false">
      <c r="J688" s="62"/>
    </row>
    <row r="689" customFormat="false" ht="13.2" hidden="false" customHeight="false" outlineLevel="0" collapsed="false">
      <c r="J689" s="62"/>
    </row>
    <row r="690" customFormat="false" ht="13.2" hidden="false" customHeight="false" outlineLevel="0" collapsed="false">
      <c r="J690" s="62"/>
    </row>
    <row r="691" customFormat="false" ht="13.2" hidden="false" customHeight="false" outlineLevel="0" collapsed="false">
      <c r="J691" s="62"/>
    </row>
    <row r="692" customFormat="false" ht="13.2" hidden="false" customHeight="false" outlineLevel="0" collapsed="false">
      <c r="J692" s="62"/>
    </row>
    <row r="693" customFormat="false" ht="13.2" hidden="false" customHeight="false" outlineLevel="0" collapsed="false">
      <c r="J693" s="62"/>
    </row>
    <row r="694" customFormat="false" ht="13.2" hidden="false" customHeight="false" outlineLevel="0" collapsed="false">
      <c r="J694" s="62"/>
    </row>
    <row r="695" customFormat="false" ht="13.2" hidden="false" customHeight="false" outlineLevel="0" collapsed="false">
      <c r="J695" s="62"/>
    </row>
    <row r="696" customFormat="false" ht="13.2" hidden="false" customHeight="false" outlineLevel="0" collapsed="false">
      <c r="J696" s="62"/>
    </row>
    <row r="697" customFormat="false" ht="13.2" hidden="false" customHeight="false" outlineLevel="0" collapsed="false">
      <c r="J697" s="62"/>
    </row>
    <row r="698" customFormat="false" ht="13.2" hidden="false" customHeight="false" outlineLevel="0" collapsed="false">
      <c r="J698" s="62"/>
    </row>
    <row r="699" customFormat="false" ht="13.2" hidden="false" customHeight="false" outlineLevel="0" collapsed="false">
      <c r="J699" s="62"/>
    </row>
    <row r="700" customFormat="false" ht="13.2" hidden="false" customHeight="false" outlineLevel="0" collapsed="false">
      <c r="J700" s="62"/>
    </row>
    <row r="701" customFormat="false" ht="13.2" hidden="false" customHeight="false" outlineLevel="0" collapsed="false">
      <c r="J701" s="62"/>
    </row>
    <row r="702" customFormat="false" ht="13.2" hidden="false" customHeight="false" outlineLevel="0" collapsed="false">
      <c r="J702" s="62"/>
    </row>
    <row r="703" customFormat="false" ht="13.2" hidden="false" customHeight="false" outlineLevel="0" collapsed="false">
      <c r="J703" s="62"/>
    </row>
    <row r="704" customFormat="false" ht="13.2" hidden="false" customHeight="false" outlineLevel="0" collapsed="false">
      <c r="J704" s="62"/>
    </row>
    <row r="705" customFormat="false" ht="13.2" hidden="false" customHeight="false" outlineLevel="0" collapsed="false">
      <c r="J705" s="62"/>
    </row>
    <row r="706" customFormat="false" ht="13.2" hidden="false" customHeight="false" outlineLevel="0" collapsed="false">
      <c r="J706" s="62"/>
    </row>
    <row r="707" customFormat="false" ht="13.2" hidden="false" customHeight="false" outlineLevel="0" collapsed="false">
      <c r="J707" s="62"/>
    </row>
    <row r="708" customFormat="false" ht="13.2" hidden="false" customHeight="false" outlineLevel="0" collapsed="false">
      <c r="J708" s="62"/>
    </row>
    <row r="709" customFormat="false" ht="13.2" hidden="false" customHeight="false" outlineLevel="0" collapsed="false">
      <c r="J709" s="62"/>
    </row>
    <row r="710" customFormat="false" ht="13.2" hidden="false" customHeight="false" outlineLevel="0" collapsed="false">
      <c r="J710" s="62"/>
    </row>
    <row r="711" customFormat="false" ht="13.2" hidden="false" customHeight="false" outlineLevel="0" collapsed="false">
      <c r="J711" s="62"/>
    </row>
    <row r="712" customFormat="false" ht="13.2" hidden="false" customHeight="false" outlineLevel="0" collapsed="false">
      <c r="J712" s="62"/>
    </row>
    <row r="713" customFormat="false" ht="13.2" hidden="false" customHeight="false" outlineLevel="0" collapsed="false">
      <c r="J713" s="62"/>
    </row>
    <row r="714" customFormat="false" ht="13.2" hidden="false" customHeight="false" outlineLevel="0" collapsed="false">
      <c r="J714" s="62"/>
    </row>
    <row r="715" customFormat="false" ht="13.2" hidden="false" customHeight="false" outlineLevel="0" collapsed="false">
      <c r="J715" s="62"/>
    </row>
    <row r="716" customFormat="false" ht="13.2" hidden="false" customHeight="false" outlineLevel="0" collapsed="false">
      <c r="J716" s="62"/>
    </row>
    <row r="717" customFormat="false" ht="13.2" hidden="false" customHeight="false" outlineLevel="0" collapsed="false">
      <c r="J717" s="62"/>
    </row>
    <row r="718" customFormat="false" ht="13.2" hidden="false" customHeight="false" outlineLevel="0" collapsed="false">
      <c r="J718" s="62"/>
    </row>
    <row r="719" customFormat="false" ht="13.2" hidden="false" customHeight="false" outlineLevel="0" collapsed="false">
      <c r="J719" s="62"/>
    </row>
    <row r="720" customFormat="false" ht="13.2" hidden="false" customHeight="false" outlineLevel="0" collapsed="false">
      <c r="J720" s="62"/>
    </row>
    <row r="721" customFormat="false" ht="13.2" hidden="false" customHeight="false" outlineLevel="0" collapsed="false">
      <c r="J721" s="62"/>
    </row>
    <row r="722" customFormat="false" ht="13.2" hidden="false" customHeight="false" outlineLevel="0" collapsed="false">
      <c r="J722" s="62"/>
    </row>
    <row r="723" customFormat="false" ht="13.2" hidden="false" customHeight="false" outlineLevel="0" collapsed="false">
      <c r="J723" s="62"/>
    </row>
    <row r="724" customFormat="false" ht="13.2" hidden="false" customHeight="false" outlineLevel="0" collapsed="false">
      <c r="J724" s="62"/>
    </row>
    <row r="725" customFormat="false" ht="13.2" hidden="false" customHeight="false" outlineLevel="0" collapsed="false">
      <c r="J725" s="62"/>
    </row>
    <row r="726" customFormat="false" ht="13.2" hidden="false" customHeight="false" outlineLevel="0" collapsed="false">
      <c r="J726" s="242"/>
    </row>
  </sheetData>
  <mergeCells count="12">
    <mergeCell ref="A1:K1"/>
    <mergeCell ref="M1:S1"/>
    <mergeCell ref="A2:H2"/>
    <mergeCell ref="A3:E3"/>
    <mergeCell ref="F3:K3"/>
    <mergeCell ref="B4:C4"/>
    <mergeCell ref="D4:E4"/>
    <mergeCell ref="F4:G4"/>
    <mergeCell ref="H4:I4"/>
    <mergeCell ref="J4:K4"/>
    <mergeCell ref="C45:C47"/>
    <mergeCell ref="Q408:R408"/>
  </mergeCells>
  <printOptions headings="false" gridLines="false" gridLinesSet="true" horizontalCentered="false" verticalCentered="false"/>
  <pageMargins left="0.393055555555556" right="0.393055555555556" top="0.432638888888889" bottom="0.27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22" man="true" max="16383" min="0"/>
  </rowBreaks>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false"/>
  </sheetPr>
  <dimension ref="A1:HL222"/>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9" defaultRowHeight="50" customHeight="true" zeroHeight="false" outlineLevelRow="2" outlineLevelCol="0"/>
  <cols>
    <col collapsed="false" customWidth="true" hidden="false" outlineLevel="0" max="1" min="1" style="42" width="28.7"/>
    <col collapsed="false" customWidth="true" hidden="false" outlineLevel="0" max="2" min="2" style="42" width="22.5"/>
    <col collapsed="false" customWidth="true" hidden="false" outlineLevel="0" max="3" min="3" style="243" width="25.5"/>
    <col collapsed="false" customWidth="true" hidden="false" outlineLevel="0" max="4" min="4" style="42" width="23.5"/>
    <col collapsed="false" customWidth="true" hidden="false" outlineLevel="0" max="5" min="5" style="42" width="24.37"/>
    <col collapsed="false" customWidth="true" hidden="false" outlineLevel="0" max="6" min="6" style="105" width="22"/>
    <col collapsed="false" customWidth="true" hidden="false" outlineLevel="0" max="7" min="7" style="105" width="41.75"/>
    <col collapsed="false" customWidth="false" hidden="false" outlineLevel="0" max="8" min="8" style="105" width="9"/>
    <col collapsed="false" customWidth="true" hidden="false" outlineLevel="0" max="9" min="9" style="36" width="14"/>
    <col collapsed="false" customWidth="true" hidden="false" outlineLevel="0" max="10" min="10" style="36" width="17"/>
    <col collapsed="false" customWidth="true" hidden="false" outlineLevel="0" max="11" min="11" style="36" width="54"/>
    <col collapsed="false" customWidth="true" hidden="false" outlineLevel="0" max="12" min="12" style="36" width="21"/>
    <col collapsed="false" customWidth="true" hidden="false" outlineLevel="0" max="13" min="13" style="36" width="22"/>
    <col collapsed="false" customWidth="true" hidden="false" outlineLevel="0" max="14" min="14" style="36" width="19"/>
    <col collapsed="false" customWidth="true" hidden="false" outlineLevel="0" max="15" min="15" style="36" width="23"/>
    <col collapsed="false" customWidth="false" hidden="false" outlineLevel="0" max="99" min="16" style="105" width="9"/>
  </cols>
  <sheetData>
    <row r="1" s="4" customFormat="true" ht="5" hidden="false" customHeight="true" outlineLevel="0" collapsed="false">
      <c r="A1" s="3"/>
      <c r="B1" s="3"/>
      <c r="C1" s="3"/>
      <c r="D1" s="3"/>
      <c r="E1" s="3"/>
      <c r="F1" s="3"/>
      <c r="G1" s="244"/>
      <c r="H1" s="244"/>
      <c r="I1" s="228" t="inlineStr">
        <is>
          <t>Выберите модель и укажите количество к заказу.</t>
        </is>
      </c>
      <c r="J1" s="228"/>
      <c r="K1" s="228"/>
      <c r="L1" s="228"/>
      <c r="M1" s="228"/>
      <c r="N1" s="228"/>
      <c r="O1" s="228"/>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4"/>
      <c r="DQ1" s="244"/>
      <c r="DR1" s="244"/>
      <c r="DS1" s="244"/>
      <c r="DT1" s="244"/>
    </row>
    <row r="2" s="247" customFormat="true" ht="30" hidden="false" customHeight="true" outlineLevel="0" collapsed="false">
      <c r="A2" s="46" t="s">
        <v>3571</v>
      </c>
      <c r="B2" s="46"/>
      <c r="C2" s="46"/>
      <c r="D2" s="46"/>
      <c r="E2" s="46"/>
      <c r="F2" s="46"/>
      <c r="G2" s="46"/>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45"/>
      <c r="DH2" s="245"/>
      <c r="DI2" s="245"/>
      <c r="DJ2" s="245"/>
      <c r="DK2" s="245"/>
      <c r="DL2" s="245"/>
      <c r="DM2" s="245"/>
      <c r="DN2" s="245"/>
      <c r="DO2" s="245"/>
      <c r="DP2" s="245"/>
      <c r="DQ2" s="245"/>
      <c r="DR2" s="245"/>
      <c r="DS2" s="245"/>
      <c r="DT2" s="245"/>
      <c r="DU2" s="246"/>
      <c r="DV2" s="246"/>
      <c r="DW2" s="246"/>
      <c r="DX2" s="246"/>
      <c r="DY2" s="246"/>
      <c r="DZ2" s="246"/>
      <c r="EA2" s="246"/>
      <c r="EB2" s="246"/>
      <c r="EC2" s="246"/>
      <c r="ED2" s="246"/>
      <c r="EE2" s="246"/>
      <c r="EF2" s="246"/>
      <c r="EG2" s="246"/>
      <c r="EH2" s="246"/>
      <c r="EI2" s="246"/>
      <c r="EJ2" s="246"/>
      <c r="EK2" s="246"/>
      <c r="EL2" s="246"/>
      <c r="EM2" s="246"/>
      <c r="EN2" s="246"/>
      <c r="EO2" s="246"/>
      <c r="EP2" s="246"/>
      <c r="EQ2" s="246"/>
      <c r="ER2" s="246"/>
      <c r="ES2" s="246"/>
      <c r="ET2" s="246"/>
      <c r="EU2" s="246"/>
      <c r="EV2" s="246"/>
      <c r="EW2" s="246"/>
      <c r="EX2" s="246"/>
      <c r="EY2" s="246"/>
      <c r="EZ2" s="246"/>
      <c r="FA2" s="246"/>
      <c r="FB2" s="246"/>
      <c r="FC2" s="246"/>
      <c r="FD2" s="246"/>
      <c r="FE2" s="246"/>
      <c r="FF2" s="246"/>
      <c r="FG2" s="246"/>
      <c r="FH2" s="246"/>
      <c r="FI2" s="246"/>
      <c r="FJ2" s="246"/>
      <c r="FK2" s="246"/>
      <c r="FL2" s="246"/>
      <c r="FM2" s="246"/>
      <c r="FN2" s="246"/>
      <c r="FO2" s="246"/>
      <c r="FP2" s="246"/>
      <c r="FQ2" s="246"/>
      <c r="FR2" s="246"/>
      <c r="FS2" s="246"/>
      <c r="FT2" s="246"/>
      <c r="FU2" s="246"/>
      <c r="FV2" s="246"/>
      <c r="FW2" s="246"/>
      <c r="FX2" s="246"/>
      <c r="FY2" s="246"/>
      <c r="FZ2" s="246"/>
      <c r="GA2" s="246"/>
      <c r="GB2" s="246"/>
      <c r="GC2" s="246"/>
      <c r="GD2" s="246"/>
      <c r="GE2" s="246"/>
      <c r="GF2" s="246"/>
      <c r="GG2" s="246"/>
      <c r="GH2" s="246"/>
      <c r="GI2" s="246"/>
      <c r="GJ2" s="246"/>
      <c r="GK2" s="246"/>
      <c r="GL2" s="246"/>
      <c r="GM2" s="246"/>
      <c r="GN2" s="246"/>
      <c r="GO2" s="246"/>
      <c r="GP2" s="246"/>
      <c r="GQ2" s="246"/>
      <c r="GR2" s="246"/>
      <c r="GS2" s="246"/>
      <c r="GT2" s="246"/>
      <c r="GU2" s="246"/>
      <c r="GV2" s="246"/>
      <c r="GW2" s="246"/>
      <c r="GX2" s="246"/>
      <c r="GY2" s="246"/>
      <c r="GZ2" s="246"/>
      <c r="HA2" s="246"/>
      <c r="HB2" s="246"/>
      <c r="HC2" s="246"/>
      <c r="HD2" s="246"/>
      <c r="HE2" s="246"/>
      <c r="HF2" s="246"/>
      <c r="HG2" s="246"/>
      <c r="HH2" s="246"/>
      <c r="HI2" s="246"/>
      <c r="HJ2" s="246"/>
      <c r="HK2" s="246"/>
    </row>
    <row r="3" s="247" customFormat="true" ht="60" hidden="false" customHeight="true" outlineLevel="1" collapsed="false">
      <c r="A3" s="47" t="s">
        <v>3572</v>
      </c>
      <c r="B3" s="47"/>
      <c r="C3" s="47"/>
      <c r="D3" s="47"/>
      <c r="E3" s="47"/>
      <c r="F3" s="47"/>
      <c r="G3" s="47"/>
      <c r="H3" s="245"/>
      <c r="I3" s="229" t="inlineStr">
        <is>
          <t>№</t>
        </is>
      </c>
      <c r="J3" s="229" t="s">
        <v>3165</v>
      </c>
      <c r="K3" s="229" t="s">
        <v>3166</v>
      </c>
      <c r="L3" s="229" t="s">
        <v>3167</v>
      </c>
      <c r="M3" s="229" t="s">
        <v>73</v>
      </c>
      <c r="N3" s="229" t="s">
        <v>74</v>
      </c>
      <c r="O3" s="229" t="s">
        <v>75</v>
      </c>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6"/>
      <c r="DW3" s="246"/>
      <c r="DX3" s="246"/>
      <c r="DY3" s="246"/>
      <c r="DZ3" s="246"/>
      <c r="EA3" s="246"/>
      <c r="EB3" s="246"/>
      <c r="EC3" s="246"/>
      <c r="ED3" s="246"/>
      <c r="EE3" s="246"/>
      <c r="EF3" s="246"/>
      <c r="EG3" s="246"/>
      <c r="EH3" s="246"/>
      <c r="EI3" s="246"/>
      <c r="EJ3" s="246"/>
      <c r="EK3" s="246"/>
      <c r="EL3" s="246"/>
      <c r="EM3" s="246"/>
      <c r="EN3" s="246"/>
      <c r="EO3" s="246"/>
      <c r="EP3" s="246"/>
      <c r="EQ3" s="246"/>
      <c r="ER3" s="246"/>
      <c r="ES3" s="246"/>
      <c r="ET3" s="246"/>
      <c r="EU3" s="246"/>
      <c r="EV3" s="246"/>
      <c r="EW3" s="246"/>
      <c r="EX3" s="246"/>
      <c r="EY3" s="246"/>
      <c r="EZ3" s="246"/>
      <c r="FA3" s="246"/>
      <c r="FB3" s="246"/>
      <c r="FC3" s="246"/>
      <c r="FD3" s="246"/>
      <c r="FE3" s="246"/>
      <c r="FF3" s="246"/>
      <c r="FG3" s="246"/>
      <c r="FH3" s="246"/>
      <c r="FI3" s="246"/>
      <c r="FJ3" s="246"/>
      <c r="FK3" s="246"/>
      <c r="FL3" s="246"/>
      <c r="FM3" s="246"/>
      <c r="FN3" s="246"/>
      <c r="FO3" s="246"/>
      <c r="FP3" s="246"/>
      <c r="FQ3" s="246"/>
      <c r="FR3" s="246"/>
      <c r="FS3" s="246"/>
      <c r="FT3" s="246"/>
      <c r="FU3" s="246"/>
      <c r="FV3" s="246"/>
      <c r="FW3" s="246"/>
      <c r="FX3" s="246"/>
      <c r="FY3" s="246"/>
      <c r="FZ3" s="246"/>
      <c r="GA3" s="246"/>
      <c r="GB3" s="246"/>
      <c r="GC3" s="246"/>
      <c r="GD3" s="246"/>
      <c r="GE3" s="246"/>
      <c r="GF3" s="246"/>
      <c r="GG3" s="246"/>
      <c r="GH3" s="246"/>
      <c r="GI3" s="246"/>
      <c r="GJ3" s="246"/>
      <c r="GK3" s="246"/>
      <c r="GL3" s="246"/>
      <c r="GM3" s="246"/>
      <c r="GN3" s="246"/>
      <c r="GO3" s="246"/>
      <c r="GP3" s="246"/>
      <c r="GQ3" s="246"/>
      <c r="GR3" s="246"/>
      <c r="GS3" s="246"/>
      <c r="GT3" s="246"/>
      <c r="GU3" s="246"/>
      <c r="GV3" s="246"/>
      <c r="GW3" s="246"/>
      <c r="GX3" s="246"/>
      <c r="GY3" s="246"/>
      <c r="GZ3" s="246"/>
      <c r="HA3" s="246"/>
      <c r="HB3" s="246"/>
      <c r="HC3" s="246"/>
      <c r="HD3" s="246"/>
      <c r="HE3" s="246"/>
      <c r="HF3" s="246"/>
      <c r="HG3" s="246"/>
      <c r="HH3" s="246"/>
      <c r="HI3" s="246"/>
      <c r="HJ3" s="246"/>
      <c r="HK3" s="246"/>
      <c r="HL3" s="246"/>
    </row>
    <row r="4" s="62" customFormat="true" ht="138" hidden="false" customHeight="true" outlineLevel="2" collapsed="false">
      <c r="A4" s="248" t="inlineStr">
        <is>
          <t>2. Минимальное количество заказа: 300 шт. / Коробка, заказ в соответствии с целой коробкой, смешанные модели, Одна модель, одноцветная от 50 Кол-во в упаковке: 50 маленьких коробок, 300 больших коробок. 
3.Цвет：черный
4.35 degrees anti-peep, protect privacy; 0.33mm high aluminum silica glass, full-screen fit, touch screen sensitive; 9H high hardness, scratch-resistant, anti-drop to protect the phone</t>
        </is>
      </c>
      <c r="B4" s="248"/>
      <c r="C4" s="248"/>
      <c r="D4" s="249" t="s">
        <v>1531</v>
      </c>
      <c r="E4" s="250"/>
      <c r="F4" s="250"/>
      <c r="G4" s="251"/>
      <c r="H4" s="61"/>
      <c r="I4" s="301" t="n">
        <v>1</v>
      </c>
      <c r="J4" s="232" t="s">
        <v>3573</v>
      </c>
      <c r="K4" s="233" t="s">
        <v>3574</v>
      </c>
      <c r="L4" s="232" t="s">
        <v>3176</v>
      </c>
      <c r="M4" s="54" t="n">
        <v>81.55</v>
      </c>
      <c r="N4" s="55"/>
      <c r="O4" s="56" t="str">
        <f aca="false">IF(ISBLANK(N4),"",IF(ISNUMBER(M4),ROUND(M4*N4,2),"Укажите цену"))</f>
        <v/>
      </c>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c r="BT4" s="61"/>
      <c r="BU4" s="61"/>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c r="DP4" s="61"/>
      <c r="DQ4" s="61"/>
      <c r="DR4" s="61"/>
      <c r="DS4" s="61"/>
      <c r="DT4" s="61"/>
      <c r="DU4" s="61"/>
    </row>
    <row r="5" s="67" customFormat="true" ht="32" hidden="false" customHeight="true" outlineLevel="2" collapsed="false">
      <c r="A5" s="248" t="s">
        <v>3574</v>
      </c>
      <c r="B5" s="248"/>
      <c r="C5" s="17" t="s">
        <v>3575</v>
      </c>
      <c r="D5" s="17"/>
      <c r="E5" s="92" t="s">
        <v>3344</v>
      </c>
      <c r="F5" s="92"/>
      <c r="G5" s="252" t="s">
        <v>3576</v>
      </c>
      <c r="H5" s="70"/>
      <c r="I5" s="301" t="n">
        <v>2</v>
      </c>
      <c r="J5" s="232" t="s">
        <v>3573</v>
      </c>
      <c r="K5" s="233" t="s">
        <v>3575</v>
      </c>
      <c r="L5" s="232" t="s">
        <v>3176</v>
      </c>
      <c r="M5" s="54" t="n">
        <v>81.55</v>
      </c>
      <c r="N5" s="55"/>
      <c r="O5" s="56" t="str">
        <f aca="false">IF(ISBLANK(N5),"",IF(ISNUMBER(M5),ROUND(M5*N5,2),"Укажите цену"))</f>
        <v/>
      </c>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c r="BT5" s="70"/>
      <c r="BU5" s="70"/>
      <c r="BV5" s="70"/>
      <c r="BW5" s="70"/>
      <c r="BX5" s="70"/>
      <c r="BY5" s="70"/>
      <c r="BZ5" s="70"/>
      <c r="CA5" s="70"/>
      <c r="CB5" s="70"/>
      <c r="CC5" s="70"/>
      <c r="CD5" s="70"/>
      <c r="CE5" s="70"/>
      <c r="CF5" s="70"/>
      <c r="CG5" s="70"/>
      <c r="CH5" s="70"/>
      <c r="CI5" s="70"/>
      <c r="CJ5" s="70"/>
      <c r="CK5" s="70"/>
      <c r="CL5" s="70"/>
      <c r="CM5" s="70"/>
      <c r="CN5" s="70"/>
      <c r="CO5" s="70"/>
      <c r="CP5" s="70"/>
      <c r="CQ5" s="70"/>
      <c r="CR5" s="70"/>
      <c r="CS5" s="70"/>
      <c r="CT5" s="70"/>
      <c r="CU5" s="70"/>
      <c r="CV5" s="70"/>
      <c r="CW5" s="70"/>
      <c r="CX5" s="70"/>
      <c r="CY5" s="70"/>
      <c r="CZ5" s="70"/>
      <c r="DA5" s="70"/>
      <c r="DB5" s="70"/>
      <c r="DC5" s="70"/>
      <c r="DD5" s="70"/>
      <c r="DE5" s="70"/>
      <c r="DF5" s="70"/>
      <c r="DG5" s="70"/>
      <c r="DH5" s="70"/>
      <c r="DI5" s="70"/>
      <c r="DJ5" s="70"/>
      <c r="DK5" s="70"/>
      <c r="DL5" s="70"/>
      <c r="DM5" s="70"/>
      <c r="DN5" s="70"/>
      <c r="DO5" s="70"/>
      <c r="DP5" s="70"/>
      <c r="DQ5" s="70"/>
      <c r="DR5" s="70"/>
      <c r="DS5" s="70"/>
      <c r="DT5" s="70"/>
      <c r="DU5" s="70"/>
    </row>
    <row r="6" s="67" customFormat="true" ht="32" hidden="false" customHeight="true" outlineLevel="2" collapsed="false">
      <c r="A6" s="248" t="s">
        <v>3577</v>
      </c>
      <c r="B6" s="248"/>
      <c r="C6" s="17" t="s">
        <v>3578</v>
      </c>
      <c r="D6" s="17"/>
      <c r="E6" s="92" t="s">
        <v>3353</v>
      </c>
      <c r="F6" s="92"/>
      <c r="G6" s="252" t="s">
        <v>3579</v>
      </c>
      <c r="H6" s="70"/>
      <c r="I6" s="301" t="n">
        <v>3</v>
      </c>
      <c r="J6" s="232" t="s">
        <v>3573</v>
      </c>
      <c r="K6" s="233" t="s">
        <v>3344</v>
      </c>
      <c r="L6" s="232" t="s">
        <v>3176</v>
      </c>
      <c r="M6" s="54" t="n">
        <v>81.55</v>
      </c>
      <c r="N6" s="55"/>
      <c r="O6" s="56" t="str">
        <f aca="false">IF(ISBLANK(N6),"",IF(ISNUMBER(M6),ROUND(M6*N6,2),"Укажите цену"))</f>
        <v/>
      </c>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row>
    <row r="7" s="67" customFormat="true" ht="32" hidden="false" customHeight="true" outlineLevel="2" collapsed="false">
      <c r="A7" s="248" t="s">
        <v>3580</v>
      </c>
      <c r="B7" s="248"/>
      <c r="C7" s="17" t="s">
        <v>3581</v>
      </c>
      <c r="D7" s="17"/>
      <c r="E7" s="92" t="s">
        <v>3582</v>
      </c>
      <c r="F7" s="92"/>
      <c r="G7" s="253" t="s">
        <v>3583</v>
      </c>
      <c r="H7" s="70"/>
      <c r="I7" s="301" t="n">
        <v>4</v>
      </c>
      <c r="J7" s="232" t="s">
        <v>3573</v>
      </c>
      <c r="K7" s="233" t="s">
        <v>3576</v>
      </c>
      <c r="L7" s="232" t="s">
        <v>3176</v>
      </c>
      <c r="M7" s="54" t="n">
        <v>81.55</v>
      </c>
      <c r="N7" s="55"/>
      <c r="O7" s="56" t="str">
        <f aca="false">IF(ISBLANK(N7),"",IF(ISNUMBER(M7),ROUND(M7*N7,2),"Укажите цену"))</f>
        <v/>
      </c>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0"/>
      <c r="CH7" s="70"/>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0"/>
      <c r="DU7" s="70"/>
    </row>
    <row r="8" s="67" customFormat="true" ht="32" hidden="false" customHeight="true" outlineLevel="2" collapsed="false">
      <c r="A8" s="248" t="s">
        <v>3584</v>
      </c>
      <c r="B8" s="248"/>
      <c r="C8" s="254"/>
      <c r="D8" s="254"/>
      <c r="E8" s="92" t="s">
        <v>3371</v>
      </c>
      <c r="F8" s="92"/>
      <c r="G8" s="253" t="s">
        <v>3585</v>
      </c>
      <c r="H8" s="70"/>
      <c r="I8" s="301" t="n">
        <v>5</v>
      </c>
      <c r="J8" s="232" t="s">
        <v>3573</v>
      </c>
      <c r="K8" s="233" t="s">
        <v>3577</v>
      </c>
      <c r="L8" s="232" t="s">
        <v>3176</v>
      </c>
      <c r="M8" s="54" t="n">
        <v>81.55</v>
      </c>
      <c r="N8" s="55"/>
      <c r="O8" s="56" t="str">
        <f aca="false">IF(ISBLANK(N8),"",IF(ISNUMBER(M8),ROUND(M8*N8,2),"Укажите цену"))</f>
        <v/>
      </c>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0"/>
      <c r="DR8" s="70"/>
      <c r="DS8" s="70"/>
      <c r="DT8" s="70"/>
      <c r="DU8" s="70"/>
    </row>
    <row r="9" s="67" customFormat="true" ht="32" hidden="false" customHeight="true" outlineLevel="2" collapsed="false">
      <c r="A9" s="248" t="s">
        <v>3586</v>
      </c>
      <c r="B9" s="248"/>
      <c r="C9" s="254"/>
      <c r="D9" s="254"/>
      <c r="E9" s="92"/>
      <c r="F9" s="92"/>
      <c r="G9" s="252" t="s">
        <v>3587</v>
      </c>
      <c r="H9" s="70"/>
      <c r="I9" s="301" t="n">
        <v>6</v>
      </c>
      <c r="J9" s="232" t="s">
        <v>3573</v>
      </c>
      <c r="K9" s="233" t="s">
        <v>3578</v>
      </c>
      <c r="L9" s="232" t="s">
        <v>3176</v>
      </c>
      <c r="M9" s="54" t="n">
        <v>81.55</v>
      </c>
      <c r="N9" s="55"/>
      <c r="O9" s="56" t="str">
        <f aca="false">IF(ISBLANK(N9),"",IF(ISNUMBER(M9),ROUND(M9*N9,2),"Укажите цену"))</f>
        <v/>
      </c>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row>
    <row r="10" s="67" customFormat="true" ht="32" hidden="false" customHeight="true" outlineLevel="2" collapsed="false">
      <c r="A10" s="248" t="s">
        <v>3588</v>
      </c>
      <c r="B10" s="248"/>
      <c r="C10" s="255"/>
      <c r="D10" s="255"/>
      <c r="E10" s="98"/>
      <c r="F10" s="98"/>
      <c r="G10" s="252" t="s">
        <v>3589</v>
      </c>
      <c r="H10" s="70"/>
      <c r="I10" s="301" t="n">
        <v>7</v>
      </c>
      <c r="J10" s="232" t="s">
        <v>3573</v>
      </c>
      <c r="K10" s="233" t="s">
        <v>3353</v>
      </c>
      <c r="L10" s="232" t="s">
        <v>3176</v>
      </c>
      <c r="M10" s="54" t="n">
        <v>81.55</v>
      </c>
      <c r="N10" s="55"/>
      <c r="O10" s="56" t="str">
        <f aca="false">IF(ISBLANK(N10),"",IF(ISNUMBER(M10),ROUND(M10*N10,2),"Укажите цену"))</f>
        <v/>
      </c>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0"/>
      <c r="DR10" s="70"/>
      <c r="DS10" s="70"/>
      <c r="DT10" s="70"/>
      <c r="DU10" s="70"/>
    </row>
    <row r="11" s="67" customFormat="true" ht="32" hidden="false" customHeight="true" outlineLevel="2" collapsed="false">
      <c r="A11" s="256"/>
      <c r="B11" s="256"/>
      <c r="C11" s="254"/>
      <c r="D11" s="254"/>
      <c r="E11" s="92"/>
      <c r="F11" s="92"/>
      <c r="G11" s="252" t="s">
        <v>3590</v>
      </c>
      <c r="H11" s="70"/>
      <c r="I11" s="301" t="n">
        <v>8</v>
      </c>
      <c r="J11" s="232" t="s">
        <v>3573</v>
      </c>
      <c r="K11" s="233" t="s">
        <v>3579</v>
      </c>
      <c r="L11" s="232" t="s">
        <v>3176</v>
      </c>
      <c r="M11" s="54" t="n">
        <v>81.55</v>
      </c>
      <c r="N11" s="55"/>
      <c r="O11" s="56" t="str">
        <f aca="false">IF(ISBLANK(N11),"",IF(ISNUMBER(M11),ROUND(M11*N11,2),"Укажите цену"))</f>
        <v/>
      </c>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c r="DA11" s="70"/>
      <c r="DB11" s="70"/>
      <c r="DC11" s="70"/>
      <c r="DD11" s="70"/>
      <c r="DE11" s="70"/>
      <c r="DF11" s="70"/>
      <c r="DG11" s="70"/>
      <c r="DH11" s="70"/>
      <c r="DI11" s="70"/>
      <c r="DJ11" s="70"/>
      <c r="DK11" s="70"/>
      <c r="DL11" s="70"/>
      <c r="DM11" s="70"/>
      <c r="DN11" s="70"/>
      <c r="DO11" s="70"/>
      <c r="DP11" s="70"/>
      <c r="DQ11" s="70"/>
      <c r="DR11" s="70"/>
      <c r="DS11" s="70"/>
      <c r="DT11" s="70"/>
      <c r="DU11" s="70"/>
    </row>
    <row r="12" s="67" customFormat="true" ht="32" hidden="false" customHeight="true" outlineLevel="2" collapsed="false">
      <c r="A12" s="256"/>
      <c r="B12" s="256"/>
      <c r="C12" s="254"/>
      <c r="D12" s="254"/>
      <c r="E12" s="92"/>
      <c r="F12" s="92"/>
      <c r="G12" s="252" t="s">
        <v>3591</v>
      </c>
      <c r="H12" s="70"/>
      <c r="I12" s="301" t="n">
        <v>9</v>
      </c>
      <c r="J12" s="232" t="s">
        <v>3573</v>
      </c>
      <c r="K12" s="233" t="s">
        <v>3580</v>
      </c>
      <c r="L12" s="232" t="s">
        <v>3176</v>
      </c>
      <c r="M12" s="54" t="n">
        <v>81.55</v>
      </c>
      <c r="N12" s="55"/>
      <c r="O12" s="56" t="str">
        <f aca="false">IF(ISBLANK(N12),"",IF(ISNUMBER(M12),ROUND(M12*N12,2),"Укажите цену"))</f>
        <v/>
      </c>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c r="DA12" s="70"/>
      <c r="DB12" s="70"/>
      <c r="DC12" s="70"/>
      <c r="DD12" s="70"/>
      <c r="DE12" s="70"/>
      <c r="DF12" s="70"/>
      <c r="DG12" s="70"/>
      <c r="DH12" s="70"/>
      <c r="DI12" s="70"/>
      <c r="DJ12" s="70"/>
      <c r="DK12" s="70"/>
      <c r="DL12" s="70"/>
      <c r="DM12" s="70"/>
      <c r="DN12" s="70"/>
      <c r="DO12" s="70"/>
      <c r="DP12" s="70"/>
      <c r="DQ12" s="70"/>
      <c r="DR12" s="70"/>
      <c r="DS12" s="70"/>
      <c r="DT12" s="70"/>
      <c r="DU12" s="70"/>
    </row>
    <row r="13" s="67" customFormat="true" ht="32" hidden="false" customHeight="true" outlineLevel="2" collapsed="false">
      <c r="A13" s="256"/>
      <c r="B13" s="256"/>
      <c r="C13" s="254"/>
      <c r="D13" s="254"/>
      <c r="E13" s="92"/>
      <c r="F13" s="92"/>
      <c r="G13" s="252" t="s">
        <v>3592</v>
      </c>
      <c r="H13" s="70"/>
      <c r="I13" s="301" t="n">
        <v>10</v>
      </c>
      <c r="J13" s="232" t="s">
        <v>3573</v>
      </c>
      <c r="K13" s="233" t="s">
        <v>3581</v>
      </c>
      <c r="L13" s="232" t="s">
        <v>3176</v>
      </c>
      <c r="M13" s="54" t="n">
        <v>81.55</v>
      </c>
      <c r="N13" s="55"/>
      <c r="O13" s="56" t="str">
        <f aca="false">IF(ISBLANK(N13),"",IF(ISNUMBER(M13),ROUND(M13*N13,2),"Укажите цену"))</f>
        <v/>
      </c>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c r="DL13" s="70"/>
      <c r="DM13" s="70"/>
      <c r="DN13" s="70"/>
      <c r="DO13" s="70"/>
      <c r="DP13" s="70"/>
      <c r="DQ13" s="70"/>
      <c r="DR13" s="70"/>
      <c r="DS13" s="70"/>
      <c r="DT13" s="70"/>
      <c r="DU13" s="70"/>
    </row>
    <row r="14" s="67" customFormat="true" ht="32" hidden="false" customHeight="true" outlineLevel="2" collapsed="false">
      <c r="A14" s="256"/>
      <c r="B14" s="256"/>
      <c r="C14" s="254"/>
      <c r="D14" s="254"/>
      <c r="E14" s="92"/>
      <c r="F14" s="92"/>
      <c r="G14" s="252"/>
      <c r="H14" s="70"/>
      <c r="I14" s="301" t="n">
        <v>11</v>
      </c>
      <c r="J14" s="232" t="s">
        <v>3573</v>
      </c>
      <c r="K14" s="233" t="s">
        <v>3582</v>
      </c>
      <c r="L14" s="232" t="s">
        <v>3176</v>
      </c>
      <c r="M14" s="54" t="n">
        <v>81.55</v>
      </c>
      <c r="N14" s="55"/>
      <c r="O14" s="56" t="str">
        <f aca="false">IF(ISBLANK(N14),"",IF(ISNUMBER(M14),ROUND(M14*N14,2),"Укажите цену"))</f>
        <v/>
      </c>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row>
    <row r="15" s="62" customFormat="true" ht="32" hidden="false" customHeight="true" outlineLevel="2" collapsed="false">
      <c r="A15" s="64"/>
      <c r="B15" s="64"/>
      <c r="C15" s="64"/>
      <c r="D15" s="64"/>
      <c r="E15" s="257"/>
      <c r="F15" s="257"/>
      <c r="G15" s="257"/>
      <c r="H15" s="61"/>
      <c r="I15" s="301" t="n">
        <v>12</v>
      </c>
      <c r="J15" s="232" t="s">
        <v>3573</v>
      </c>
      <c r="K15" s="233" t="s">
        <v>3583</v>
      </c>
      <c r="L15" s="232" t="s">
        <v>3176</v>
      </c>
      <c r="M15" s="54" t="n">
        <v>81.55</v>
      </c>
      <c r="N15" s="55"/>
      <c r="O15" s="56" t="str">
        <f aca="false">IF(ISBLANK(N15),"",IF(ISNUMBER(M15),ROUND(M15*N15,2),"Укажите цену"))</f>
        <v/>
      </c>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row>
    <row r="16" s="62" customFormat="true" ht="27" hidden="false" customHeight="true" outlineLevel="1" collapsed="false">
      <c r="A16" s="49" t="s">
        <v>3593</v>
      </c>
      <c r="B16" s="49"/>
      <c r="C16" s="49"/>
      <c r="D16" s="49"/>
      <c r="E16" s="49"/>
      <c r="F16" s="49"/>
      <c r="G16" s="49"/>
      <c r="H16" s="49"/>
      <c r="I16" s="302" t="n">
        <v>13</v>
      </c>
      <c r="J16" s="49" t="s">
        <v>3573</v>
      </c>
      <c r="K16" s="49" t="s">
        <v>3584</v>
      </c>
      <c r="L16" s="49" t="s">
        <v>3176</v>
      </c>
      <c r="M16" s="54" t="n">
        <v>81.55</v>
      </c>
      <c r="N16" s="55"/>
      <c r="O16" s="56" t="str">
        <f aca="false">IF(ISBLANK(N16),"",IF(ISNUMBER(M16),ROUND(M16*N16,2),"Укажите цену"))</f>
        <v/>
      </c>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row>
    <row r="17" s="62" customFormat="true" ht="138" hidden="false" customHeight="true" outlineLevel="2" collapsed="false">
      <c r="A17" s="59" t="inlineStr">
        <is>
          <t>2. Минимальное количество заказа: 300 шт. / Коробка, заказ в соответствии с целой коробкой, смешанные модели, Одна модель, одноцветная от 50 Кол-во в упаковке: 50 маленьких коробок, 300 больших коробок. 
3.Цвет：прозрачный
3.Характеристики: алюминийсиликатное стекло толщиной 0,33 мм, высокая твердость и устойчивость к царапинам 9H; клей 0,25AB, быстрое приклеивание без белых краев; з0ащита от отпечатков пальцев и жировых следов, гладкое прикосновение, маслостойкость и простота очистки.</t>
        </is>
      </c>
      <c r="B17" s="59"/>
      <c r="C17" s="59"/>
      <c r="D17" s="258" t="s">
        <v>1531</v>
      </c>
      <c r="E17" s="259"/>
      <c r="F17" s="259"/>
      <c r="G17" s="260"/>
      <c r="H17" s="61"/>
      <c r="I17" s="301" t="n">
        <v>14</v>
      </c>
      <c r="J17" s="232" t="s">
        <v>3573</v>
      </c>
      <c r="K17" s="233" t="s">
        <v>3371</v>
      </c>
      <c r="L17" s="232" t="s">
        <v>3176</v>
      </c>
      <c r="M17" s="54" t="n">
        <v>81.55</v>
      </c>
      <c r="N17" s="55"/>
      <c r="O17" s="56" t="str">
        <f aca="false">IF(ISBLANK(N17),"",IF(ISNUMBER(M17),ROUND(M17*N17,2),"Укажите цену"))</f>
        <v/>
      </c>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c r="CT17" s="61"/>
      <c r="CU17" s="61"/>
      <c r="CV17" s="61"/>
      <c r="CW17" s="61"/>
      <c r="CX17" s="61"/>
      <c r="CY17" s="61"/>
      <c r="CZ17" s="61"/>
      <c r="DA17" s="61"/>
      <c r="DB17" s="61"/>
      <c r="DC17" s="61"/>
      <c r="DD17" s="61"/>
      <c r="DE17" s="61"/>
      <c r="DF17" s="61"/>
      <c r="DG17" s="61"/>
      <c r="DH17" s="61"/>
      <c r="DI17" s="61"/>
      <c r="DJ17" s="61"/>
      <c r="DK17" s="61"/>
      <c r="DL17" s="61"/>
      <c r="DM17" s="61"/>
      <c r="DN17" s="61"/>
      <c r="DO17" s="61"/>
      <c r="DP17" s="61"/>
      <c r="DQ17" s="61"/>
      <c r="DR17" s="61"/>
      <c r="DS17" s="61"/>
      <c r="DT17" s="61"/>
      <c r="DU17" s="61"/>
    </row>
    <row r="18" s="67" customFormat="true" ht="32" hidden="false" customHeight="true" outlineLevel="2" collapsed="false">
      <c r="A18" s="51" t="s">
        <v>3594</v>
      </c>
      <c r="B18" s="261" t="s">
        <v>3259</v>
      </c>
      <c r="C18" s="262" t="s">
        <v>3595</v>
      </c>
      <c r="D18" s="144" t="s">
        <v>3596</v>
      </c>
      <c r="E18" s="144" t="s">
        <v>3316</v>
      </c>
      <c r="F18" s="252" t="s">
        <v>3597</v>
      </c>
      <c r="G18" s="252" t="s">
        <v>3598</v>
      </c>
      <c r="H18" s="70"/>
      <c r="I18" s="301" t="n">
        <v>15</v>
      </c>
      <c r="J18" s="232" t="s">
        <v>3573</v>
      </c>
      <c r="K18" s="233" t="s">
        <v>3585</v>
      </c>
      <c r="L18" s="232" t="s">
        <v>3176</v>
      </c>
      <c r="M18" s="54" t="n">
        <v>81.55</v>
      </c>
      <c r="N18" s="55"/>
      <c r="O18" s="56" t="str">
        <f aca="false">IF(ISBLANK(N18),"",IF(ISNUMBER(M18),ROUND(M18*N18,2),"Укажите цену"))</f>
        <v/>
      </c>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c r="DA18" s="70"/>
      <c r="DB18" s="70"/>
      <c r="DC18" s="70"/>
      <c r="DD18" s="70"/>
      <c r="DE18" s="70"/>
      <c r="DF18" s="70"/>
      <c r="DG18" s="70"/>
      <c r="DH18" s="70"/>
      <c r="DI18" s="70"/>
      <c r="DJ18" s="70"/>
      <c r="DK18" s="70"/>
      <c r="DL18" s="70"/>
      <c r="DM18" s="70"/>
      <c r="DN18" s="70"/>
      <c r="DO18" s="70"/>
      <c r="DP18" s="70"/>
      <c r="DQ18" s="70"/>
      <c r="DR18" s="70"/>
      <c r="DS18" s="70"/>
      <c r="DT18" s="70"/>
      <c r="DU18" s="70"/>
    </row>
    <row r="19" s="67" customFormat="true" ht="32" hidden="false" customHeight="true" outlineLevel="2" collapsed="false">
      <c r="A19" s="51" t="s">
        <v>3599</v>
      </c>
      <c r="B19" s="263" t="s">
        <v>3600</v>
      </c>
      <c r="C19" s="262" t="s">
        <v>3601</v>
      </c>
      <c r="D19" s="144" t="s">
        <v>3602</v>
      </c>
      <c r="E19" s="144" t="s">
        <v>3326</v>
      </c>
      <c r="F19" s="252" t="s">
        <v>3603</v>
      </c>
      <c r="G19" s="252" t="s">
        <v>3589</v>
      </c>
      <c r="H19" s="70"/>
      <c r="I19" s="301" t="n">
        <v>16</v>
      </c>
      <c r="J19" s="232" t="s">
        <v>3573</v>
      </c>
      <c r="K19" s="233" t="s">
        <v>3586</v>
      </c>
      <c r="L19" s="232" t="s">
        <v>3176</v>
      </c>
      <c r="M19" s="54" t="n">
        <v>81.55</v>
      </c>
      <c r="N19" s="55"/>
      <c r="O19" s="56" t="str">
        <f aca="false">IF(ISBLANK(N19),"",IF(ISNUMBER(M19),ROUND(M19*N19,2),"Укажите цену"))</f>
        <v/>
      </c>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row>
    <row r="20" s="42" customFormat="true" ht="32" hidden="false" customHeight="true" outlineLevel="2" collapsed="false">
      <c r="A20" s="51" t="s">
        <v>3604</v>
      </c>
      <c r="B20" s="263"/>
      <c r="C20" s="262" t="s">
        <v>3605</v>
      </c>
      <c r="D20" s="144" t="s">
        <v>3308</v>
      </c>
      <c r="E20" s="144" t="s">
        <v>3335</v>
      </c>
      <c r="F20" s="252" t="s">
        <v>3606</v>
      </c>
      <c r="G20" s="253" t="s">
        <v>3590</v>
      </c>
      <c r="H20" s="105"/>
      <c r="I20" s="301" t="n">
        <v>17</v>
      </c>
      <c r="J20" s="232" t="s">
        <v>3573</v>
      </c>
      <c r="K20" s="233" t="s">
        <v>3587</v>
      </c>
      <c r="L20" s="232" t="s">
        <v>3176</v>
      </c>
      <c r="M20" s="54" t="n">
        <v>81.55</v>
      </c>
      <c r="N20" s="55"/>
      <c r="O20" s="56" t="str">
        <f aca="false">IF(ISBLANK(N20),"",IF(ISNUMBER(M20),ROUND(M20*N20,2),"Укажите цену"))</f>
        <v/>
      </c>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105"/>
      <c r="BU20" s="105"/>
      <c r="BV20" s="105"/>
      <c r="BW20" s="105"/>
      <c r="BX20" s="105"/>
      <c r="BY20" s="105"/>
      <c r="BZ20" s="105"/>
      <c r="CA20" s="105"/>
      <c r="CB20" s="105"/>
      <c r="CC20" s="105"/>
      <c r="CD20" s="105"/>
      <c r="CE20" s="105"/>
      <c r="CF20" s="105"/>
      <c r="CG20" s="105"/>
      <c r="CH20" s="105"/>
      <c r="CI20" s="105"/>
      <c r="CJ20" s="105"/>
      <c r="CK20" s="105"/>
      <c r="CL20" s="105"/>
      <c r="CM20" s="105"/>
      <c r="CN20" s="105"/>
      <c r="CO20" s="105"/>
      <c r="CP20" s="105"/>
      <c r="CQ20" s="105"/>
      <c r="CR20" s="105"/>
      <c r="CS20" s="105"/>
      <c r="CT20" s="105"/>
      <c r="CU20" s="105"/>
      <c r="CV20" s="105"/>
      <c r="CW20" s="105"/>
      <c r="CX20" s="105"/>
      <c r="CY20" s="105"/>
      <c r="CZ20" s="105"/>
      <c r="DA20" s="105"/>
      <c r="DB20" s="105"/>
      <c r="DC20" s="105"/>
      <c r="DD20" s="105"/>
      <c r="DE20" s="105"/>
      <c r="DF20" s="105"/>
      <c r="DG20" s="105"/>
      <c r="DH20" s="105"/>
      <c r="DI20" s="105"/>
      <c r="DJ20" s="105"/>
      <c r="DK20" s="105"/>
      <c r="DL20" s="105"/>
      <c r="DM20" s="105"/>
      <c r="DN20" s="105"/>
      <c r="DO20" s="105"/>
      <c r="DP20" s="105"/>
      <c r="DQ20" s="105"/>
      <c r="DR20" s="105"/>
      <c r="DS20" s="105"/>
      <c r="DT20" s="105"/>
      <c r="DU20" s="105"/>
    </row>
    <row r="21" s="67" customFormat="true" ht="32" hidden="false" customHeight="true" outlineLevel="2" collapsed="false">
      <c r="A21" s="263"/>
      <c r="B21" s="263"/>
      <c r="C21" s="262"/>
      <c r="D21" s="144"/>
      <c r="E21" s="144"/>
      <c r="F21" s="252" t="s">
        <v>3579</v>
      </c>
      <c r="G21" s="253" t="s">
        <v>3591</v>
      </c>
      <c r="H21" s="70"/>
      <c r="I21" s="301" t="n">
        <v>18</v>
      </c>
      <c r="J21" s="232" t="s">
        <v>3573</v>
      </c>
      <c r="K21" s="233" t="s">
        <v>3588</v>
      </c>
      <c r="L21" s="232" t="s">
        <v>3176</v>
      </c>
      <c r="M21" s="54" t="n">
        <v>81.55</v>
      </c>
      <c r="N21" s="55"/>
      <c r="O21" s="56" t="str">
        <f aca="false">IF(ISBLANK(N21),"",IF(ISNUMBER(M21),ROUND(M21*N21,2),"Укажите цену"))</f>
        <v/>
      </c>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c r="DA21" s="70"/>
      <c r="DB21" s="70"/>
      <c r="DC21" s="70"/>
      <c r="DD21" s="70"/>
      <c r="DE21" s="70"/>
      <c r="DF21" s="70"/>
      <c r="DG21" s="70"/>
      <c r="DH21" s="70"/>
      <c r="DI21" s="70"/>
      <c r="DJ21" s="70"/>
      <c r="DK21" s="70"/>
      <c r="DL21" s="70"/>
      <c r="DM21" s="70"/>
      <c r="DN21" s="70"/>
      <c r="DO21" s="70"/>
      <c r="DP21" s="70"/>
      <c r="DQ21" s="70"/>
      <c r="DR21" s="70"/>
      <c r="DS21" s="70"/>
      <c r="DT21" s="70"/>
      <c r="DU21" s="70"/>
    </row>
    <row r="22" s="67" customFormat="true" ht="32" hidden="false" customHeight="true" outlineLevel="2" collapsed="false">
      <c r="A22" s="264"/>
      <c r="B22" s="263"/>
      <c r="C22" s="262"/>
      <c r="D22" s="144"/>
      <c r="E22" s="144"/>
      <c r="F22" s="252" t="s">
        <v>3583</v>
      </c>
      <c r="G22" s="253" t="s">
        <v>3592</v>
      </c>
      <c r="H22" s="70"/>
      <c r="I22" s="301" t="n">
        <v>19</v>
      </c>
      <c r="J22" s="232" t="s">
        <v>3573</v>
      </c>
      <c r="K22" s="233" t="s">
        <v>3589</v>
      </c>
      <c r="L22" s="232" t="s">
        <v>3176</v>
      </c>
      <c r="M22" s="54" t="n">
        <v>81.55</v>
      </c>
      <c r="N22" s="55"/>
      <c r="O22" s="56" t="str">
        <f aca="false">IF(ISBLANK(N22),"",IF(ISNUMBER(M22),ROUND(M22*N22,2),"Укажите цену"))</f>
        <v/>
      </c>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0"/>
      <c r="DR22" s="70"/>
      <c r="DS22" s="70"/>
      <c r="DT22" s="70"/>
      <c r="DU22" s="70"/>
    </row>
    <row r="23" s="42" customFormat="true" ht="32" hidden="false" customHeight="true" outlineLevel="2" collapsed="false">
      <c r="A23" s="144"/>
      <c r="B23" s="144"/>
      <c r="C23" s="262"/>
      <c r="D23" s="144"/>
      <c r="E23" s="144"/>
      <c r="F23" s="252" t="s">
        <v>3585</v>
      </c>
      <c r="G23" s="253"/>
      <c r="H23" s="105"/>
      <c r="I23" s="301" t="n">
        <v>20</v>
      </c>
      <c r="J23" s="232" t="s">
        <v>3573</v>
      </c>
      <c r="K23" s="233" t="s">
        <v>3590</v>
      </c>
      <c r="L23" s="232" t="s">
        <v>3176</v>
      </c>
      <c r="M23" s="54" t="n">
        <v>81.55</v>
      </c>
      <c r="N23" s="55"/>
      <c r="O23" s="56" t="str">
        <f aca="false">IF(ISBLANK(N23),"",IF(ISNUMBER(M23),ROUND(M23*N23,2),"Укажите цену"))</f>
        <v/>
      </c>
      <c r="P23" s="105"/>
      <c r="Q23" s="105"/>
      <c r="R23" s="105"/>
      <c r="S23" s="105"/>
      <c r="T23" s="105"/>
      <c r="U23" s="105"/>
      <c r="V23" s="105"/>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c r="BQ23" s="105"/>
      <c r="BR23" s="105"/>
      <c r="BS23" s="105"/>
      <c r="BT23" s="105"/>
      <c r="BU23" s="105"/>
      <c r="BV23" s="105"/>
      <c r="BW23" s="105"/>
      <c r="BX23" s="105"/>
      <c r="BY23" s="105"/>
      <c r="BZ23" s="105"/>
      <c r="CA23" s="105"/>
      <c r="CB23" s="105"/>
      <c r="CC23" s="105"/>
      <c r="CD23" s="105"/>
      <c r="CE23" s="105"/>
      <c r="CF23" s="105"/>
      <c r="CG23" s="105"/>
      <c r="CH23" s="105"/>
      <c r="CI23" s="105"/>
      <c r="CJ23" s="105"/>
      <c r="CK23" s="105"/>
      <c r="CL23" s="105"/>
      <c r="CM23" s="105"/>
      <c r="CN23" s="105"/>
      <c r="CO23" s="105"/>
      <c r="CP23" s="105"/>
      <c r="CQ23" s="105"/>
      <c r="CR23" s="105"/>
      <c r="CS23" s="105"/>
      <c r="CT23" s="105"/>
      <c r="CU23" s="105"/>
      <c r="CV23" s="105"/>
      <c r="CW23" s="105"/>
      <c r="CX23" s="105"/>
      <c r="CY23" s="105"/>
      <c r="CZ23" s="105"/>
      <c r="DA23" s="105"/>
      <c r="DB23" s="105"/>
      <c r="DC23" s="105"/>
      <c r="DD23" s="105"/>
      <c r="DE23" s="105"/>
      <c r="DF23" s="105"/>
      <c r="DG23" s="105"/>
      <c r="DH23" s="105"/>
      <c r="DI23" s="105"/>
      <c r="DJ23" s="105"/>
      <c r="DK23" s="105"/>
      <c r="DL23" s="105"/>
      <c r="DM23" s="105"/>
      <c r="DN23" s="105"/>
      <c r="DO23" s="105"/>
      <c r="DP23" s="105"/>
      <c r="DQ23" s="105"/>
      <c r="DR23" s="105"/>
      <c r="DS23" s="105"/>
      <c r="DT23" s="105"/>
      <c r="DU23" s="105"/>
    </row>
    <row r="24" s="62" customFormat="true" ht="32" hidden="false" customHeight="true" outlineLevel="2" collapsed="false">
      <c r="A24" s="64"/>
      <c r="B24" s="64"/>
      <c r="C24" s="64"/>
      <c r="D24" s="64"/>
      <c r="E24" s="257"/>
      <c r="F24" s="257"/>
      <c r="G24" s="257"/>
      <c r="H24" s="61"/>
      <c r="I24" s="301" t="n">
        <v>21</v>
      </c>
      <c r="J24" s="232" t="s">
        <v>3573</v>
      </c>
      <c r="K24" s="233" t="s">
        <v>3591</v>
      </c>
      <c r="L24" s="232" t="s">
        <v>3176</v>
      </c>
      <c r="M24" s="54" t="n">
        <v>81.55</v>
      </c>
      <c r="N24" s="55"/>
      <c r="O24" s="56" t="str">
        <f aca="false">IF(ISBLANK(N24),"",IF(ISNUMBER(M24),ROUND(M24*N24,2),"Укажите цену"))</f>
        <v/>
      </c>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row>
    <row r="25" s="62" customFormat="true" ht="27" hidden="false" customHeight="true" outlineLevel="1" collapsed="false">
      <c r="A25" s="49" t="s">
        <v>3607</v>
      </c>
      <c r="B25" s="49"/>
      <c r="C25" s="49"/>
      <c r="D25" s="49"/>
      <c r="E25" s="49"/>
      <c r="F25" s="49"/>
      <c r="G25" s="49"/>
      <c r="H25" s="49"/>
      <c r="I25" s="302" t="n">
        <v>22</v>
      </c>
      <c r="J25" s="49" t="s">
        <v>3573</v>
      </c>
      <c r="K25" s="49" t="s">
        <v>3592</v>
      </c>
      <c r="L25" s="49" t="s">
        <v>3176</v>
      </c>
      <c r="M25" s="54" t="n">
        <v>81.55</v>
      </c>
      <c r="N25" s="55"/>
      <c r="O25" s="56" t="str">
        <f aca="false">IF(ISBLANK(N25),"",IF(ISNUMBER(M25),ROUND(M25*N25,2),"Укажите цену"))</f>
        <v/>
      </c>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row>
    <row r="26" s="62" customFormat="true" ht="30" hidden="false" customHeight="true" outlineLevel="1" collapsed="false">
      <c r="A26" s="248" t="inlineStr">
        <is>
          <t>2. Минимальное количество заказа: 600 шт. / Коробка, заказ в соответствии с целой коробкой, смешанные модели, Одна модель, одноцветная от 50 Кол-во в упаковке: 50 маленьких коробок, 300 больших коробок. 
3.Характеристики: алюминийсиликатное стекло толщиной 0,33 мм, высокая твердость и устойчивость к царапинам 9H; клей 0,25AB, быстрое приклеивание без белых краев; з0ащита от отпечатков пальцев и жировых следов, гладкое прикосновение, маслостойкость и простота очистки.</t>
        </is>
      </c>
      <c r="B26" s="248"/>
      <c r="C26" s="248"/>
      <c r="D26" s="18" t="s">
        <v>1531</v>
      </c>
      <c r="E26" s="18"/>
      <c r="F26" s="18"/>
      <c r="G26" s="18"/>
      <c r="H26" s="61"/>
      <c r="I26" s="109"/>
      <c r="J26" s="109"/>
      <c r="K26" s="109"/>
      <c r="L26" s="109"/>
      <c r="M26" s="109" t="s">
        <v>633</v>
      </c>
      <c r="N26" s="109"/>
      <c r="O26" s="109" t="n">
        <f aca="false">IF(COUNTIFS(O4:O25,"Укажите цену")&gt;0,"Укажите цены",SUM(O4:O25))</f>
        <v>0</v>
      </c>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row>
    <row r="27" s="67" customFormat="true" ht="27" hidden="false" customHeight="true" outlineLevel="1" collapsed="false">
      <c r="A27" s="49" t="s">
        <v>3608</v>
      </c>
      <c r="B27" s="49" t="s">
        <v>3609</v>
      </c>
      <c r="C27" s="49" t="s">
        <v>3610</v>
      </c>
      <c r="D27" s="49" t="s">
        <v>3611</v>
      </c>
      <c r="E27" s="49" t="s">
        <v>3316</v>
      </c>
      <c r="F27" s="49" t="s">
        <v>3344</v>
      </c>
      <c r="G27" s="49" t="s">
        <v>3606</v>
      </c>
      <c r="H27" s="49"/>
      <c r="I27" s="49" t="s">
        <v>61</v>
      </c>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row>
    <row r="28" s="67" customFormat="true" ht="32" hidden="false" customHeight="true" outlineLevel="2" collapsed="false">
      <c r="A28" s="51" t="s">
        <v>3612</v>
      </c>
      <c r="B28" s="263" t="s">
        <v>3613</v>
      </c>
      <c r="C28" s="262" t="s">
        <v>3614</v>
      </c>
      <c r="D28" s="144" t="s">
        <v>3615</v>
      </c>
      <c r="E28" s="263" t="s">
        <v>3326</v>
      </c>
      <c r="F28" s="263" t="s">
        <v>3353</v>
      </c>
      <c r="G28" s="252" t="s">
        <v>3616</v>
      </c>
      <c r="H28" s="70"/>
      <c r="I28" s="301" t="n">
        <v>23</v>
      </c>
      <c r="J28" s="232" t="s">
        <v>3617</v>
      </c>
      <c r="K28" s="233" t="s">
        <v>3594</v>
      </c>
      <c r="L28" s="232" t="s">
        <v>3176</v>
      </c>
      <c r="M28" s="54" t="n">
        <v>35.88</v>
      </c>
      <c r="N28" s="55"/>
      <c r="O28" s="56" t="str">
        <f aca="false">IF(ISBLANK(N28),"",IF(ISNUMBER(M28),ROUND(M28*N28,2),"Укажите цену"))</f>
        <v/>
      </c>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row>
    <row r="29" s="36" customFormat="true" ht="32" hidden="false" customHeight="true" outlineLevel="2" collapsed="false">
      <c r="A29" s="51" t="s">
        <v>3618</v>
      </c>
      <c r="B29" s="263" t="s">
        <v>3619</v>
      </c>
      <c r="C29" s="262" t="s">
        <v>3620</v>
      </c>
      <c r="D29" s="144" t="s">
        <v>3588</v>
      </c>
      <c r="E29" s="263" t="s">
        <v>3335</v>
      </c>
      <c r="F29" s="263" t="s">
        <v>3582</v>
      </c>
      <c r="G29" s="253" t="s">
        <v>3583</v>
      </c>
      <c r="H29" s="105"/>
      <c r="I29" s="301" t="n">
        <v>24</v>
      </c>
      <c r="J29" s="232" t="s">
        <v>3617</v>
      </c>
      <c r="K29" s="233" t="s">
        <v>3259</v>
      </c>
      <c r="L29" s="232" t="s">
        <v>3176</v>
      </c>
      <c r="M29" s="54" t="n">
        <v>35.88</v>
      </c>
      <c r="N29" s="55"/>
      <c r="O29" s="56" t="str">
        <f aca="false">IF(ISBLANK(N29),"",IF(ISNUMBER(M29),ROUND(M29*N29,2),"Укажите цену"))</f>
        <v/>
      </c>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c r="CA29" s="105"/>
      <c r="CB29" s="105"/>
      <c r="CC29" s="105"/>
      <c r="CD29" s="105"/>
      <c r="CE29" s="105"/>
      <c r="CF29" s="105"/>
      <c r="CG29" s="105"/>
      <c r="CH29" s="105"/>
      <c r="CI29" s="105"/>
      <c r="CJ29" s="105"/>
      <c r="CK29" s="105"/>
      <c r="CL29" s="105"/>
      <c r="CM29" s="105"/>
      <c r="CN29" s="105"/>
      <c r="CO29" s="105"/>
      <c r="CP29" s="105"/>
      <c r="CQ29" s="105"/>
      <c r="CR29" s="105"/>
      <c r="CS29" s="105"/>
      <c r="CT29" s="105"/>
      <c r="CU29" s="105"/>
      <c r="CV29" s="105"/>
      <c r="CW29" s="105"/>
      <c r="CX29" s="105"/>
      <c r="CY29" s="105"/>
      <c r="CZ29" s="105"/>
      <c r="DA29" s="105"/>
      <c r="DB29" s="105"/>
      <c r="DC29" s="105"/>
      <c r="DD29" s="105"/>
      <c r="DE29" s="105"/>
      <c r="DF29" s="105"/>
      <c r="DG29" s="105"/>
      <c r="DH29" s="105"/>
      <c r="DI29" s="105"/>
      <c r="DJ29" s="105"/>
      <c r="DK29" s="105"/>
      <c r="DL29" s="105"/>
      <c r="DM29" s="105"/>
      <c r="DN29" s="105"/>
      <c r="DO29" s="105"/>
      <c r="DP29" s="105"/>
      <c r="DQ29" s="105"/>
      <c r="DR29" s="105"/>
      <c r="DS29" s="105"/>
      <c r="DT29" s="105"/>
      <c r="DU29" s="105"/>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42"/>
      <c r="HC29" s="42"/>
      <c r="HD29" s="42"/>
      <c r="HE29" s="42"/>
      <c r="HF29" s="42"/>
      <c r="HG29" s="42"/>
      <c r="HH29" s="42"/>
      <c r="HI29" s="42"/>
      <c r="HJ29" s="42"/>
      <c r="HK29" s="42"/>
      <c r="HL29" s="42"/>
    </row>
    <row r="30" s="67" customFormat="true" ht="32" hidden="false" customHeight="true" outlineLevel="2" collapsed="false">
      <c r="A30" s="51" t="s">
        <v>3621</v>
      </c>
      <c r="B30" s="263" t="s">
        <v>3622</v>
      </c>
      <c r="C30" s="262"/>
      <c r="D30" s="144"/>
      <c r="E30" s="144"/>
      <c r="F30" s="144" t="s">
        <v>3371</v>
      </c>
      <c r="G30" s="253" t="s">
        <v>3585</v>
      </c>
      <c r="H30" s="70"/>
      <c r="I30" s="301" t="n">
        <v>25</v>
      </c>
      <c r="J30" s="232" t="s">
        <v>3617</v>
      </c>
      <c r="K30" s="233" t="s">
        <v>3595</v>
      </c>
      <c r="L30" s="232" t="s">
        <v>3176</v>
      </c>
      <c r="M30" s="54" t="n">
        <v>35.88</v>
      </c>
      <c r="N30" s="55"/>
      <c r="O30" s="56" t="str">
        <f aca="false">IF(ISBLANK(N30),"",IF(ISNUMBER(M30),ROUND(M30*N30,2),"Укажите цену"))</f>
        <v/>
      </c>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row>
    <row r="31" s="67" customFormat="true" ht="32" hidden="false" customHeight="true" outlineLevel="2" collapsed="false">
      <c r="A31" s="59"/>
      <c r="B31" s="263"/>
      <c r="C31" s="262"/>
      <c r="D31" s="144"/>
      <c r="E31" s="144"/>
      <c r="F31" s="144"/>
      <c r="G31" s="252" t="s">
        <v>3598</v>
      </c>
      <c r="H31" s="70"/>
      <c r="I31" s="301" t="n">
        <v>26</v>
      </c>
      <c r="J31" s="232" t="s">
        <v>3617</v>
      </c>
      <c r="K31" s="233" t="s">
        <v>3596</v>
      </c>
      <c r="L31" s="232" t="s">
        <v>3176</v>
      </c>
      <c r="M31" s="54" t="n">
        <v>35.88</v>
      </c>
      <c r="N31" s="55"/>
      <c r="O31" s="56" t="str">
        <f aca="false">IF(ISBLANK(N31),"",IF(ISNUMBER(M31),ROUND(M31*N31,2),"Укажите цену"))</f>
        <v/>
      </c>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row>
    <row r="32" s="42" customFormat="true" ht="32" hidden="false" customHeight="true" outlineLevel="2" collapsed="false">
      <c r="A32" s="144"/>
      <c r="B32" s="144"/>
      <c r="C32" s="262"/>
      <c r="D32" s="144"/>
      <c r="E32" s="144"/>
      <c r="F32" s="144"/>
      <c r="G32" s="252" t="s">
        <v>3589</v>
      </c>
      <c r="H32" s="105"/>
      <c r="I32" s="301" t="n">
        <v>27</v>
      </c>
      <c r="J32" s="232" t="s">
        <v>3617</v>
      </c>
      <c r="K32" s="233" t="s">
        <v>3316</v>
      </c>
      <c r="L32" s="232" t="s">
        <v>3176</v>
      </c>
      <c r="M32" s="54" t="n">
        <v>35.88</v>
      </c>
      <c r="N32" s="55"/>
      <c r="O32" s="56" t="str">
        <f aca="false">IF(ISBLANK(N32),"",IF(ISNUMBER(M32),ROUND(M32*N32,2),"Укажите цену"))</f>
        <v/>
      </c>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c r="AO32" s="105"/>
      <c r="AP32" s="105"/>
      <c r="AQ32" s="105"/>
      <c r="AR32" s="105"/>
      <c r="AS32" s="105"/>
      <c r="AT32" s="105"/>
      <c r="AU32" s="105"/>
      <c r="AV32" s="105"/>
      <c r="AW32" s="105"/>
      <c r="AX32" s="105"/>
      <c r="AY32" s="105"/>
      <c r="AZ32" s="105"/>
      <c r="BA32" s="105"/>
      <c r="BB32" s="105"/>
      <c r="BC32" s="105"/>
      <c r="BD32" s="105"/>
      <c r="BE32" s="105"/>
      <c r="BF32" s="105"/>
      <c r="BG32" s="105"/>
      <c r="BH32" s="105"/>
      <c r="BI32" s="105"/>
      <c r="BJ32" s="105"/>
      <c r="BK32" s="105"/>
      <c r="BL32" s="105"/>
      <c r="BM32" s="105"/>
      <c r="BN32" s="105"/>
      <c r="BO32" s="105"/>
      <c r="BP32" s="105"/>
      <c r="BQ32" s="105"/>
      <c r="BR32" s="105"/>
      <c r="BS32" s="105"/>
      <c r="BT32" s="105"/>
      <c r="BU32" s="105"/>
      <c r="BV32" s="105"/>
      <c r="BW32" s="105"/>
      <c r="BX32" s="105"/>
      <c r="BY32" s="105"/>
      <c r="BZ32" s="105"/>
      <c r="CA32" s="105"/>
      <c r="CB32" s="105"/>
      <c r="CC32" s="105"/>
      <c r="CD32" s="105"/>
      <c r="CE32" s="105"/>
      <c r="CF32" s="105"/>
      <c r="CG32" s="105"/>
      <c r="CH32" s="105"/>
      <c r="CI32" s="105"/>
      <c r="CJ32" s="105"/>
      <c r="CK32" s="105"/>
      <c r="CL32" s="105"/>
      <c r="CM32" s="105"/>
      <c r="CN32" s="105"/>
      <c r="CO32" s="105"/>
      <c r="CP32" s="105"/>
      <c r="CQ32" s="105"/>
      <c r="CR32" s="105"/>
      <c r="CS32" s="105"/>
      <c r="CT32" s="105"/>
      <c r="CU32" s="105"/>
      <c r="CV32" s="105"/>
      <c r="CW32" s="105"/>
      <c r="CX32" s="105"/>
      <c r="CY32" s="105"/>
      <c r="CZ32" s="105"/>
      <c r="DA32" s="105"/>
      <c r="DB32" s="105"/>
      <c r="DC32" s="105"/>
      <c r="DD32" s="105"/>
      <c r="DE32" s="105"/>
      <c r="DF32" s="105"/>
      <c r="DG32" s="105"/>
      <c r="DH32" s="105"/>
      <c r="DI32" s="105"/>
      <c r="DJ32" s="105"/>
      <c r="DK32" s="105"/>
      <c r="DL32" s="105"/>
      <c r="DM32" s="105"/>
      <c r="DN32" s="105"/>
      <c r="DO32" s="105"/>
      <c r="DP32" s="105"/>
      <c r="DQ32" s="105"/>
      <c r="DR32" s="105"/>
      <c r="DS32" s="105"/>
      <c r="DT32" s="105"/>
      <c r="DU32" s="105"/>
    </row>
    <row r="33" s="67" customFormat="true" ht="32" hidden="false" customHeight="true" outlineLevel="2" collapsed="false">
      <c r="A33" s="59"/>
      <c r="B33" s="263"/>
      <c r="C33" s="262"/>
      <c r="D33" s="144"/>
      <c r="E33" s="144"/>
      <c r="F33" s="144"/>
      <c r="G33" s="252" t="s">
        <v>3590</v>
      </c>
      <c r="H33" s="70"/>
      <c r="I33" s="301" t="n">
        <v>28</v>
      </c>
      <c r="J33" s="232" t="s">
        <v>3617</v>
      </c>
      <c r="K33" s="233" t="s">
        <v>3597</v>
      </c>
      <c r="L33" s="232" t="s">
        <v>3176</v>
      </c>
      <c r="M33" s="54" t="n">
        <v>35.88</v>
      </c>
      <c r="N33" s="55"/>
      <c r="O33" s="56" t="str">
        <f aca="false">IF(ISBLANK(N33),"",IF(ISNUMBER(M33),ROUND(M33*N33,2),"Укажите цену"))</f>
        <v/>
      </c>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row>
    <row r="34" s="42" customFormat="true" ht="32" hidden="false" customHeight="true" outlineLevel="2" collapsed="false">
      <c r="A34" s="144"/>
      <c r="B34" s="144"/>
      <c r="C34" s="262"/>
      <c r="D34" s="144"/>
      <c r="E34" s="144"/>
      <c r="F34" s="144"/>
      <c r="G34" s="252" t="s">
        <v>3591</v>
      </c>
      <c r="H34" s="105"/>
      <c r="I34" s="301" t="n">
        <v>29</v>
      </c>
      <c r="J34" s="232" t="s">
        <v>3617</v>
      </c>
      <c r="K34" s="233" t="s">
        <v>3598</v>
      </c>
      <c r="L34" s="232" t="s">
        <v>3176</v>
      </c>
      <c r="M34" s="54" t="n">
        <v>35.88</v>
      </c>
      <c r="N34" s="55"/>
      <c r="O34" s="56" t="str">
        <f aca="false">IF(ISBLANK(N34),"",IF(ISNUMBER(M34),ROUND(M34*N34,2),"Укажите цену"))</f>
        <v/>
      </c>
      <c r="P34" s="105"/>
      <c r="Q34" s="105"/>
      <c r="R34" s="105"/>
      <c r="S34" s="105"/>
      <c r="T34" s="105"/>
      <c r="U34" s="105"/>
      <c r="V34" s="105"/>
      <c r="W34" s="105"/>
      <c r="X34" s="105"/>
      <c r="Y34" s="105"/>
      <c r="Z34" s="105"/>
      <c r="AA34" s="105"/>
      <c r="AB34" s="105"/>
      <c r="AC34" s="105"/>
      <c r="AD34" s="105"/>
      <c r="AE34" s="105"/>
      <c r="AF34" s="105"/>
      <c r="AG34" s="105"/>
      <c r="AH34" s="105"/>
      <c r="AI34" s="105"/>
      <c r="AJ34" s="105"/>
      <c r="AK34" s="105"/>
      <c r="AL34" s="105"/>
      <c r="AM34" s="105"/>
      <c r="AN34" s="105"/>
      <c r="AO34" s="105"/>
      <c r="AP34" s="105"/>
      <c r="AQ34" s="105"/>
      <c r="AR34" s="105"/>
      <c r="AS34" s="105"/>
      <c r="AT34" s="105"/>
      <c r="AU34" s="105"/>
      <c r="AV34" s="105"/>
      <c r="AW34" s="105"/>
      <c r="AX34" s="105"/>
      <c r="AY34" s="105"/>
      <c r="AZ34" s="105"/>
      <c r="BA34" s="105"/>
      <c r="BB34" s="105"/>
      <c r="BC34" s="105"/>
      <c r="BD34" s="105"/>
      <c r="BE34" s="105"/>
      <c r="BF34" s="105"/>
      <c r="BG34" s="105"/>
      <c r="BH34" s="105"/>
      <c r="BI34" s="105"/>
      <c r="BJ34" s="105"/>
      <c r="BK34" s="105"/>
      <c r="BL34" s="105"/>
      <c r="BM34" s="105"/>
      <c r="BN34" s="105"/>
      <c r="BO34" s="105"/>
      <c r="BP34" s="105"/>
      <c r="BQ34" s="105"/>
      <c r="BR34" s="105"/>
      <c r="BS34" s="105"/>
      <c r="BT34" s="105"/>
      <c r="BU34" s="105"/>
      <c r="BV34" s="105"/>
      <c r="BW34" s="105"/>
      <c r="BX34" s="105"/>
      <c r="BY34" s="105"/>
      <c r="BZ34" s="105"/>
      <c r="CA34" s="105"/>
      <c r="CB34" s="105"/>
      <c r="CC34" s="105"/>
      <c r="CD34" s="105"/>
      <c r="CE34" s="105"/>
      <c r="CF34" s="105"/>
      <c r="CG34" s="105"/>
      <c r="CH34" s="105"/>
      <c r="CI34" s="105"/>
      <c r="CJ34" s="105"/>
      <c r="CK34" s="105"/>
      <c r="CL34" s="105"/>
      <c r="CM34" s="105"/>
      <c r="CN34" s="105"/>
      <c r="CO34" s="105"/>
      <c r="CP34" s="105"/>
      <c r="CQ34" s="105"/>
      <c r="CR34" s="105"/>
      <c r="CS34" s="105"/>
      <c r="CT34" s="105"/>
      <c r="CU34" s="105"/>
      <c r="CV34" s="105"/>
      <c r="CW34" s="105"/>
      <c r="CX34" s="105"/>
      <c r="CY34" s="105"/>
      <c r="CZ34" s="105"/>
      <c r="DA34" s="105"/>
      <c r="DB34" s="105"/>
      <c r="DC34" s="105"/>
      <c r="DD34" s="105"/>
      <c r="DE34" s="105"/>
      <c r="DF34" s="105"/>
      <c r="DG34" s="105"/>
      <c r="DH34" s="105"/>
      <c r="DI34" s="105"/>
      <c r="DJ34" s="105"/>
      <c r="DK34" s="105"/>
      <c r="DL34" s="105"/>
      <c r="DM34" s="105"/>
      <c r="DN34" s="105"/>
      <c r="DO34" s="105"/>
      <c r="DP34" s="105"/>
      <c r="DQ34" s="105"/>
      <c r="DR34" s="105"/>
      <c r="DS34" s="105"/>
      <c r="DT34" s="105"/>
      <c r="DU34" s="105"/>
    </row>
    <row r="35" s="67" customFormat="true" ht="32" hidden="false" customHeight="true" outlineLevel="2" collapsed="false">
      <c r="A35" s="59"/>
      <c r="B35" s="263"/>
      <c r="C35" s="262"/>
      <c r="D35" s="144"/>
      <c r="E35" s="144"/>
      <c r="F35" s="144"/>
      <c r="G35" s="252" t="s">
        <v>3592</v>
      </c>
      <c r="H35" s="70"/>
      <c r="I35" s="301" t="n">
        <v>30</v>
      </c>
      <c r="J35" s="232" t="s">
        <v>3617</v>
      </c>
      <c r="K35" s="233" t="s">
        <v>3599</v>
      </c>
      <c r="L35" s="232" t="s">
        <v>3176</v>
      </c>
      <c r="M35" s="54" t="n">
        <v>35.88</v>
      </c>
      <c r="N35" s="55"/>
      <c r="O35" s="56" t="str">
        <f aca="false">IF(ISBLANK(N35),"",IF(ISNUMBER(M35),ROUND(M35*N35,2),"Укажите цену"))</f>
        <v/>
      </c>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row>
    <row r="36" s="42" customFormat="true" ht="32" hidden="false" customHeight="true" outlineLevel="2" collapsed="false">
      <c r="A36" s="144"/>
      <c r="B36" s="144"/>
      <c r="C36" s="262"/>
      <c r="D36" s="144"/>
      <c r="E36" s="144"/>
      <c r="F36" s="144"/>
      <c r="G36" s="252"/>
      <c r="H36" s="105"/>
      <c r="I36" s="301" t="n">
        <v>31</v>
      </c>
      <c r="J36" s="232" t="s">
        <v>3617</v>
      </c>
      <c r="K36" s="233" t="s">
        <v>3600</v>
      </c>
      <c r="L36" s="232" t="s">
        <v>3176</v>
      </c>
      <c r="M36" s="54" t="n">
        <v>35.88</v>
      </c>
      <c r="N36" s="55"/>
      <c r="O36" s="56" t="str">
        <f aca="false">IF(ISBLANK(N36),"",IF(ISNUMBER(M36),ROUND(M36*N36,2),"Укажите цену"))</f>
        <v/>
      </c>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c r="BN36" s="105"/>
      <c r="BO36" s="105"/>
      <c r="BP36" s="105"/>
      <c r="BQ36" s="105"/>
      <c r="BR36" s="105"/>
      <c r="BS36" s="105"/>
      <c r="BT36" s="105"/>
      <c r="BU36" s="105"/>
      <c r="BV36" s="105"/>
      <c r="BW36" s="105"/>
      <c r="BX36" s="105"/>
      <c r="BY36" s="105"/>
      <c r="BZ36" s="105"/>
      <c r="CA36" s="105"/>
      <c r="CB36" s="105"/>
      <c r="CC36" s="105"/>
      <c r="CD36" s="105"/>
      <c r="CE36" s="105"/>
      <c r="CF36" s="105"/>
      <c r="CG36" s="105"/>
      <c r="CH36" s="105"/>
      <c r="CI36" s="105"/>
      <c r="CJ36" s="105"/>
      <c r="CK36" s="105"/>
      <c r="CL36" s="105"/>
      <c r="CM36" s="105"/>
      <c r="CN36" s="105"/>
      <c r="CO36" s="105"/>
      <c r="CP36" s="105"/>
      <c r="CQ36" s="105"/>
      <c r="CR36" s="105"/>
      <c r="CS36" s="105"/>
      <c r="CT36" s="105"/>
      <c r="CU36" s="105"/>
      <c r="CV36" s="105"/>
      <c r="CW36" s="105"/>
      <c r="CX36" s="105"/>
      <c r="CY36" s="105"/>
      <c r="CZ36" s="105"/>
      <c r="DA36" s="105"/>
      <c r="DB36" s="105"/>
      <c r="DC36" s="105"/>
      <c r="DD36" s="105"/>
      <c r="DE36" s="105"/>
      <c r="DF36" s="105"/>
      <c r="DG36" s="105"/>
      <c r="DH36" s="105"/>
      <c r="DI36" s="105"/>
      <c r="DJ36" s="105"/>
      <c r="DK36" s="105"/>
      <c r="DL36" s="105"/>
      <c r="DM36" s="105"/>
      <c r="DN36" s="105"/>
      <c r="DO36" s="105"/>
      <c r="DP36" s="105"/>
      <c r="DQ36" s="105"/>
      <c r="DR36" s="105"/>
      <c r="DS36" s="105"/>
      <c r="DT36" s="105"/>
      <c r="DU36" s="105"/>
    </row>
    <row r="37" customFormat="false" ht="32" hidden="false" customHeight="true" outlineLevel="2" collapsed="false">
      <c r="I37" s="301" t="n">
        <v>32</v>
      </c>
      <c r="J37" s="232" t="s">
        <v>3617</v>
      </c>
      <c r="K37" s="233" t="s">
        <v>3601</v>
      </c>
      <c r="L37" s="232" t="s">
        <v>3176</v>
      </c>
      <c r="M37" s="54" t="n">
        <v>35.88</v>
      </c>
      <c r="N37" s="55"/>
      <c r="O37" s="56" t="str">
        <f aca="false">IF(ISBLANK(N37),"",IF(ISNUMBER(M37),ROUND(M37*N37,2),"Укажите цену"))</f>
        <v/>
      </c>
    </row>
    <row r="38" customFormat="false" ht="32" hidden="false" customHeight="true" outlineLevel="2" collapsed="false">
      <c r="I38" s="301" t="n">
        <v>33</v>
      </c>
      <c r="J38" s="232" t="s">
        <v>3617</v>
      </c>
      <c r="K38" s="233" t="s">
        <v>3602</v>
      </c>
      <c r="L38" s="232" t="s">
        <v>3176</v>
      </c>
      <c r="M38" s="54" t="n">
        <v>35.88</v>
      </c>
      <c r="N38" s="55"/>
      <c r="O38" s="56" t="str">
        <f aca="false">IF(ISBLANK(N38),"",IF(ISNUMBER(M38),ROUND(M38*N38,2),"Укажите цену"))</f>
        <v/>
      </c>
    </row>
    <row r="39" customFormat="false" ht="32" hidden="false" customHeight="true" outlineLevel="2" collapsed="false">
      <c r="I39" s="301" t="n">
        <v>34</v>
      </c>
      <c r="J39" s="232" t="s">
        <v>3617</v>
      </c>
      <c r="K39" s="233" t="s">
        <v>3326</v>
      </c>
      <c r="L39" s="232" t="s">
        <v>3176</v>
      </c>
      <c r="M39" s="54" t="n">
        <v>35.88</v>
      </c>
      <c r="N39" s="55"/>
      <c r="O39" s="56" t="str">
        <f aca="false">IF(ISBLANK(N39),"",IF(ISNUMBER(M39),ROUND(M39*N39,2),"Укажите цену"))</f>
        <v/>
      </c>
    </row>
    <row r="40" customFormat="false" ht="32" hidden="false" customHeight="true" outlineLevel="2" collapsed="false">
      <c r="I40" s="301" t="n">
        <v>35</v>
      </c>
      <c r="J40" s="232" t="s">
        <v>3617</v>
      </c>
      <c r="K40" s="233" t="s">
        <v>3603</v>
      </c>
      <c r="L40" s="232" t="s">
        <v>3176</v>
      </c>
      <c r="M40" s="54" t="n">
        <v>35.88</v>
      </c>
      <c r="N40" s="55"/>
      <c r="O40" s="56" t="str">
        <f aca="false">IF(ISBLANK(N40),"",IF(ISNUMBER(M40),ROUND(M40*N40,2),"Укажите цену"))</f>
        <v/>
      </c>
    </row>
    <row r="41" customFormat="false" ht="32" hidden="false" customHeight="true" outlineLevel="2" collapsed="false">
      <c r="I41" s="301" t="n">
        <v>36</v>
      </c>
      <c r="J41" s="232" t="s">
        <v>3617</v>
      </c>
      <c r="K41" s="233" t="s">
        <v>3589</v>
      </c>
      <c r="L41" s="232" t="s">
        <v>3176</v>
      </c>
      <c r="M41" s="54" t="n">
        <v>35.88</v>
      </c>
      <c r="N41" s="55"/>
      <c r="O41" s="56" t="str">
        <f aca="false">IF(ISBLANK(N41),"",IF(ISNUMBER(M41),ROUND(M41*N41,2),"Укажите цену"))</f>
        <v/>
      </c>
    </row>
    <row r="42" customFormat="false" ht="32" hidden="false" customHeight="true" outlineLevel="2" collapsed="false">
      <c r="I42" s="301" t="n">
        <v>37</v>
      </c>
      <c r="J42" s="232" t="s">
        <v>3617</v>
      </c>
      <c r="K42" s="233" t="s">
        <v>3604</v>
      </c>
      <c r="L42" s="232" t="s">
        <v>3176</v>
      </c>
      <c r="M42" s="54" t="n">
        <v>35.88</v>
      </c>
      <c r="N42" s="55"/>
      <c r="O42" s="56" t="str">
        <f aca="false">IF(ISBLANK(N42),"",IF(ISNUMBER(M42),ROUND(M42*N42,2),"Укажите цену"))</f>
        <v/>
      </c>
    </row>
    <row r="43" customFormat="false" ht="32" hidden="false" customHeight="true" outlineLevel="2" collapsed="false">
      <c r="I43" s="301" t="n">
        <v>38</v>
      </c>
      <c r="J43" s="232" t="s">
        <v>3617</v>
      </c>
      <c r="K43" s="233" t="s">
        <v>3605</v>
      </c>
      <c r="L43" s="232" t="s">
        <v>3176</v>
      </c>
      <c r="M43" s="54" t="n">
        <v>35.88</v>
      </c>
      <c r="N43" s="55"/>
      <c r="O43" s="56" t="str">
        <f aca="false">IF(ISBLANK(N43),"",IF(ISNUMBER(M43),ROUND(M43*N43,2),"Укажите цену"))</f>
        <v/>
      </c>
    </row>
    <row r="44" customFormat="false" ht="32" hidden="false" customHeight="true" outlineLevel="2" collapsed="false">
      <c r="I44" s="301" t="n">
        <v>39</v>
      </c>
      <c r="J44" s="232" t="s">
        <v>3617</v>
      </c>
      <c r="K44" s="233" t="s">
        <v>3308</v>
      </c>
      <c r="L44" s="232" t="s">
        <v>3176</v>
      </c>
      <c r="M44" s="54" t="n">
        <v>35.88</v>
      </c>
      <c r="N44" s="55"/>
      <c r="O44" s="56" t="str">
        <f aca="false">IF(ISBLANK(N44),"",IF(ISNUMBER(M44),ROUND(M44*N44,2),"Укажите цену"))</f>
        <v/>
      </c>
    </row>
    <row r="45" customFormat="false" ht="32" hidden="false" customHeight="true" outlineLevel="2" collapsed="false">
      <c r="I45" s="301" t="n">
        <v>40</v>
      </c>
      <c r="J45" s="232" t="s">
        <v>3617</v>
      </c>
      <c r="K45" s="233" t="s">
        <v>3335</v>
      </c>
      <c r="L45" s="232" t="s">
        <v>3176</v>
      </c>
      <c r="M45" s="54" t="n">
        <v>35.88</v>
      </c>
      <c r="N45" s="55"/>
      <c r="O45" s="56" t="str">
        <f aca="false">IF(ISBLANK(N45),"",IF(ISNUMBER(M45),ROUND(M45*N45,2),"Укажите цену"))</f>
        <v/>
      </c>
    </row>
    <row r="46" customFormat="false" ht="32" hidden="false" customHeight="true" outlineLevel="2" collapsed="false">
      <c r="I46" s="301" t="n">
        <v>41</v>
      </c>
      <c r="J46" s="232" t="s">
        <v>3617</v>
      </c>
      <c r="K46" s="233" t="s">
        <v>3606</v>
      </c>
      <c r="L46" s="232" t="s">
        <v>3176</v>
      </c>
      <c r="M46" s="54" t="n">
        <v>35.88</v>
      </c>
      <c r="N46" s="55"/>
      <c r="O46" s="56" t="str">
        <f aca="false">IF(ISBLANK(N46),"",IF(ISNUMBER(M46),ROUND(M46*N46,2),"Укажите цену"))</f>
        <v/>
      </c>
    </row>
    <row r="47" customFormat="false" ht="32" hidden="false" customHeight="true" outlineLevel="2" collapsed="false">
      <c r="I47" s="301" t="n">
        <v>42</v>
      </c>
      <c r="J47" s="232" t="s">
        <v>3617</v>
      </c>
      <c r="K47" s="233" t="s">
        <v>3590</v>
      </c>
      <c r="L47" s="232" t="s">
        <v>3176</v>
      </c>
      <c r="M47" s="54" t="n">
        <v>35.88</v>
      </c>
      <c r="N47" s="55"/>
      <c r="O47" s="56" t="str">
        <f aca="false">IF(ISBLANK(N47),"",IF(ISNUMBER(M47),ROUND(M47*N47,2),"Укажите цену"))</f>
        <v/>
      </c>
    </row>
    <row r="48" customFormat="false" ht="32" hidden="false" customHeight="true" outlineLevel="2" collapsed="false">
      <c r="I48" s="301" t="n">
        <v>43</v>
      </c>
      <c r="J48" s="232" t="s">
        <v>3617</v>
      </c>
      <c r="K48" s="233" t="s">
        <v>3579</v>
      </c>
      <c r="L48" s="232" t="s">
        <v>3176</v>
      </c>
      <c r="M48" s="54" t="n">
        <v>35.88</v>
      </c>
      <c r="N48" s="55"/>
      <c r="O48" s="56" t="str">
        <f aca="false">IF(ISBLANK(N48),"",IF(ISNUMBER(M48),ROUND(M48*N48,2),"Укажите цену"))</f>
        <v/>
      </c>
    </row>
    <row r="49" customFormat="false" ht="32" hidden="false" customHeight="true" outlineLevel="2" collapsed="false">
      <c r="I49" s="301" t="n">
        <v>44</v>
      </c>
      <c r="J49" s="232" t="s">
        <v>3617</v>
      </c>
      <c r="K49" s="233" t="s">
        <v>3591</v>
      </c>
      <c r="L49" s="232" t="s">
        <v>3176</v>
      </c>
      <c r="M49" s="54" t="n">
        <v>35.88</v>
      </c>
      <c r="N49" s="55"/>
      <c r="O49" s="56" t="str">
        <f aca="false">IF(ISBLANK(N49),"",IF(ISNUMBER(M49),ROUND(M49*N49,2),"Укажите цену"))</f>
        <v/>
      </c>
    </row>
    <row r="50" customFormat="false" ht="32" hidden="false" customHeight="true" outlineLevel="2" collapsed="false">
      <c r="I50" s="301" t="n">
        <v>45</v>
      </c>
      <c r="J50" s="232" t="s">
        <v>3617</v>
      </c>
      <c r="K50" s="233" t="s">
        <v>3583</v>
      </c>
      <c r="L50" s="232" t="s">
        <v>3176</v>
      </c>
      <c r="M50" s="54" t="n">
        <v>35.88</v>
      </c>
      <c r="N50" s="55"/>
      <c r="O50" s="56" t="str">
        <f aca="false">IF(ISBLANK(N50),"",IF(ISNUMBER(M50),ROUND(M50*N50,2),"Укажите цену"))</f>
        <v/>
      </c>
    </row>
    <row r="51" customFormat="false" ht="32" hidden="false" customHeight="true" outlineLevel="2" collapsed="false">
      <c r="I51" s="301" t="n">
        <v>46</v>
      </c>
      <c r="J51" s="232" t="s">
        <v>3617</v>
      </c>
      <c r="K51" s="233" t="s">
        <v>3592</v>
      </c>
      <c r="L51" s="232" t="s">
        <v>3176</v>
      </c>
      <c r="M51" s="54" t="n">
        <v>35.88</v>
      </c>
      <c r="N51" s="55"/>
      <c r="O51" s="56" t="str">
        <f aca="false">IF(ISBLANK(N51),"",IF(ISNUMBER(M51),ROUND(M51*N51,2),"Укажите цену"))</f>
        <v/>
      </c>
    </row>
    <row r="52" customFormat="false" ht="32" hidden="false" customHeight="true" outlineLevel="2" collapsed="false">
      <c r="I52" s="301" t="n">
        <v>47</v>
      </c>
      <c r="J52" s="232" t="s">
        <v>3617</v>
      </c>
      <c r="K52" s="233" t="s">
        <v>3585</v>
      </c>
      <c r="L52" s="232" t="s">
        <v>3176</v>
      </c>
      <c r="M52" s="54" t="n">
        <v>35.88</v>
      </c>
      <c r="N52" s="55"/>
      <c r="O52" s="56" t="str">
        <f aca="false">IF(ISBLANK(N52),"",IF(ISNUMBER(M52),ROUND(M52*N52,2),"Укажите цену"))</f>
        <v/>
      </c>
    </row>
    <row r="53" customFormat="false" ht="30" hidden="false" customHeight="true" outlineLevel="1" collapsed="false">
      <c r="I53" s="109"/>
      <c r="J53" s="109"/>
      <c r="K53" s="109"/>
      <c r="L53" s="109"/>
      <c r="M53" s="109" t="s">
        <v>633</v>
      </c>
      <c r="N53" s="109"/>
      <c r="O53" s="109" t="n">
        <f aca="false">IF(COUNTIFS(O28:O52,"Укажите цену")&gt;0,"Укажите цены",SUM(O28:O52))</f>
        <v>0</v>
      </c>
    </row>
    <row r="54" customFormat="false" ht="27" hidden="false" customHeight="true" outlineLevel="1" collapsed="false">
      <c r="A54" s="49"/>
      <c r="B54" s="49"/>
      <c r="C54" s="49"/>
      <c r="D54" s="49"/>
      <c r="E54" s="49"/>
      <c r="F54" s="49"/>
      <c r="G54" s="49"/>
      <c r="I54" s="265" t="s">
        <v>63</v>
      </c>
      <c r="J54" s="265"/>
      <c r="K54" s="265"/>
      <c r="L54" s="265"/>
      <c r="M54" s="265"/>
      <c r="N54" s="265"/>
      <c r="O54" s="265"/>
    </row>
    <row r="55" customFormat="false" ht="32" hidden="false" customHeight="true" outlineLevel="2" collapsed="false">
      <c r="I55" s="301" t="n">
        <v>48</v>
      </c>
      <c r="J55" s="232" t="s">
        <v>3623</v>
      </c>
      <c r="K55" s="233" t="s">
        <v>3608</v>
      </c>
      <c r="L55" s="232" t="s">
        <v>3176</v>
      </c>
      <c r="M55" s="54" t="n">
        <v>45.67</v>
      </c>
      <c r="N55" s="55"/>
      <c r="O55" s="56" t="str">
        <f aca="false">IF(ISBLANK(N55),"",IF(ISNUMBER(M55),ROUND(M55*N55,2),"Укажите цену"))</f>
        <v/>
      </c>
    </row>
    <row r="56" customFormat="false" ht="32" hidden="false" customHeight="true" outlineLevel="2" collapsed="false">
      <c r="I56" s="301" t="n">
        <v>49</v>
      </c>
      <c r="J56" s="232" t="s">
        <v>3623</v>
      </c>
      <c r="K56" s="233" t="s">
        <v>3609</v>
      </c>
      <c r="L56" s="232" t="s">
        <v>3176</v>
      </c>
      <c r="M56" s="54" t="n">
        <v>45.67</v>
      </c>
      <c r="N56" s="55"/>
      <c r="O56" s="56" t="str">
        <f aca="false">IF(ISBLANK(N56),"",IF(ISNUMBER(M56),ROUND(M56*N56,2),"Укажите цену"))</f>
        <v/>
      </c>
    </row>
    <row r="57" customFormat="false" ht="32" hidden="false" customHeight="true" outlineLevel="2" collapsed="false">
      <c r="I57" s="301" t="n">
        <v>50</v>
      </c>
      <c r="J57" s="232" t="s">
        <v>3623</v>
      </c>
      <c r="K57" s="233" t="s">
        <v>3610</v>
      </c>
      <c r="L57" s="232" t="s">
        <v>3176</v>
      </c>
      <c r="M57" s="54" t="n">
        <v>45.67</v>
      </c>
      <c r="N57" s="55"/>
      <c r="O57" s="56" t="str">
        <f aca="false">IF(ISBLANK(N57),"",IF(ISNUMBER(M57),ROUND(M57*N57,2),"Укажите цену"))</f>
        <v/>
      </c>
    </row>
    <row r="58" customFormat="false" ht="32" hidden="false" customHeight="true" outlineLevel="2" collapsed="false">
      <c r="I58" s="301" t="n">
        <v>51</v>
      </c>
      <c r="J58" s="232" t="s">
        <v>3623</v>
      </c>
      <c r="K58" s="233" t="s">
        <v>3611</v>
      </c>
      <c r="L58" s="232" t="s">
        <v>3176</v>
      </c>
      <c r="M58" s="54" t="n">
        <v>45.67</v>
      </c>
      <c r="N58" s="55"/>
      <c r="O58" s="56" t="str">
        <f aca="false">IF(ISBLANK(N58),"",IF(ISNUMBER(M58),ROUND(M58*N58,2),"Укажите цену"))</f>
        <v/>
      </c>
    </row>
    <row r="59" customFormat="false" ht="32" hidden="false" customHeight="true" outlineLevel="2" collapsed="false">
      <c r="I59" s="301" t="n">
        <v>52</v>
      </c>
      <c r="J59" s="232" t="s">
        <v>3623</v>
      </c>
      <c r="K59" s="233" t="s">
        <v>3316</v>
      </c>
      <c r="L59" s="232" t="s">
        <v>3176</v>
      </c>
      <c r="M59" s="54" t="n">
        <v>45.67</v>
      </c>
      <c r="N59" s="55"/>
      <c r="O59" s="56" t="str">
        <f aca="false">IF(ISBLANK(N59),"",IF(ISNUMBER(M59),ROUND(M59*N59,2),"Укажите цену"))</f>
        <v/>
      </c>
    </row>
    <row r="60" customFormat="false" ht="32" hidden="false" customHeight="true" outlineLevel="2" collapsed="false">
      <c r="I60" s="301" t="n">
        <v>53</v>
      </c>
      <c r="J60" s="232" t="s">
        <v>3623</v>
      </c>
      <c r="K60" s="233" t="s">
        <v>3344</v>
      </c>
      <c r="L60" s="232" t="s">
        <v>3176</v>
      </c>
      <c r="M60" s="54" t="n">
        <v>45.67</v>
      </c>
      <c r="N60" s="55"/>
      <c r="O60" s="56" t="str">
        <f aca="false">IF(ISBLANK(N60),"",IF(ISNUMBER(M60),ROUND(M60*N60,2),"Укажите цену"))</f>
        <v/>
      </c>
    </row>
    <row r="61" customFormat="false" ht="32" hidden="false" customHeight="true" outlineLevel="2" collapsed="false">
      <c r="I61" s="301" t="n">
        <v>54</v>
      </c>
      <c r="J61" s="232" t="s">
        <v>3623</v>
      </c>
      <c r="K61" s="233" t="s">
        <v>3606</v>
      </c>
      <c r="L61" s="232" t="s">
        <v>3176</v>
      </c>
      <c r="M61" s="54" t="n">
        <v>48.93</v>
      </c>
      <c r="N61" s="55"/>
      <c r="O61" s="56" t="str">
        <f aca="false">IF(ISBLANK(N61),"",IF(ISNUMBER(M61),ROUND(M61*N61,2),"Укажите цену"))</f>
        <v/>
      </c>
    </row>
    <row r="62" customFormat="false" ht="32" hidden="false" customHeight="true" outlineLevel="2" collapsed="false">
      <c r="I62" s="301" t="n">
        <v>55</v>
      </c>
      <c r="J62" s="232" t="s">
        <v>3623</v>
      </c>
      <c r="K62" s="233" t="s">
        <v>3612</v>
      </c>
      <c r="L62" s="232" t="s">
        <v>3176</v>
      </c>
      <c r="M62" s="54" t="n">
        <v>45.67</v>
      </c>
      <c r="N62" s="55"/>
      <c r="O62" s="56" t="str">
        <f aca="false">IF(ISBLANK(N62),"",IF(ISNUMBER(M62),ROUND(M62*N62,2),"Укажите цену"))</f>
        <v/>
      </c>
    </row>
    <row r="63" customFormat="false" ht="32" hidden="false" customHeight="true" outlineLevel="2" collapsed="false">
      <c r="I63" s="301" t="n">
        <v>56</v>
      </c>
      <c r="J63" s="232" t="s">
        <v>3623</v>
      </c>
      <c r="K63" s="233" t="s">
        <v>3613</v>
      </c>
      <c r="L63" s="232" t="s">
        <v>3176</v>
      </c>
      <c r="M63" s="54" t="n">
        <v>45.67</v>
      </c>
      <c r="N63" s="55"/>
      <c r="O63" s="56" t="str">
        <f aca="false">IF(ISBLANK(N63),"",IF(ISNUMBER(M63),ROUND(M63*N63,2),"Укажите цену"))</f>
        <v/>
      </c>
    </row>
    <row r="64" customFormat="false" ht="32" hidden="false" customHeight="true" outlineLevel="2" collapsed="false">
      <c r="I64" s="301" t="n">
        <v>57</v>
      </c>
      <c r="J64" s="232" t="s">
        <v>3623</v>
      </c>
      <c r="K64" s="233" t="s">
        <v>3614</v>
      </c>
      <c r="L64" s="232" t="s">
        <v>3176</v>
      </c>
      <c r="M64" s="54" t="n">
        <v>45.67</v>
      </c>
      <c r="N64" s="55"/>
      <c r="O64" s="56" t="str">
        <f aca="false">IF(ISBLANK(N64),"",IF(ISNUMBER(M64),ROUND(M64*N64,2),"Укажите цену"))</f>
        <v/>
      </c>
    </row>
    <row r="65" customFormat="false" ht="32" hidden="false" customHeight="true" outlineLevel="2" collapsed="false">
      <c r="I65" s="301" t="n">
        <v>58</v>
      </c>
      <c r="J65" s="232" t="s">
        <v>3623</v>
      </c>
      <c r="K65" s="233" t="s">
        <v>3615</v>
      </c>
      <c r="L65" s="232" t="s">
        <v>3176</v>
      </c>
      <c r="M65" s="54" t="n">
        <v>45.67</v>
      </c>
      <c r="N65" s="55"/>
      <c r="O65" s="56" t="str">
        <f aca="false">IF(ISBLANK(N65),"",IF(ISNUMBER(M65),ROUND(M65*N65,2),"Укажите цену"))</f>
        <v/>
      </c>
    </row>
    <row r="66" customFormat="false" ht="32" hidden="false" customHeight="true" outlineLevel="2" collapsed="false">
      <c r="I66" s="301" t="n">
        <v>59</v>
      </c>
      <c r="J66" s="232" t="s">
        <v>3623</v>
      </c>
      <c r="K66" s="233" t="s">
        <v>3326</v>
      </c>
      <c r="L66" s="232" t="s">
        <v>3176</v>
      </c>
      <c r="M66" s="54" t="n">
        <v>45.67</v>
      </c>
      <c r="N66" s="55"/>
      <c r="O66" s="56" t="str">
        <f aca="false">IF(ISBLANK(N66),"",IF(ISNUMBER(M66),ROUND(M66*N66,2),"Укажите цену"))</f>
        <v/>
      </c>
    </row>
    <row r="67" customFormat="false" ht="32" hidden="false" customHeight="true" outlineLevel="2" collapsed="false">
      <c r="I67" s="301" t="n">
        <v>60</v>
      </c>
      <c r="J67" s="232" t="s">
        <v>3623</v>
      </c>
      <c r="K67" s="233" t="s">
        <v>3353</v>
      </c>
      <c r="L67" s="232" t="s">
        <v>3176</v>
      </c>
      <c r="M67" s="54" t="n">
        <v>45.67</v>
      </c>
      <c r="N67" s="55"/>
      <c r="O67" s="56" t="str">
        <f aca="false">IF(ISBLANK(N67),"",IF(ISNUMBER(M67),ROUND(M67*N67,2),"Укажите цену"))</f>
        <v/>
      </c>
    </row>
    <row r="68" customFormat="false" ht="32" hidden="false" customHeight="true" outlineLevel="2" collapsed="false">
      <c r="I68" s="301" t="n">
        <v>61</v>
      </c>
      <c r="J68" s="232" t="s">
        <v>3623</v>
      </c>
      <c r="K68" s="233" t="s">
        <v>3616</v>
      </c>
      <c r="L68" s="232" t="s">
        <v>3176</v>
      </c>
      <c r="M68" s="54" t="n">
        <v>48.93</v>
      </c>
      <c r="N68" s="55"/>
      <c r="O68" s="56" t="str">
        <f aca="false">IF(ISBLANK(N68),"",IF(ISNUMBER(M68),ROUND(M68*N68,2),"Укажите цену"))</f>
        <v/>
      </c>
    </row>
    <row r="69" customFormat="false" ht="32" hidden="false" customHeight="true" outlineLevel="2" collapsed="false">
      <c r="I69" s="301" t="n">
        <v>62</v>
      </c>
      <c r="J69" s="232" t="s">
        <v>3623</v>
      </c>
      <c r="K69" s="233" t="s">
        <v>3618</v>
      </c>
      <c r="L69" s="232" t="s">
        <v>3176</v>
      </c>
      <c r="M69" s="54" t="n">
        <v>45.67</v>
      </c>
      <c r="N69" s="55"/>
      <c r="O69" s="56" t="str">
        <f aca="false">IF(ISBLANK(N69),"",IF(ISNUMBER(M69),ROUND(M69*N69,2),"Укажите цену"))</f>
        <v/>
      </c>
    </row>
    <row r="70" customFormat="false" ht="32" hidden="false" customHeight="true" outlineLevel="2" collapsed="false">
      <c r="I70" s="301" t="n">
        <v>63</v>
      </c>
      <c r="J70" s="232" t="s">
        <v>3623</v>
      </c>
      <c r="K70" s="233" t="s">
        <v>3619</v>
      </c>
      <c r="L70" s="232" t="s">
        <v>3176</v>
      </c>
      <c r="M70" s="54" t="n">
        <v>45.67</v>
      </c>
      <c r="N70" s="55"/>
      <c r="O70" s="56" t="str">
        <f aca="false">IF(ISBLANK(N70),"",IF(ISNUMBER(M70),ROUND(M70*N70,2),"Укажите цену"))</f>
        <v/>
      </c>
    </row>
    <row r="71" customFormat="false" ht="32" hidden="false" customHeight="true" outlineLevel="2" collapsed="false">
      <c r="I71" s="301" t="n">
        <v>64</v>
      </c>
      <c r="J71" s="232" t="s">
        <v>3623</v>
      </c>
      <c r="K71" s="233" t="s">
        <v>3620</v>
      </c>
      <c r="L71" s="232" t="s">
        <v>3176</v>
      </c>
      <c r="M71" s="54" t="n">
        <v>45.67</v>
      </c>
      <c r="N71" s="55"/>
      <c r="O71" s="56" t="str">
        <f aca="false">IF(ISBLANK(N71),"",IF(ISNUMBER(M71),ROUND(M71*N71,2),"Укажите цену"))</f>
        <v/>
      </c>
    </row>
    <row r="72" customFormat="false" ht="32" hidden="false" customHeight="true" outlineLevel="2" collapsed="false">
      <c r="I72" s="301" t="n">
        <v>65</v>
      </c>
      <c r="J72" s="232" t="s">
        <v>3623</v>
      </c>
      <c r="K72" s="233" t="s">
        <v>3588</v>
      </c>
      <c r="L72" s="232" t="s">
        <v>3176</v>
      </c>
      <c r="M72" s="54" t="n">
        <v>45.67</v>
      </c>
      <c r="N72" s="55"/>
      <c r="O72" s="56" t="str">
        <f aca="false">IF(ISBLANK(N72),"",IF(ISNUMBER(M72),ROUND(M72*N72,2),"Укажите цену"))</f>
        <v/>
      </c>
    </row>
    <row r="73" customFormat="false" ht="32" hidden="false" customHeight="true" outlineLevel="2" collapsed="false">
      <c r="I73" s="301" t="n">
        <v>66</v>
      </c>
      <c r="J73" s="232" t="s">
        <v>3623</v>
      </c>
      <c r="K73" s="233" t="s">
        <v>3335</v>
      </c>
      <c r="L73" s="232" t="s">
        <v>3176</v>
      </c>
      <c r="M73" s="54" t="n">
        <v>45.67</v>
      </c>
      <c r="N73" s="55"/>
      <c r="O73" s="56" t="str">
        <f aca="false">IF(ISBLANK(N73),"",IF(ISNUMBER(M73),ROUND(M73*N73,2),"Укажите цену"))</f>
        <v/>
      </c>
    </row>
    <row r="74" customFormat="false" ht="32" hidden="false" customHeight="true" outlineLevel="2" collapsed="false">
      <c r="I74" s="301" t="n">
        <v>67</v>
      </c>
      <c r="J74" s="232" t="s">
        <v>3623</v>
      </c>
      <c r="K74" s="233" t="s">
        <v>3582</v>
      </c>
      <c r="L74" s="232" t="s">
        <v>3176</v>
      </c>
      <c r="M74" s="54" t="n">
        <v>45.67</v>
      </c>
      <c r="N74" s="55"/>
      <c r="O74" s="56" t="str">
        <f aca="false">IF(ISBLANK(N74),"",IF(ISNUMBER(M74),ROUND(M74*N74,2),"Укажите цену"))</f>
        <v/>
      </c>
    </row>
    <row r="75" customFormat="false" ht="32" hidden="false" customHeight="true" outlineLevel="2" collapsed="false">
      <c r="I75" s="301" t="n">
        <v>68</v>
      </c>
      <c r="J75" s="232" t="s">
        <v>3623</v>
      </c>
      <c r="K75" s="233" t="s">
        <v>3583</v>
      </c>
      <c r="L75" s="232" t="s">
        <v>3176</v>
      </c>
      <c r="M75" s="54" t="n">
        <v>48.93</v>
      </c>
      <c r="N75" s="55"/>
      <c r="O75" s="56" t="str">
        <f aca="false">IF(ISBLANK(N75),"",IF(ISNUMBER(M75),ROUND(M75*N75,2),"Укажите цену"))</f>
        <v/>
      </c>
    </row>
    <row r="76" customFormat="false" ht="32" hidden="false" customHeight="true" outlineLevel="2" collapsed="false">
      <c r="I76" s="301" t="n">
        <v>69</v>
      </c>
      <c r="J76" s="232" t="s">
        <v>3623</v>
      </c>
      <c r="K76" s="233" t="s">
        <v>3621</v>
      </c>
      <c r="L76" s="232" t="s">
        <v>3176</v>
      </c>
      <c r="M76" s="54" t="n">
        <v>45.67</v>
      </c>
      <c r="N76" s="55"/>
      <c r="O76" s="56" t="str">
        <f aca="false">IF(ISBLANK(N76),"",IF(ISNUMBER(M76),ROUND(M76*N76,2),"Укажите цену"))</f>
        <v/>
      </c>
    </row>
    <row r="77" customFormat="false" ht="32" hidden="false" customHeight="true" outlineLevel="2" collapsed="false">
      <c r="I77" s="301" t="n">
        <v>70</v>
      </c>
      <c r="J77" s="232" t="s">
        <v>3623</v>
      </c>
      <c r="K77" s="233" t="s">
        <v>3622</v>
      </c>
      <c r="L77" s="232" t="s">
        <v>3176</v>
      </c>
      <c r="M77" s="54" t="n">
        <v>45.67</v>
      </c>
      <c r="N77" s="55"/>
      <c r="O77" s="56" t="str">
        <f aca="false">IF(ISBLANK(N77),"",IF(ISNUMBER(M77),ROUND(M77*N77,2),"Укажите цену"))</f>
        <v/>
      </c>
    </row>
    <row r="78" customFormat="false" ht="32" hidden="false" customHeight="true" outlineLevel="2" collapsed="false">
      <c r="I78" s="301" t="n">
        <v>71</v>
      </c>
      <c r="J78" s="232" t="s">
        <v>3623</v>
      </c>
      <c r="K78" s="233" t="s">
        <v>3371</v>
      </c>
      <c r="L78" s="232" t="s">
        <v>3176</v>
      </c>
      <c r="M78" s="54" t="n">
        <v>45.67</v>
      </c>
      <c r="N78" s="55"/>
      <c r="O78" s="56" t="str">
        <f aca="false">IF(ISBLANK(N78),"",IF(ISNUMBER(M78),ROUND(M78*N78,2),"Укажите цену"))</f>
        <v/>
      </c>
    </row>
    <row r="79" customFormat="false" ht="32" hidden="false" customHeight="true" outlineLevel="2" collapsed="false">
      <c r="I79" s="301" t="n">
        <v>72</v>
      </c>
      <c r="J79" s="232" t="s">
        <v>3623</v>
      </c>
      <c r="K79" s="233" t="s">
        <v>3585</v>
      </c>
      <c r="L79" s="232" t="s">
        <v>3176</v>
      </c>
      <c r="M79" s="54" t="n">
        <v>48.93</v>
      </c>
      <c r="N79" s="55"/>
      <c r="O79" s="56" t="str">
        <f aca="false">IF(ISBLANK(N79),"",IF(ISNUMBER(M79),ROUND(M79*N79,2),"Укажите цену"))</f>
        <v/>
      </c>
    </row>
    <row r="80" customFormat="false" ht="32" hidden="false" customHeight="true" outlineLevel="2" collapsed="false">
      <c r="I80" s="301" t="n">
        <v>73</v>
      </c>
      <c r="J80" s="232" t="s">
        <v>3623</v>
      </c>
      <c r="K80" s="233" t="s">
        <v>3598</v>
      </c>
      <c r="L80" s="232" t="s">
        <v>3176</v>
      </c>
      <c r="M80" s="54" t="n">
        <v>52.19</v>
      </c>
      <c r="N80" s="55"/>
      <c r="O80" s="56" t="str">
        <f aca="false">IF(ISBLANK(N80),"",IF(ISNUMBER(M80),ROUND(M80*N80,2),"Укажите цену"))</f>
        <v/>
      </c>
    </row>
    <row r="81" customFormat="false" ht="32" hidden="false" customHeight="true" outlineLevel="2" collapsed="false">
      <c r="I81" s="301" t="n">
        <v>74</v>
      </c>
      <c r="J81" s="232" t="s">
        <v>3623</v>
      </c>
      <c r="K81" s="233" t="s">
        <v>3589</v>
      </c>
      <c r="L81" s="232" t="s">
        <v>3176</v>
      </c>
      <c r="M81" s="54" t="n">
        <v>52.19</v>
      </c>
      <c r="N81" s="55"/>
      <c r="O81" s="56" t="str">
        <f aca="false">IF(ISBLANK(N81),"",IF(ISNUMBER(M81),ROUND(M81*N81,2),"Укажите цену"))</f>
        <v/>
      </c>
    </row>
    <row r="82" customFormat="false" ht="32" hidden="false" customHeight="true" outlineLevel="2" collapsed="false">
      <c r="I82" s="301" t="n">
        <v>75</v>
      </c>
      <c r="J82" s="232" t="s">
        <v>3623</v>
      </c>
      <c r="K82" s="233" t="s">
        <v>3590</v>
      </c>
      <c r="L82" s="232" t="s">
        <v>3176</v>
      </c>
      <c r="M82" s="54" t="n">
        <v>52.19</v>
      </c>
      <c r="N82" s="55"/>
      <c r="O82" s="56" t="str">
        <f aca="false">IF(ISBLANK(N82),"",IF(ISNUMBER(M82),ROUND(M82*N82,2),"Укажите цену"))</f>
        <v/>
      </c>
    </row>
    <row r="83" customFormat="false" ht="32" hidden="false" customHeight="true" outlineLevel="2" collapsed="false">
      <c r="I83" s="301" t="n">
        <v>76</v>
      </c>
      <c r="J83" s="232" t="s">
        <v>3623</v>
      </c>
      <c r="K83" s="233" t="s">
        <v>3591</v>
      </c>
      <c r="L83" s="232" t="s">
        <v>3176</v>
      </c>
      <c r="M83" s="54" t="n">
        <v>52.19</v>
      </c>
      <c r="N83" s="55"/>
      <c r="O83" s="56" t="str">
        <f aca="false">IF(ISBLANK(N83),"",IF(ISNUMBER(M83),ROUND(M83*N83,2),"Укажите цену"))</f>
        <v/>
      </c>
    </row>
    <row r="84" customFormat="false" ht="32" hidden="false" customHeight="true" outlineLevel="2" collapsed="false">
      <c r="I84" s="301" t="n">
        <v>77</v>
      </c>
      <c r="J84" s="232" t="s">
        <v>3623</v>
      </c>
      <c r="K84" s="233" t="s">
        <v>3592</v>
      </c>
      <c r="L84" s="232" t="s">
        <v>3176</v>
      </c>
      <c r="M84" s="54" t="n">
        <v>52.19</v>
      </c>
      <c r="N84" s="55"/>
      <c r="O84" s="56" t="str">
        <f aca="false">IF(ISBLANK(N84),"",IF(ISNUMBER(M84),ROUND(M84*N84,2),"Укажите цену"))</f>
        <v/>
      </c>
    </row>
    <row r="85" customFormat="false" ht="30" hidden="false" customHeight="true" outlineLevel="1" collapsed="false">
      <c r="I85" s="109"/>
      <c r="J85" s="109"/>
      <c r="K85" s="109"/>
      <c r="L85" s="109"/>
      <c r="M85" s="109" t="s">
        <v>633</v>
      </c>
      <c r="N85" s="109"/>
      <c r="O85" s="109" t="n">
        <f aca="false">IF(COUNTIFS(O55:O84,"Укажите цену")&gt;0,"Укажите цены",SUM(O55:O84))</f>
        <v>0</v>
      </c>
    </row>
    <row r="86" customFormat="false" ht="15" hidden="false" customHeight="true" outlineLevel="0" collapsed="false"/>
    <row r="87" customFormat="false" ht="15" hidden="false" customHeight="true" outlineLevel="0" collapsed="false"/>
    <row r="88" customFormat="false" ht="15" hidden="false" customHeight="true" outlineLevel="0" collapsed="false"/>
    <row r="89" customFormat="false" ht="15" hidden="false" customHeight="true" outlineLevel="0" collapsed="false"/>
    <row r="90" customFormat="false" ht="15" hidden="false" customHeight="true" outlineLevel="0" collapsed="false"/>
    <row r="91" customFormat="false" ht="15" hidden="false" customHeight="true" outlineLevel="0" collapsed="false"/>
    <row r="92" customFormat="false" ht="15" hidden="false" customHeight="true" outlineLevel="0" collapsed="false"/>
    <row r="93" customFormat="false" ht="15" hidden="false" customHeight="true" outlineLevel="0" collapsed="false"/>
    <row r="94" customFormat="false" ht="15" hidden="false" customHeight="true" outlineLevel="0" collapsed="false"/>
    <row r="95" customFormat="false" ht="15" hidden="false" customHeight="true" outlineLevel="0" collapsed="false"/>
    <row r="96" customFormat="false" ht="15" hidden="false" customHeight="true" outlineLevel="0" collapsed="false"/>
    <row r="97" customFormat="false" ht="15" hidden="false" customHeight="true" outlineLevel="0" collapsed="false"/>
    <row r="98" customFormat="false" ht="15" hidden="false" customHeight="true" outlineLevel="0" collapsed="false"/>
    <row r="99" customFormat="false" ht="15" hidden="false" customHeight="true" outlineLevel="0" collapsed="false"/>
    <row r="100" customFormat="false" ht="15" hidden="false" customHeight="true" outlineLevel="0" collapsed="false"/>
    <row r="101" customFormat="false" ht="15" hidden="false" customHeight="true" outlineLevel="0" collapsed="false"/>
    <row r="102" customFormat="false" ht="15" hidden="false" customHeight="true" outlineLevel="0" collapsed="false"/>
    <row r="103" customFormat="false" ht="15" hidden="false" customHeight="true" outlineLevel="0" collapsed="false"/>
    <row r="104" customFormat="false" ht="15" hidden="false" customHeight="true" outlineLevel="0" collapsed="false"/>
    <row r="105" customFormat="false" ht="15" hidden="false" customHeight="true" outlineLevel="0" collapsed="false"/>
    <row r="106" customFormat="false" ht="15" hidden="false" customHeight="true" outlineLevel="0" collapsed="false"/>
    <row r="107" customFormat="false" ht="15" hidden="false" customHeight="true" outlineLevel="0" collapsed="false"/>
    <row r="108" customFormat="false" ht="15" hidden="false" customHeight="true" outlineLevel="0" collapsed="false"/>
    <row r="109" customFormat="false" ht="15" hidden="false" customHeight="true" outlineLevel="0" collapsed="false"/>
    <row r="110" customFormat="false" ht="15" hidden="false" customHeight="true" outlineLevel="0" collapsed="false"/>
    <row r="111" customFormat="false" ht="15" hidden="false" customHeight="true" outlineLevel="0" collapsed="false"/>
    <row r="112" customFormat="false" ht="15" hidden="false" customHeight="true" outlineLevel="0" collapsed="false"/>
    <row r="113" customFormat="false" ht="15" hidden="false" customHeight="true" outlineLevel="0" collapsed="false"/>
    <row r="114" customFormat="false" ht="15" hidden="false" customHeight="true" outlineLevel="0" collapsed="false"/>
    <row r="115" customFormat="false" ht="15" hidden="false" customHeight="true" outlineLevel="0" collapsed="false"/>
    <row r="116" customFormat="false" ht="15" hidden="false" customHeight="true" outlineLevel="0" collapsed="false"/>
    <row r="117" customFormat="false" ht="15" hidden="false" customHeight="true" outlineLevel="0" collapsed="false"/>
    <row r="118" customFormat="false" ht="15" hidden="false" customHeight="true" outlineLevel="0" collapsed="false"/>
    <row r="119" customFormat="false" ht="15" hidden="false" customHeight="true" outlineLevel="0" collapsed="false"/>
    <row r="120" customFormat="false" ht="15" hidden="false" customHeight="true" outlineLevel="0" collapsed="false"/>
    <row r="121" customFormat="false" ht="15" hidden="false" customHeight="true" outlineLevel="0" collapsed="false"/>
    <row r="122" customFormat="false" ht="15" hidden="false" customHeight="true" outlineLevel="0" collapsed="false"/>
    <row r="123" customFormat="false" ht="15" hidden="false" customHeight="true" outlineLevel="0" collapsed="false"/>
    <row r="124" customFormat="false" ht="15" hidden="false" customHeight="true" outlineLevel="0" collapsed="false"/>
    <row r="125" customFormat="false" ht="15" hidden="false" customHeight="true" outlineLevel="0" collapsed="false"/>
    <row r="126" customFormat="false" ht="15" hidden="false" customHeight="true" outlineLevel="0" collapsed="false"/>
    <row r="127" customFormat="false" ht="15" hidden="false" customHeight="true" outlineLevel="0" collapsed="false"/>
    <row r="128" customFormat="false" ht="15" hidden="false" customHeight="true" outlineLevel="0" collapsed="false"/>
    <row r="129" customFormat="false" ht="15" hidden="false" customHeight="true" outlineLevel="0" collapsed="false"/>
    <row r="130" customFormat="false" ht="15" hidden="false" customHeight="true" outlineLevel="0" collapsed="false"/>
    <row r="131" customFormat="false" ht="15" hidden="false" customHeight="true" outlineLevel="0" collapsed="false"/>
    <row r="132" customFormat="false" ht="15" hidden="false" customHeight="true" outlineLevel="0" collapsed="false"/>
    <row r="133" customFormat="false" ht="15" hidden="false" customHeight="true" outlineLevel="0" collapsed="false"/>
    <row r="134" customFormat="false" ht="15" hidden="false" customHeight="true" outlineLevel="0" collapsed="false"/>
    <row r="135" customFormat="false" ht="15" hidden="false" customHeight="true" outlineLevel="0" collapsed="false"/>
    <row r="136" customFormat="false" ht="15" hidden="false" customHeight="true" outlineLevel="0" collapsed="false"/>
    <row r="137" customFormat="false" ht="15" hidden="false" customHeight="true" outlineLevel="0" collapsed="false"/>
    <row r="138" customFormat="false" ht="15" hidden="false" customHeight="true" outlineLevel="0" collapsed="false"/>
    <row r="139" customFormat="false" ht="15" hidden="false" customHeight="true" outlineLevel="0" collapsed="false"/>
    <row r="140" customFormat="false" ht="15" hidden="false" customHeight="true" outlineLevel="0" collapsed="false"/>
    <row r="141" customFormat="false" ht="15" hidden="false" customHeight="true" outlineLevel="0" collapsed="false"/>
    <row r="142" customFormat="false" ht="15" hidden="false" customHeight="true" outlineLevel="0" collapsed="false"/>
    <row r="143" customFormat="false" ht="15" hidden="false" customHeight="true" outlineLevel="0" collapsed="false"/>
    <row r="144" customFormat="false" ht="15" hidden="false" customHeight="true" outlineLevel="0" collapsed="false"/>
    <row r="145" customFormat="false" ht="15" hidden="false" customHeight="true" outlineLevel="0" collapsed="false"/>
    <row r="146" customFormat="false" ht="15" hidden="false" customHeight="true" outlineLevel="0" collapsed="false"/>
    <row r="147" customFormat="false" ht="15" hidden="false" customHeight="true" outlineLevel="0" collapsed="false"/>
    <row r="148" customFormat="false" ht="15" hidden="false" customHeight="true" outlineLevel="0" collapsed="false"/>
    <row r="149" customFormat="false" ht="15" hidden="false" customHeight="true" outlineLevel="0" collapsed="false"/>
    <row r="150" customFormat="false" ht="15" hidden="false" customHeight="true" outlineLevel="0" collapsed="false"/>
    <row r="151" customFormat="false" ht="15" hidden="false" customHeight="true" outlineLevel="0" collapsed="false"/>
    <row r="152" customFormat="false" ht="15" hidden="false" customHeight="true" outlineLevel="0" collapsed="false"/>
    <row r="153" customFormat="false" ht="15" hidden="false" customHeight="true" outlineLevel="0" collapsed="false"/>
    <row r="154" customFormat="false" ht="15" hidden="false" customHeight="true" outlineLevel="0" collapsed="false"/>
    <row r="155" customFormat="false" ht="15" hidden="false" customHeight="true" outlineLevel="0" collapsed="false"/>
    <row r="156" customFormat="false" ht="15" hidden="false" customHeight="true" outlineLevel="0" collapsed="false"/>
    <row r="157" customFormat="false" ht="15" hidden="false" customHeight="true" outlineLevel="0" collapsed="false"/>
    <row r="158" customFormat="false" ht="15" hidden="false" customHeight="true" outlineLevel="0" collapsed="false"/>
    <row r="159" customFormat="false" ht="15" hidden="false" customHeight="true" outlineLevel="0" collapsed="false"/>
    <row r="160" customFormat="false" ht="15" hidden="false" customHeight="true" outlineLevel="0" collapsed="false"/>
    <row r="161" customFormat="false" ht="15" hidden="false" customHeight="true" outlineLevel="0" collapsed="false"/>
    <row r="162" customFormat="false" ht="15" hidden="false" customHeight="true" outlineLevel="0" collapsed="false"/>
    <row r="163" customFormat="false" ht="15" hidden="false" customHeight="true" outlineLevel="0" collapsed="false"/>
    <row r="164" customFormat="false" ht="15" hidden="false" customHeight="true" outlineLevel="0" collapsed="false"/>
    <row r="165" customFormat="false" ht="15" hidden="false" customHeight="true" outlineLevel="0" collapsed="false"/>
    <row r="166" customFormat="false" ht="15" hidden="false" customHeight="true" outlineLevel="0" collapsed="false"/>
    <row r="167" customFormat="false" ht="15" hidden="false" customHeight="true" outlineLevel="0" collapsed="false"/>
    <row r="168" customFormat="false" ht="15" hidden="false" customHeight="true" outlineLevel="0" collapsed="false"/>
    <row r="169" customFormat="false" ht="15" hidden="false" customHeight="true" outlineLevel="0" collapsed="false"/>
    <row r="170" customFormat="false" ht="15" hidden="false" customHeight="true" outlineLevel="0" collapsed="false"/>
    <row r="171" customFormat="false" ht="15" hidden="false" customHeight="true" outlineLevel="0" collapsed="false"/>
    <row r="172" customFormat="false" ht="15" hidden="false" customHeight="true" outlineLevel="0" collapsed="false"/>
    <row r="173" customFormat="false" ht="15" hidden="false" customHeight="true" outlineLevel="0" collapsed="false"/>
    <row r="174" customFormat="false" ht="15" hidden="false" customHeight="true" outlineLevel="0" collapsed="false"/>
    <row r="175" customFormat="false" ht="15" hidden="false" customHeight="true" outlineLevel="0" collapsed="false"/>
    <row r="176" customFormat="false" ht="15" hidden="false" customHeight="true" outlineLevel="0" collapsed="false"/>
    <row r="177" customFormat="false" ht="15" hidden="false" customHeight="true" outlineLevel="0" collapsed="false"/>
    <row r="178" customFormat="false" ht="15" hidden="false" customHeight="true" outlineLevel="0" collapsed="false"/>
    <row r="179" customFormat="false" ht="15" hidden="false" customHeight="true" outlineLevel="0" collapsed="false"/>
    <row r="180" customFormat="false" ht="15" hidden="false" customHeight="true" outlineLevel="0" collapsed="false"/>
    <row r="181" customFormat="false" ht="15" hidden="false" customHeight="true" outlineLevel="0" collapsed="false"/>
    <row r="182" customFormat="false" ht="15" hidden="false" customHeight="true" outlineLevel="0" collapsed="false"/>
    <row r="183" customFormat="false" ht="15" hidden="false" customHeight="true" outlineLevel="0" collapsed="false"/>
    <row r="184" customFormat="false" ht="15" hidden="false" customHeight="true" outlineLevel="0" collapsed="false"/>
    <row r="185" customFormat="false" ht="15" hidden="false" customHeight="true" outlineLevel="0" collapsed="false"/>
    <row r="186" customFormat="false" ht="15" hidden="false" customHeight="true" outlineLevel="0" collapsed="false"/>
    <row r="187" customFormat="false" ht="15" hidden="false" customHeight="true" outlineLevel="0" collapsed="false"/>
    <row r="188" customFormat="false" ht="15" hidden="false" customHeight="true" outlineLevel="0" collapsed="false"/>
    <row r="189" customFormat="false" ht="15" hidden="false" customHeight="true" outlineLevel="0" collapsed="false"/>
    <row r="190" customFormat="false" ht="15" hidden="false" customHeight="true" outlineLevel="0" collapsed="false"/>
    <row r="191" customFormat="false" ht="15" hidden="false" customHeight="true" outlineLevel="0" collapsed="false"/>
    <row r="192" customFormat="false" ht="15" hidden="false" customHeight="true" outlineLevel="0" collapsed="false"/>
    <row r="193" customFormat="false" ht="15" hidden="false" customHeight="true" outlineLevel="0" collapsed="false"/>
    <row r="194" customFormat="false" ht="15" hidden="false" customHeight="true" outlineLevel="0" collapsed="false"/>
    <row r="195" customFormat="false" ht="15" hidden="false" customHeight="true" outlineLevel="0" collapsed="false"/>
    <row r="196" customFormat="false" ht="15" hidden="false" customHeight="true" outlineLevel="0" collapsed="false"/>
    <row r="197" customFormat="false" ht="15" hidden="false" customHeight="true" outlineLevel="0" collapsed="false"/>
    <row r="198" customFormat="false" ht="15" hidden="false" customHeight="true" outlineLevel="0" collapsed="false"/>
    <row r="199" customFormat="false" ht="15" hidden="false" customHeight="true" outlineLevel="0" collapsed="false"/>
    <row r="200" customFormat="false" ht="15" hidden="false" customHeight="true" outlineLevel="0" collapsed="false"/>
    <row r="201" customFormat="false" ht="15" hidden="false" customHeight="true" outlineLevel="0" collapsed="false"/>
    <row r="202" customFormat="false" ht="15" hidden="false" customHeight="true" outlineLevel="0" collapsed="false"/>
    <row r="203" customFormat="false" ht="15" hidden="false" customHeight="true" outlineLevel="0" collapsed="false"/>
    <row r="204" customFormat="false" ht="15" hidden="false" customHeight="true" outlineLevel="0" collapsed="false"/>
    <row r="205" customFormat="false" ht="15" hidden="false" customHeight="true" outlineLevel="0" collapsed="false"/>
    <row r="206" customFormat="false" ht="15" hidden="false" customHeight="true" outlineLevel="0" collapsed="false"/>
    <row r="207" customFormat="false" ht="15" hidden="false" customHeight="true" outlineLevel="0" collapsed="false"/>
    <row r="208" customFormat="false" ht="15" hidden="false" customHeight="true" outlineLevel="0" collapsed="false"/>
    <row r="209" customFormat="false" ht="15" hidden="false" customHeight="true" outlineLevel="0" collapsed="false"/>
    <row r="210" customFormat="false" ht="15" hidden="false" customHeight="true" outlineLevel="0" collapsed="false"/>
    <row r="211" customFormat="false" ht="15" hidden="false" customHeight="true" outlineLevel="0" collapsed="false"/>
    <row r="212" customFormat="false" ht="15" hidden="false" customHeight="true" outlineLevel="0" collapsed="false"/>
    <row r="213" customFormat="false" ht="15" hidden="false" customHeight="true" outlineLevel="0" collapsed="false"/>
    <row r="214" customFormat="false" ht="15" hidden="false" customHeight="true" outlineLevel="0" collapsed="false"/>
    <row r="215" customFormat="false" ht="15" hidden="false" customHeight="true" outlineLevel="0" collapsed="false"/>
    <row r="216" customFormat="false" ht="15" hidden="false" customHeight="true" outlineLevel="0" collapsed="false"/>
    <row r="217" customFormat="false" ht="15" hidden="false" customHeight="true" outlineLevel="0" collapsed="false"/>
    <row r="218" customFormat="false" ht="15" hidden="false" customHeight="true" outlineLevel="0" collapsed="false"/>
    <row r="219" customFormat="false" ht="15" hidden="false" customHeight="true" outlineLevel="0" collapsed="false"/>
    <row r="220" customFormat="false" ht="15" hidden="false" customHeight="true" outlineLevel="0" collapsed="false"/>
    <row r="221" customFormat="false" ht="15" hidden="false" customHeight="true" outlineLevel="0" collapsed="false"/>
    <row r="222" customFormat="false" ht="15" hidden="false" customHeight="true" outlineLevel="0" collapsed="false"/>
  </sheetData>
  <mergeCells count="47">
    <mergeCell ref="A1:F1"/>
    <mergeCell ref="I1:O1"/>
    <mergeCell ref="A2:G2"/>
    <mergeCell ref="A3:G3"/>
    <mergeCell ref="A4:C4"/>
    <mergeCell ref="A5:B5"/>
    <mergeCell ref="C5:D5"/>
    <mergeCell ref="E5:F5"/>
    <mergeCell ref="A6:B6"/>
    <mergeCell ref="C6:D6"/>
    <mergeCell ref="E6:F6"/>
    <mergeCell ref="A7:B7"/>
    <mergeCell ref="C7:D7"/>
    <mergeCell ref="E7:F7"/>
    <mergeCell ref="A8:B8"/>
    <mergeCell ref="C8:D8"/>
    <mergeCell ref="E8:F8"/>
    <mergeCell ref="A9:B9"/>
    <mergeCell ref="C9:D9"/>
    <mergeCell ref="E9:F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5:D15"/>
    <mergeCell ref="A16:G16"/>
    <mergeCell ref="A17:C17"/>
    <mergeCell ref="A24:D24"/>
    <mergeCell ref="A25:G25"/>
    <mergeCell ref="A26:C26"/>
    <mergeCell ref="D26:G26"/>
    <mergeCell ref="M26:N26"/>
    <mergeCell ref="I27:O27"/>
    <mergeCell ref="M53:N53"/>
    <mergeCell ref="I54:O54"/>
    <mergeCell ref="M85:N85"/>
  </mergeCells>
  <printOptions headings="false" gridLines="false" gridLinesSet="true" horizontalCentered="false" verticalCentered="false"/>
  <pageMargins left="0.7" right="0.7" top="0.75" bottom="0.75" header="0.511811023622047" footer="0.511811023622047"/>
  <pageSetup paperSize="9" scale="65"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outlinePr summaryBelow="0"/>
    <pageSetUpPr fitToPage="true"/>
  </sheetPr>
  <dimension ref="A1:IR34"/>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3" topLeftCell="A4" activePane="bottomLeft" state="frozen"/>
      <selection pane="topLeft" activeCell="A1" activeCellId="0" sqref="A1"/>
      <selection pane="bottomLeft" activeCell="A1" activeCellId="0" sqref="A1"/>
    </sheetView>
  </sheetViews>
  <sheetFormatPr defaultColWidth="9" defaultRowHeight="15.6" customHeight="false" zeroHeight="false" outlineLevelRow="2" outlineLevelCol="0"/>
  <cols>
    <col collapsed="false" customWidth="true" hidden="false" outlineLevel="0" max="1" min="1" style="266" width="45"/>
    <col collapsed="false" customWidth="true" hidden="false" outlineLevel="0" max="2" min="2" style="266" width="22"/>
    <col collapsed="false" customWidth="true" hidden="false" outlineLevel="0" max="3" min="3" style="36" width="22"/>
    <col collapsed="false" customWidth="true" hidden="false" outlineLevel="0" max="4" min="4" style="36" width="19"/>
    <col collapsed="false" customWidth="true" hidden="false" outlineLevel="0" max="5" min="5" style="36" width="23"/>
    <col collapsed="false" customWidth="true" hidden="false" outlineLevel="0" max="6" min="6" style="266" width="70"/>
    <col collapsed="false" customWidth="true" hidden="false" outlineLevel="0" max="7" min="7" style="266" width="30.7"/>
    <col collapsed="false" customWidth="true" hidden="false" outlineLevel="0" max="8" min="8" style="266" width="25.7"/>
    <col collapsed="false" customWidth="true" hidden="false" outlineLevel="0" max="9" min="9" style="266" width="30.63"/>
    <col collapsed="false" customWidth="false" hidden="false" outlineLevel="0" max="99" min="10" style="266" width="9"/>
  </cols>
  <sheetData>
    <row r="1" s="4" customFormat="true" ht="5" hidden="false" customHeight="true" outlineLevel="0" collapsed="false">
      <c r="A1" s="3"/>
      <c r="B1" s="3"/>
      <c r="C1" s="3"/>
      <c r="D1" s="3"/>
      <c r="E1" s="3"/>
      <c r="F1" s="3"/>
      <c r="G1" s="3"/>
      <c r="H1" s="3"/>
      <c r="I1" s="3"/>
      <c r="J1" s="3"/>
      <c r="K1" s="3"/>
      <c r="L1" s="3"/>
      <c r="M1" s="3"/>
    </row>
    <row r="2" s="268" customFormat="true" ht="30" hidden="false" customHeight="true" outlineLevel="0" collapsed="false">
      <c r="A2" s="45" t="s">
        <v>3624</v>
      </c>
      <c r="B2" s="45"/>
      <c r="C2" s="45"/>
      <c r="D2" s="45"/>
      <c r="E2" s="45"/>
      <c r="F2" s="46"/>
      <c r="G2" s="46"/>
      <c r="H2" s="46"/>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c r="AP2" s="267"/>
      <c r="AQ2" s="267"/>
      <c r="AR2" s="267"/>
      <c r="AS2" s="267"/>
      <c r="AT2" s="267"/>
      <c r="AU2" s="267"/>
      <c r="AV2" s="267"/>
      <c r="AW2" s="267"/>
      <c r="AX2" s="267"/>
      <c r="AY2" s="267"/>
      <c r="AZ2" s="267"/>
      <c r="BA2" s="267"/>
      <c r="BB2" s="267"/>
      <c r="BC2" s="267"/>
      <c r="BD2" s="267"/>
      <c r="BE2" s="267"/>
      <c r="BF2" s="267"/>
      <c r="BG2" s="267"/>
      <c r="BH2" s="267"/>
      <c r="BI2" s="267"/>
      <c r="BJ2" s="267"/>
      <c r="BK2" s="267"/>
      <c r="BL2" s="267"/>
      <c r="BM2" s="267"/>
      <c r="BN2" s="267"/>
      <c r="BO2" s="267"/>
      <c r="BP2" s="267"/>
      <c r="BQ2" s="267"/>
      <c r="BR2" s="267"/>
      <c r="BS2" s="267"/>
      <c r="BT2" s="267"/>
      <c r="BU2" s="267"/>
      <c r="BV2" s="267"/>
      <c r="BW2" s="267"/>
      <c r="BX2" s="267"/>
      <c r="BY2" s="267"/>
      <c r="BZ2" s="267"/>
      <c r="CA2" s="267"/>
      <c r="CB2" s="267"/>
      <c r="CC2" s="267"/>
      <c r="CD2" s="267"/>
      <c r="CE2" s="267"/>
      <c r="CF2" s="267"/>
      <c r="CG2" s="267"/>
      <c r="CH2" s="267"/>
      <c r="CI2" s="267"/>
      <c r="CJ2" s="267"/>
      <c r="CK2" s="267"/>
      <c r="CL2" s="267"/>
      <c r="CM2" s="267"/>
      <c r="CN2" s="267"/>
      <c r="CO2" s="267"/>
      <c r="CP2" s="267"/>
      <c r="CQ2" s="267"/>
      <c r="CR2" s="267"/>
      <c r="CS2" s="267"/>
      <c r="CT2" s="267"/>
      <c r="CU2" s="267"/>
      <c r="CV2" s="267"/>
      <c r="CW2" s="267"/>
      <c r="CX2" s="267"/>
      <c r="CY2" s="267"/>
      <c r="CZ2" s="267"/>
      <c r="DA2" s="267"/>
      <c r="DB2" s="267"/>
      <c r="DC2" s="267"/>
      <c r="DD2" s="267"/>
      <c r="DE2" s="267"/>
      <c r="DF2" s="267"/>
      <c r="DG2" s="267"/>
      <c r="DH2" s="267"/>
      <c r="DI2" s="267"/>
      <c r="DJ2" s="267"/>
      <c r="DK2" s="267"/>
      <c r="DL2" s="267"/>
      <c r="DM2" s="267"/>
      <c r="DN2" s="267"/>
      <c r="DO2" s="267"/>
      <c r="DP2" s="267"/>
      <c r="DQ2" s="267"/>
      <c r="DR2" s="267"/>
      <c r="DS2" s="267"/>
      <c r="DT2" s="267"/>
      <c r="DU2" s="267"/>
      <c r="DV2" s="267"/>
      <c r="DW2" s="267"/>
      <c r="DX2" s="267"/>
      <c r="DY2" s="267"/>
      <c r="DZ2" s="267"/>
      <c r="EA2" s="267"/>
      <c r="EB2" s="267"/>
      <c r="EC2" s="267"/>
      <c r="ED2" s="267"/>
      <c r="EE2" s="267"/>
      <c r="EF2" s="267"/>
      <c r="EG2" s="267"/>
      <c r="EH2" s="267"/>
      <c r="EI2" s="267"/>
      <c r="EJ2" s="267"/>
      <c r="EK2" s="267"/>
      <c r="EL2" s="267"/>
      <c r="EM2" s="267"/>
      <c r="EN2" s="267"/>
      <c r="EO2" s="267"/>
      <c r="EP2" s="267"/>
      <c r="EQ2" s="267"/>
      <c r="ER2" s="267"/>
      <c r="ES2" s="267"/>
      <c r="ET2" s="267"/>
      <c r="EU2" s="267"/>
      <c r="EV2" s="267"/>
      <c r="EW2" s="267"/>
      <c r="EX2" s="267"/>
      <c r="EY2" s="267"/>
      <c r="EZ2" s="267"/>
      <c r="FA2" s="267"/>
      <c r="FB2" s="267"/>
      <c r="FC2" s="267"/>
      <c r="FD2" s="267"/>
      <c r="FE2" s="267"/>
      <c r="FF2" s="267"/>
      <c r="FG2" s="267"/>
      <c r="FH2" s="267"/>
      <c r="FI2" s="267"/>
      <c r="FJ2" s="267"/>
      <c r="FK2" s="267"/>
      <c r="FL2" s="267"/>
      <c r="FM2" s="267"/>
      <c r="FN2" s="267"/>
      <c r="FO2" s="267"/>
      <c r="FP2" s="267"/>
      <c r="FQ2" s="267"/>
      <c r="FR2" s="267"/>
      <c r="FS2" s="267"/>
      <c r="FT2" s="267"/>
      <c r="FU2" s="267"/>
      <c r="FV2" s="267"/>
      <c r="FW2" s="267"/>
      <c r="FX2" s="267"/>
      <c r="FY2" s="267"/>
      <c r="FZ2" s="267"/>
      <c r="GA2" s="267"/>
      <c r="GB2" s="267"/>
      <c r="GC2" s="267"/>
      <c r="GD2" s="267"/>
      <c r="GE2" s="267"/>
      <c r="GF2" s="267"/>
      <c r="GG2" s="267"/>
      <c r="GH2" s="267"/>
      <c r="GI2" s="267"/>
      <c r="GJ2" s="267"/>
      <c r="GK2" s="267"/>
      <c r="GL2" s="267"/>
      <c r="GM2" s="267"/>
      <c r="GN2" s="267"/>
      <c r="GO2" s="267"/>
      <c r="GP2" s="267"/>
      <c r="GQ2" s="267"/>
      <c r="GR2" s="267"/>
      <c r="GS2" s="267"/>
      <c r="GT2" s="267"/>
      <c r="GU2" s="267"/>
      <c r="GV2" s="267"/>
      <c r="GW2" s="267"/>
      <c r="GX2" s="267"/>
      <c r="GY2" s="267"/>
      <c r="GZ2" s="267"/>
      <c r="HA2" s="267"/>
      <c r="HB2" s="267"/>
      <c r="HC2" s="267"/>
      <c r="HD2" s="267"/>
      <c r="HE2" s="267"/>
      <c r="HF2" s="267"/>
      <c r="HG2" s="267"/>
      <c r="HH2" s="267"/>
      <c r="HI2" s="267"/>
      <c r="HJ2" s="267"/>
      <c r="HK2" s="267"/>
      <c r="HL2" s="267"/>
      <c r="HM2" s="267"/>
      <c r="HN2" s="267"/>
      <c r="HO2" s="267"/>
      <c r="HP2" s="267"/>
      <c r="HQ2" s="267"/>
      <c r="HR2" s="267"/>
      <c r="HS2" s="267"/>
      <c r="HT2" s="267"/>
      <c r="HU2" s="267"/>
      <c r="HV2" s="267"/>
      <c r="HW2" s="267"/>
      <c r="HX2" s="267"/>
      <c r="HY2" s="267"/>
      <c r="HZ2" s="267"/>
      <c r="IA2" s="267"/>
      <c r="IB2" s="267"/>
      <c r="IC2" s="267"/>
      <c r="ID2" s="267"/>
      <c r="IE2" s="267"/>
      <c r="IF2" s="267"/>
      <c r="IG2" s="267"/>
      <c r="IH2" s="267"/>
      <c r="II2" s="267"/>
      <c r="IJ2" s="267"/>
      <c r="IK2" s="267"/>
      <c r="IL2" s="267"/>
      <c r="IM2" s="267"/>
      <c r="IN2" s="267"/>
      <c r="IO2" s="267"/>
      <c r="IP2" s="267"/>
      <c r="IQ2" s="267"/>
      <c r="IR2" s="267"/>
    </row>
    <row r="3" s="268" customFormat="true" ht="48" hidden="false" customHeight="true" outlineLevel="1" collapsed="false">
      <c r="A3" s="47" t="s">
        <v>3625</v>
      </c>
      <c r="B3" s="47" t="s">
        <v>3147</v>
      </c>
      <c r="C3" s="47" t="s">
        <v>73</v>
      </c>
      <c r="D3" s="47" t="s">
        <v>74</v>
      </c>
      <c r="E3" s="47" t="s">
        <v>75</v>
      </c>
      <c r="F3" s="47" t="s">
        <v>3151</v>
      </c>
      <c r="G3" s="47" t="s">
        <v>3626</v>
      </c>
      <c r="H3" s="47"/>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c r="AQ3" s="267"/>
      <c r="AR3" s="267"/>
      <c r="AS3" s="267"/>
      <c r="AT3" s="267"/>
      <c r="AU3" s="267"/>
      <c r="AV3" s="267"/>
      <c r="AW3" s="267"/>
      <c r="AX3" s="267"/>
      <c r="AY3" s="267"/>
      <c r="AZ3" s="267"/>
      <c r="BA3" s="267"/>
      <c r="BB3" s="267"/>
      <c r="BC3" s="267"/>
      <c r="BD3" s="267"/>
      <c r="BE3" s="267"/>
      <c r="BF3" s="267"/>
      <c r="BG3" s="267"/>
      <c r="BH3" s="267"/>
      <c r="BI3" s="267"/>
      <c r="BJ3" s="267"/>
      <c r="BK3" s="267"/>
      <c r="BL3" s="267"/>
      <c r="BM3" s="267"/>
      <c r="BN3" s="267"/>
      <c r="BO3" s="267"/>
      <c r="BP3" s="267"/>
      <c r="BQ3" s="267"/>
      <c r="BR3" s="267"/>
      <c r="BS3" s="267"/>
      <c r="BT3" s="267"/>
      <c r="BU3" s="267"/>
      <c r="BV3" s="267"/>
      <c r="BW3" s="267"/>
      <c r="BX3" s="267"/>
      <c r="BY3" s="267"/>
      <c r="BZ3" s="267"/>
      <c r="CA3" s="267"/>
      <c r="CB3" s="267"/>
      <c r="CC3" s="267"/>
      <c r="CD3" s="267"/>
      <c r="CE3" s="267"/>
      <c r="CF3" s="267"/>
      <c r="CG3" s="267"/>
      <c r="CH3" s="267"/>
      <c r="CI3" s="267"/>
      <c r="CJ3" s="267"/>
      <c r="CK3" s="267"/>
      <c r="CL3" s="267"/>
      <c r="CM3" s="267"/>
      <c r="CN3" s="267"/>
      <c r="CO3" s="267"/>
      <c r="CP3" s="267"/>
      <c r="CQ3" s="267"/>
      <c r="CR3" s="267"/>
      <c r="CS3" s="267"/>
      <c r="CT3" s="267"/>
      <c r="CU3" s="267"/>
      <c r="CV3" s="267"/>
      <c r="CW3" s="267"/>
      <c r="CX3" s="267"/>
      <c r="CY3" s="267"/>
      <c r="CZ3" s="267"/>
      <c r="DA3" s="267"/>
      <c r="DB3" s="267"/>
      <c r="DC3" s="267"/>
      <c r="DD3" s="267"/>
      <c r="DE3" s="267"/>
      <c r="DF3" s="267"/>
      <c r="DG3" s="267"/>
      <c r="DH3" s="267"/>
      <c r="DI3" s="267"/>
      <c r="DJ3" s="267"/>
      <c r="DK3" s="267"/>
      <c r="DL3" s="267"/>
      <c r="DM3" s="267"/>
      <c r="DN3" s="267"/>
      <c r="DO3" s="267"/>
      <c r="DP3" s="267"/>
      <c r="DQ3" s="267"/>
      <c r="DR3" s="267"/>
      <c r="DS3" s="267"/>
      <c r="DT3" s="267"/>
      <c r="DU3" s="267"/>
      <c r="DV3" s="267"/>
      <c r="DW3" s="267"/>
      <c r="DX3" s="267"/>
      <c r="DY3" s="267"/>
      <c r="DZ3" s="267"/>
      <c r="EA3" s="267"/>
      <c r="EB3" s="267"/>
      <c r="EC3" s="267"/>
      <c r="ED3" s="267"/>
      <c r="EE3" s="267"/>
      <c r="EF3" s="267"/>
      <c r="EG3" s="267"/>
      <c r="EH3" s="267"/>
      <c r="EI3" s="267"/>
      <c r="EJ3" s="267"/>
      <c r="EK3" s="267"/>
      <c r="EL3" s="267"/>
      <c r="EM3" s="267"/>
      <c r="EN3" s="267"/>
      <c r="EO3" s="267"/>
      <c r="EP3" s="267"/>
      <c r="EQ3" s="267"/>
      <c r="ER3" s="267"/>
      <c r="ES3" s="267"/>
      <c r="ET3" s="267"/>
      <c r="EU3" s="267"/>
      <c r="EV3" s="267"/>
      <c r="EW3" s="267"/>
      <c r="EX3" s="267"/>
      <c r="EY3" s="267"/>
      <c r="EZ3" s="267"/>
      <c r="FA3" s="267"/>
      <c r="FB3" s="267"/>
      <c r="FC3" s="267"/>
      <c r="FD3" s="267"/>
      <c r="FE3" s="267"/>
      <c r="FF3" s="267"/>
      <c r="FG3" s="267"/>
      <c r="FH3" s="267"/>
      <c r="FI3" s="267"/>
      <c r="FJ3" s="267"/>
      <c r="FK3" s="267"/>
      <c r="FL3" s="267"/>
      <c r="FM3" s="267"/>
      <c r="FN3" s="267"/>
      <c r="FO3" s="267"/>
      <c r="FP3" s="267"/>
      <c r="FQ3" s="267"/>
      <c r="FR3" s="267"/>
      <c r="FS3" s="267"/>
      <c r="FT3" s="267"/>
      <c r="FU3" s="267"/>
      <c r="FV3" s="267"/>
      <c r="FW3" s="267"/>
      <c r="FX3" s="267"/>
      <c r="FY3" s="267"/>
      <c r="FZ3" s="267"/>
      <c r="GA3" s="267"/>
      <c r="GB3" s="267"/>
      <c r="GC3" s="267"/>
      <c r="GD3" s="267"/>
      <c r="GE3" s="267"/>
      <c r="GF3" s="267"/>
      <c r="GG3" s="267"/>
      <c r="GH3" s="267"/>
      <c r="GI3" s="267"/>
      <c r="GJ3" s="267"/>
      <c r="GK3" s="267"/>
      <c r="GL3" s="267"/>
      <c r="GM3" s="267"/>
      <c r="GN3" s="267"/>
      <c r="GO3" s="267"/>
      <c r="GP3" s="267"/>
      <c r="GQ3" s="267"/>
      <c r="GR3" s="267"/>
      <c r="GS3" s="267"/>
      <c r="GT3" s="267"/>
      <c r="GU3" s="267"/>
      <c r="GV3" s="267"/>
      <c r="GW3" s="267"/>
      <c r="GX3" s="267"/>
      <c r="GY3" s="267"/>
      <c r="GZ3" s="267"/>
      <c r="HA3" s="267"/>
      <c r="HB3" s="267"/>
      <c r="HC3" s="267"/>
      <c r="HD3" s="267"/>
      <c r="HE3" s="267"/>
      <c r="HF3" s="267"/>
      <c r="HG3" s="267"/>
      <c r="HH3" s="267"/>
      <c r="HI3" s="267"/>
      <c r="HJ3" s="267"/>
      <c r="HK3" s="267"/>
      <c r="HL3" s="267"/>
      <c r="HM3" s="267"/>
      <c r="HN3" s="267"/>
      <c r="HO3" s="267"/>
      <c r="HP3" s="267"/>
      <c r="HQ3" s="267"/>
      <c r="HR3" s="267"/>
      <c r="HS3" s="267"/>
      <c r="HT3" s="267"/>
      <c r="HU3" s="267"/>
      <c r="HV3" s="267"/>
      <c r="HW3" s="267"/>
      <c r="HX3" s="267"/>
      <c r="HY3" s="267"/>
      <c r="HZ3" s="267"/>
      <c r="IA3" s="267"/>
      <c r="IB3" s="267"/>
      <c r="IC3" s="267"/>
      <c r="ID3" s="267"/>
      <c r="IE3" s="267"/>
      <c r="IF3" s="267"/>
      <c r="IG3" s="267"/>
      <c r="IH3" s="267"/>
      <c r="II3" s="267"/>
      <c r="IJ3" s="267"/>
      <c r="IK3" s="267"/>
      <c r="IL3" s="267"/>
      <c r="IM3" s="267"/>
      <c r="IN3" s="267"/>
      <c r="IO3" s="267"/>
      <c r="IP3" s="267"/>
      <c r="IQ3" s="267"/>
      <c r="IR3" s="267"/>
    </row>
    <row r="4" s="270" customFormat="true" ht="115" hidden="false" customHeight="true" outlineLevel="2" collapsed="false">
      <c r="A4" s="51" t="s">
        <v>3627</v>
      </c>
      <c r="B4" s="26"/>
      <c r="C4" s="54" t="n">
        <v>70.13</v>
      </c>
      <c r="D4" s="55"/>
      <c r="E4" s="56" t="str">
        <f aca="false">IF(ISBLANK(D4),"",IF(ISNUMBER(C4),ROUND(C4*D4,2),"Укажите цену"))</f>
        <v/>
      </c>
      <c r="F4" s="24" t="s">
        <v>3628</v>
      </c>
      <c r="G4" s="269" t="s">
        <v>3629</v>
      </c>
      <c r="H4" s="269"/>
    </row>
    <row r="5" s="270" customFormat="true" ht="115" hidden="false" customHeight="true" outlineLevel="2" collapsed="false">
      <c r="A5" s="51" t="s">
        <v>3630</v>
      </c>
      <c r="B5" s="26"/>
      <c r="C5" s="54" t="n">
        <v>244.64</v>
      </c>
      <c r="D5" s="55"/>
      <c r="E5" s="56" t="str">
        <f aca="false">IF(ISBLANK(D5),"",IF(ISNUMBER(C5),ROUND(C5*D5,2),"Укажите цену"))</f>
        <v/>
      </c>
      <c r="F5" s="24" t="s">
        <v>3631</v>
      </c>
      <c r="G5" s="269" t="s">
        <v>3629</v>
      </c>
      <c r="H5" s="269"/>
    </row>
    <row r="6" s="270" customFormat="true" ht="115" hidden="false" customHeight="true" outlineLevel="2" collapsed="false">
      <c r="A6" s="51" t="s">
        <v>3632</v>
      </c>
      <c r="B6" s="26"/>
      <c r="C6" s="54" t="n">
        <v>12.88</v>
      </c>
      <c r="D6" s="55"/>
      <c r="E6" s="56" t="str">
        <f aca="false">IF(ISBLANK(D6),"",IF(ISNUMBER(C6),ROUND(C6*D6,2),"Укажите цену"))</f>
        <v/>
      </c>
      <c r="F6" s="24" t="s">
        <v>3633</v>
      </c>
      <c r="G6" s="269" t="s">
        <v>3629</v>
      </c>
      <c r="H6" s="269"/>
    </row>
    <row r="7" s="270" customFormat="true" ht="115" hidden="false" customHeight="true" outlineLevel="2" collapsed="false">
      <c r="A7" s="51" t="s">
        <v>3634</v>
      </c>
      <c r="B7" s="26"/>
      <c r="C7" s="54" t="n">
        <v>350.65</v>
      </c>
      <c r="D7" s="55"/>
      <c r="E7" s="56" t="str">
        <f aca="false">IF(ISBLANK(D7),"",IF(ISNUMBER(C7),ROUND(C7*D7,2),"Укажите цену"))</f>
        <v/>
      </c>
      <c r="F7" s="24" t="s">
        <v>3635</v>
      </c>
      <c r="G7" s="269" t="s">
        <v>3629</v>
      </c>
      <c r="H7" s="269"/>
    </row>
    <row r="8" s="270" customFormat="true" ht="115" hidden="false" customHeight="true" outlineLevel="2" collapsed="false">
      <c r="A8" s="51" t="s">
        <v>3636</v>
      </c>
      <c r="B8" s="26"/>
      <c r="C8" s="54" t="n">
        <v>120.69</v>
      </c>
      <c r="D8" s="55"/>
      <c r="E8" s="56" t="str">
        <f aca="false">IF(ISBLANK(D8),"",IF(ISNUMBER(C8),ROUND(C8*D8,2),"Укажите цену"))</f>
        <v/>
      </c>
      <c r="F8" s="24" t="s">
        <v>3637</v>
      </c>
      <c r="G8" s="269" t="s">
        <v>3638</v>
      </c>
      <c r="H8" s="269"/>
    </row>
    <row r="9" s="270" customFormat="true" ht="115" hidden="false" customHeight="true" outlineLevel="2" collapsed="false">
      <c r="A9" s="51" t="s">
        <v>3639</v>
      </c>
      <c r="B9" s="26"/>
      <c r="C9" s="54" t="n">
        <v>2527.96</v>
      </c>
      <c r="D9" s="55"/>
      <c r="E9" s="56" t="str">
        <f aca="false">IF(ISBLANK(D9),"",IF(ISNUMBER(C9),ROUND(C9*D9,2),"Укажите цену"))</f>
        <v/>
      </c>
      <c r="F9" s="24" t="s">
        <v>3640</v>
      </c>
      <c r="G9" s="269" t="s">
        <v>3638</v>
      </c>
      <c r="H9" s="269"/>
    </row>
    <row r="10" s="270" customFormat="true" ht="115" hidden="false" customHeight="true" outlineLevel="2" collapsed="false">
      <c r="A10" s="51" t="s">
        <v>3641</v>
      </c>
      <c r="B10" s="26"/>
      <c r="C10" s="54" t="n">
        <v>6213.89</v>
      </c>
      <c r="D10" s="55"/>
      <c r="E10" s="56" t="str">
        <f aca="false">IF(ISBLANK(D10),"",IF(ISNUMBER(C10),ROUND(C10*D10,2),"Укажите цену"))</f>
        <v/>
      </c>
      <c r="F10" s="24" t="s">
        <v>3642</v>
      </c>
      <c r="G10" s="269" t="s">
        <v>3629</v>
      </c>
      <c r="H10" s="269"/>
    </row>
    <row r="11" s="274" customFormat="true" ht="115" hidden="false" customHeight="true" outlineLevel="2" collapsed="false">
      <c r="A11" s="51" t="s">
        <v>3643</v>
      </c>
      <c r="B11" s="271"/>
      <c r="C11" s="54" t="n">
        <v>16635.6</v>
      </c>
      <c r="D11" s="55"/>
      <c r="E11" s="56" t="str">
        <f aca="false">IF(ISBLANK(D11),"",IF(ISNUMBER(C11),ROUND(C11*D11,2),"Укажите цену"))</f>
        <v/>
      </c>
      <c r="F11" s="272" t="s">
        <v>3644</v>
      </c>
      <c r="G11" s="273" t="s">
        <v>3645</v>
      </c>
      <c r="H11" s="273"/>
    </row>
    <row r="12" s="270" customFormat="true" ht="115" hidden="false" customHeight="true" outlineLevel="2" collapsed="false">
      <c r="A12" s="51" t="s">
        <v>3646</v>
      </c>
      <c r="B12" s="275"/>
      <c r="C12" s="54" t="n">
        <v>195.71</v>
      </c>
      <c r="D12" s="55"/>
      <c r="E12" s="56" t="str">
        <f aca="false">IF(ISBLANK(D12),"",IF(ISNUMBER(C12),ROUND(C12*D12,2),"Укажите цену"))</f>
        <v/>
      </c>
      <c r="F12" s="276" t="s">
        <v>3647</v>
      </c>
      <c r="G12" s="277" t="n">
        <v>0</v>
      </c>
      <c r="H12" s="277"/>
    </row>
    <row r="13" s="270" customFormat="true" ht="115" hidden="false" customHeight="true" outlineLevel="2" collapsed="false">
      <c r="A13" s="51" t="s">
        <v>3648</v>
      </c>
      <c r="B13" s="26"/>
      <c r="C13" s="54" t="n">
        <v>371.85</v>
      </c>
      <c r="D13" s="55"/>
      <c r="E13" s="56" t="str">
        <f aca="false">IF(ISBLANK(D13),"",IF(ISNUMBER(C13),ROUND(C13*D13,2),"Укажите цену"))</f>
        <v/>
      </c>
      <c r="F13" s="24" t="s">
        <v>3649</v>
      </c>
      <c r="G13" s="269" t="s">
        <v>3629</v>
      </c>
      <c r="H13" s="269"/>
    </row>
    <row r="14" s="270" customFormat="true" ht="115" hidden="false" customHeight="true" outlineLevel="2" collapsed="false">
      <c r="A14" s="51" t="s">
        <v>3650</v>
      </c>
      <c r="B14" s="26"/>
      <c r="C14" s="54" t="n">
        <v>1043.8</v>
      </c>
      <c r="D14" s="55"/>
      <c r="E14" s="56" t="str">
        <f aca="false">IF(ISBLANK(D14),"",IF(ISNUMBER(C14),ROUND(C14*D14,2),"Укажите цену"))</f>
        <v/>
      </c>
      <c r="F14" s="24" t="s">
        <v>3651</v>
      </c>
      <c r="G14" s="26" t="s">
        <v>3629</v>
      </c>
      <c r="H14" s="26"/>
    </row>
    <row r="15" s="279" customFormat="true" ht="115" hidden="false" customHeight="true" outlineLevel="2" collapsed="false">
      <c r="A15" s="51" t="s">
        <v>3652</v>
      </c>
      <c r="B15" s="276"/>
      <c r="C15" s="54" t="n">
        <v>326.19</v>
      </c>
      <c r="D15" s="55"/>
      <c r="E15" s="56" t="str">
        <f aca="false">IF(ISBLANK(D15),"",IF(ISNUMBER(C15),ROUND(C15*D15,2),"Укажите цену"))</f>
        <v/>
      </c>
      <c r="F15" s="275" t="s">
        <v>3653</v>
      </c>
      <c r="G15" s="276" t="n">
        <v>0</v>
      </c>
      <c r="H15" s="276"/>
      <c r="I15" s="278"/>
      <c r="J15" s="278"/>
      <c r="K15" s="278"/>
      <c r="L15" s="278"/>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8"/>
      <c r="AL15" s="278"/>
      <c r="AM15" s="278"/>
      <c r="AN15" s="278"/>
      <c r="AO15" s="278"/>
      <c r="AP15" s="278"/>
      <c r="AQ15" s="278"/>
      <c r="AR15" s="278"/>
      <c r="AS15" s="278"/>
      <c r="AT15" s="278"/>
      <c r="AU15" s="278"/>
      <c r="AV15" s="278"/>
      <c r="AW15" s="278"/>
      <c r="AX15" s="278"/>
      <c r="AY15" s="278"/>
      <c r="AZ15" s="278"/>
      <c r="BA15" s="278"/>
      <c r="BB15" s="278"/>
      <c r="BC15" s="278"/>
      <c r="BD15" s="278"/>
      <c r="BE15" s="278"/>
      <c r="BF15" s="278"/>
      <c r="BG15" s="278"/>
      <c r="BH15" s="278"/>
      <c r="BI15" s="278"/>
      <c r="BJ15" s="278"/>
      <c r="BK15" s="278"/>
      <c r="BL15" s="278"/>
      <c r="BM15" s="278"/>
      <c r="BN15" s="278"/>
      <c r="BO15" s="278"/>
      <c r="BP15" s="278"/>
      <c r="BQ15" s="278"/>
      <c r="BR15" s="278"/>
      <c r="BS15" s="278"/>
      <c r="BT15" s="278"/>
      <c r="BU15" s="278"/>
      <c r="BV15" s="278"/>
      <c r="BW15" s="278"/>
      <c r="BX15" s="278"/>
      <c r="BY15" s="278"/>
      <c r="BZ15" s="278"/>
      <c r="CA15" s="278"/>
      <c r="CB15" s="278"/>
      <c r="CC15" s="278"/>
      <c r="CD15" s="278"/>
      <c r="CE15" s="278"/>
      <c r="CF15" s="278"/>
      <c r="CG15" s="278"/>
      <c r="CH15" s="278"/>
      <c r="CI15" s="278"/>
      <c r="CJ15" s="278"/>
      <c r="CK15" s="278"/>
      <c r="CL15" s="278"/>
      <c r="CM15" s="278"/>
      <c r="CN15" s="278"/>
      <c r="CO15" s="278"/>
      <c r="CP15" s="278"/>
      <c r="CQ15" s="278"/>
      <c r="CR15" s="278"/>
      <c r="CS15" s="278"/>
      <c r="CT15" s="278"/>
      <c r="CU15" s="278"/>
      <c r="CV15" s="278"/>
      <c r="CW15" s="278"/>
      <c r="CX15" s="278"/>
      <c r="CY15" s="278"/>
      <c r="CZ15" s="278"/>
      <c r="DA15" s="278"/>
      <c r="DB15" s="278"/>
      <c r="DC15" s="278"/>
      <c r="DD15" s="278"/>
      <c r="DE15" s="278"/>
      <c r="DF15" s="278"/>
      <c r="DG15" s="278"/>
      <c r="DH15" s="278"/>
      <c r="DI15" s="278"/>
      <c r="DJ15" s="278"/>
      <c r="DK15" s="278"/>
      <c r="DL15" s="278"/>
      <c r="DM15" s="278"/>
      <c r="DN15" s="278"/>
      <c r="DO15" s="278"/>
      <c r="DP15" s="278"/>
      <c r="DQ15" s="278"/>
      <c r="DR15" s="278"/>
      <c r="DS15" s="278"/>
      <c r="DT15" s="278"/>
      <c r="DU15" s="278"/>
      <c r="DV15" s="278"/>
      <c r="DW15" s="278"/>
      <c r="DX15" s="278"/>
      <c r="DY15" s="278"/>
      <c r="DZ15" s="278"/>
      <c r="EA15" s="278"/>
      <c r="EB15" s="278"/>
      <c r="EC15" s="278"/>
      <c r="ED15" s="278"/>
      <c r="EE15" s="278"/>
      <c r="EF15" s="278"/>
      <c r="EG15" s="278"/>
      <c r="EH15" s="278"/>
      <c r="EI15" s="278"/>
      <c r="EJ15" s="278"/>
      <c r="EK15" s="278"/>
      <c r="EL15" s="278"/>
      <c r="EM15" s="278"/>
      <c r="EN15" s="278"/>
      <c r="EO15" s="278"/>
      <c r="EP15" s="278"/>
      <c r="EQ15" s="278"/>
      <c r="ER15" s="278"/>
      <c r="ES15" s="278"/>
      <c r="ET15" s="278"/>
      <c r="EU15" s="278"/>
      <c r="EV15" s="278"/>
      <c r="EW15" s="278"/>
      <c r="EX15" s="278"/>
      <c r="EY15" s="278"/>
      <c r="EZ15" s="278"/>
      <c r="FA15" s="278"/>
      <c r="FB15" s="278"/>
      <c r="FC15" s="278"/>
      <c r="FD15" s="278"/>
      <c r="FE15" s="278"/>
      <c r="FF15" s="278"/>
      <c r="FG15" s="278"/>
      <c r="FH15" s="278"/>
      <c r="FI15" s="278"/>
      <c r="FJ15" s="278"/>
      <c r="FK15" s="278"/>
      <c r="FL15" s="278"/>
      <c r="FM15" s="278"/>
      <c r="FN15" s="278"/>
      <c r="FO15" s="278"/>
      <c r="FP15" s="278"/>
      <c r="FQ15" s="278"/>
      <c r="FR15" s="278"/>
      <c r="FS15" s="278"/>
      <c r="FT15" s="278"/>
      <c r="FU15" s="278"/>
      <c r="FV15" s="278"/>
      <c r="FW15" s="278"/>
      <c r="FX15" s="278"/>
      <c r="FY15" s="278"/>
      <c r="FZ15" s="278"/>
      <c r="GA15" s="278"/>
      <c r="GB15" s="278"/>
      <c r="GC15" s="278"/>
      <c r="GD15" s="278"/>
      <c r="GE15" s="278"/>
      <c r="GF15" s="278"/>
      <c r="GG15" s="278"/>
      <c r="GH15" s="278"/>
      <c r="GI15" s="278"/>
      <c r="GJ15" s="278"/>
      <c r="GK15" s="278"/>
      <c r="GL15" s="278"/>
      <c r="GM15" s="278"/>
      <c r="GN15" s="278"/>
      <c r="GO15" s="278"/>
      <c r="GP15" s="278"/>
      <c r="GQ15" s="278"/>
      <c r="GR15" s="278"/>
      <c r="GS15" s="278"/>
      <c r="GT15" s="278"/>
      <c r="GU15" s="278"/>
      <c r="GV15" s="278"/>
      <c r="GW15" s="278"/>
      <c r="GX15" s="278"/>
      <c r="GY15" s="278"/>
      <c r="GZ15" s="278"/>
      <c r="HA15" s="278"/>
      <c r="HB15" s="278"/>
      <c r="HC15" s="278"/>
      <c r="HD15" s="278"/>
      <c r="HE15" s="278"/>
      <c r="HF15" s="278"/>
      <c r="HG15" s="278"/>
      <c r="HH15" s="278"/>
      <c r="HI15" s="278"/>
      <c r="HJ15" s="278"/>
      <c r="HK15" s="278"/>
      <c r="HL15" s="278"/>
      <c r="HM15" s="278"/>
      <c r="HN15" s="278"/>
      <c r="HO15" s="278"/>
      <c r="HP15" s="278"/>
      <c r="HQ15" s="278"/>
      <c r="HR15" s="278"/>
      <c r="HS15" s="278"/>
      <c r="HT15" s="278"/>
      <c r="HU15" s="278"/>
      <c r="HV15" s="278"/>
      <c r="HW15" s="278"/>
      <c r="HX15" s="278"/>
      <c r="HY15" s="278"/>
      <c r="HZ15" s="278"/>
      <c r="IA15" s="278"/>
      <c r="IB15" s="278"/>
      <c r="IC15" s="278"/>
      <c r="ID15" s="278"/>
      <c r="IE15" s="278"/>
      <c r="IF15" s="278"/>
      <c r="IG15" s="278"/>
      <c r="IH15" s="278"/>
      <c r="II15" s="278"/>
      <c r="IJ15" s="278"/>
      <c r="IK15" s="278"/>
      <c r="IL15" s="278"/>
      <c r="IM15" s="278"/>
      <c r="IN15" s="278"/>
      <c r="IO15" s="278"/>
      <c r="IP15" s="278"/>
      <c r="IQ15" s="278"/>
      <c r="IR15" s="278"/>
    </row>
    <row r="16" s="279" customFormat="true" ht="115" hidden="false" customHeight="true" outlineLevel="2" collapsed="false">
      <c r="A16" s="51" t="s">
        <v>3654</v>
      </c>
      <c r="B16" s="276"/>
      <c r="C16" s="54" t="n">
        <v>4892.82</v>
      </c>
      <c r="D16" s="55"/>
      <c r="E16" s="56" t="str">
        <f aca="false">IF(ISBLANK(D16),"",IF(ISNUMBER(C16),ROUND(C16*D16,2),"Укажите цену"))</f>
        <v/>
      </c>
      <c r="F16" s="276" t="s">
        <v>3655</v>
      </c>
      <c r="G16" s="276" t="n">
        <v>26</v>
      </c>
      <c r="H16" s="276"/>
      <c r="I16" s="278"/>
      <c r="J16" s="278"/>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78"/>
      <c r="AT16" s="278"/>
      <c r="AU16" s="278"/>
      <c r="AV16" s="278"/>
      <c r="AW16" s="278"/>
      <c r="AX16" s="278"/>
      <c r="AY16" s="278"/>
      <c r="AZ16" s="278"/>
      <c r="BA16" s="278"/>
      <c r="BB16" s="278"/>
      <c r="BC16" s="278"/>
      <c r="BD16" s="278"/>
      <c r="BE16" s="278"/>
      <c r="BF16" s="278"/>
      <c r="BG16" s="278"/>
      <c r="BH16" s="278"/>
      <c r="BI16" s="278"/>
      <c r="BJ16" s="278"/>
      <c r="BK16" s="278"/>
      <c r="BL16" s="278"/>
      <c r="BM16" s="278"/>
      <c r="BN16" s="278"/>
      <c r="BO16" s="278"/>
      <c r="BP16" s="278"/>
      <c r="BQ16" s="278"/>
      <c r="BR16" s="278"/>
      <c r="BS16" s="278"/>
      <c r="BT16" s="278"/>
      <c r="BU16" s="278"/>
      <c r="BV16" s="278"/>
      <c r="BW16" s="278"/>
      <c r="BX16" s="278"/>
      <c r="BY16" s="278"/>
      <c r="BZ16" s="278"/>
      <c r="CA16" s="278"/>
      <c r="CB16" s="278"/>
      <c r="CC16" s="278"/>
      <c r="CD16" s="278"/>
      <c r="CE16" s="278"/>
      <c r="CF16" s="278"/>
      <c r="CG16" s="278"/>
      <c r="CH16" s="278"/>
      <c r="CI16" s="278"/>
      <c r="CJ16" s="278"/>
      <c r="CK16" s="278"/>
      <c r="CL16" s="278"/>
      <c r="CM16" s="278"/>
      <c r="CN16" s="278"/>
      <c r="CO16" s="278"/>
      <c r="CP16" s="278"/>
      <c r="CQ16" s="278"/>
      <c r="CR16" s="278"/>
      <c r="CS16" s="278"/>
      <c r="CT16" s="278"/>
      <c r="CU16" s="278"/>
      <c r="CV16" s="278"/>
      <c r="CW16" s="278"/>
      <c r="CX16" s="278"/>
      <c r="CY16" s="278"/>
      <c r="CZ16" s="278"/>
      <c r="DA16" s="278"/>
      <c r="DB16" s="278"/>
      <c r="DC16" s="278"/>
      <c r="DD16" s="278"/>
      <c r="DE16" s="278"/>
      <c r="DF16" s="278"/>
      <c r="DG16" s="278"/>
      <c r="DH16" s="278"/>
      <c r="DI16" s="278"/>
      <c r="DJ16" s="278"/>
      <c r="DK16" s="278"/>
      <c r="DL16" s="278"/>
      <c r="DM16" s="278"/>
      <c r="DN16" s="278"/>
      <c r="DO16" s="278"/>
      <c r="DP16" s="278"/>
      <c r="DQ16" s="278"/>
      <c r="DR16" s="278"/>
      <c r="DS16" s="278"/>
      <c r="DT16" s="278"/>
      <c r="DU16" s="278"/>
      <c r="DV16" s="278"/>
      <c r="DW16" s="278"/>
      <c r="DX16" s="278"/>
      <c r="DY16" s="278"/>
      <c r="DZ16" s="278"/>
      <c r="EA16" s="278"/>
      <c r="EB16" s="278"/>
      <c r="EC16" s="278"/>
      <c r="ED16" s="278"/>
      <c r="EE16" s="278"/>
      <c r="EF16" s="278"/>
      <c r="EG16" s="278"/>
      <c r="EH16" s="278"/>
      <c r="EI16" s="278"/>
      <c r="EJ16" s="278"/>
      <c r="EK16" s="278"/>
      <c r="EL16" s="278"/>
      <c r="EM16" s="278"/>
      <c r="EN16" s="278"/>
      <c r="EO16" s="278"/>
      <c r="EP16" s="278"/>
      <c r="EQ16" s="278"/>
      <c r="ER16" s="278"/>
      <c r="ES16" s="278"/>
      <c r="ET16" s="278"/>
      <c r="EU16" s="278"/>
      <c r="EV16" s="278"/>
      <c r="EW16" s="278"/>
      <c r="EX16" s="278"/>
      <c r="EY16" s="278"/>
      <c r="EZ16" s="278"/>
      <c r="FA16" s="278"/>
      <c r="FB16" s="278"/>
      <c r="FC16" s="278"/>
      <c r="FD16" s="278"/>
      <c r="FE16" s="278"/>
      <c r="FF16" s="278"/>
      <c r="FG16" s="278"/>
      <c r="FH16" s="278"/>
      <c r="FI16" s="278"/>
      <c r="FJ16" s="278"/>
      <c r="FK16" s="278"/>
      <c r="FL16" s="278"/>
      <c r="FM16" s="278"/>
      <c r="FN16" s="278"/>
      <c r="FO16" s="278"/>
      <c r="FP16" s="278"/>
      <c r="FQ16" s="278"/>
      <c r="FR16" s="278"/>
      <c r="FS16" s="278"/>
      <c r="FT16" s="278"/>
      <c r="FU16" s="278"/>
      <c r="FV16" s="278"/>
      <c r="FW16" s="278"/>
      <c r="FX16" s="278"/>
      <c r="FY16" s="278"/>
      <c r="FZ16" s="278"/>
      <c r="GA16" s="278"/>
      <c r="GB16" s="278"/>
      <c r="GC16" s="278"/>
      <c r="GD16" s="278"/>
      <c r="GE16" s="278"/>
      <c r="GF16" s="278"/>
      <c r="GG16" s="278"/>
      <c r="GH16" s="278"/>
      <c r="GI16" s="278"/>
      <c r="GJ16" s="278"/>
      <c r="GK16" s="278"/>
      <c r="GL16" s="278"/>
      <c r="GM16" s="278"/>
      <c r="GN16" s="278"/>
      <c r="GO16" s="278"/>
      <c r="GP16" s="278"/>
      <c r="GQ16" s="278"/>
      <c r="GR16" s="278"/>
      <c r="GS16" s="278"/>
      <c r="GT16" s="278"/>
      <c r="GU16" s="278"/>
      <c r="GV16" s="278"/>
      <c r="GW16" s="278"/>
      <c r="GX16" s="278"/>
      <c r="GY16" s="278"/>
      <c r="GZ16" s="278"/>
      <c r="HA16" s="278"/>
      <c r="HB16" s="278"/>
      <c r="HC16" s="278"/>
      <c r="HD16" s="278"/>
      <c r="HE16" s="278"/>
      <c r="HF16" s="278"/>
      <c r="HG16" s="278"/>
      <c r="HH16" s="278"/>
      <c r="HI16" s="278"/>
      <c r="HJ16" s="278"/>
      <c r="HK16" s="278"/>
      <c r="HL16" s="278"/>
      <c r="HM16" s="278"/>
      <c r="HN16" s="278"/>
      <c r="HO16" s="278"/>
      <c r="HP16" s="278"/>
      <c r="HQ16" s="278"/>
      <c r="HR16" s="278"/>
      <c r="HS16" s="278"/>
      <c r="HT16" s="278"/>
      <c r="HU16" s="278"/>
      <c r="HV16" s="278"/>
      <c r="HW16" s="278"/>
      <c r="HX16" s="278"/>
      <c r="HY16" s="278"/>
      <c r="HZ16" s="278"/>
      <c r="IA16" s="278"/>
      <c r="IB16" s="278"/>
      <c r="IC16" s="278"/>
      <c r="ID16" s="278"/>
      <c r="IE16" s="278"/>
      <c r="IF16" s="278"/>
      <c r="IG16" s="278"/>
      <c r="IH16" s="278"/>
      <c r="II16" s="278"/>
      <c r="IJ16" s="278"/>
      <c r="IK16" s="278"/>
      <c r="IL16" s="278"/>
      <c r="IM16" s="278"/>
      <c r="IN16" s="278"/>
      <c r="IO16" s="278"/>
      <c r="IP16" s="278"/>
      <c r="IQ16" s="278"/>
      <c r="IR16" s="278"/>
    </row>
    <row r="17" s="270" customFormat="true" ht="115" hidden="false" customHeight="true" outlineLevel="2" collapsed="false">
      <c r="A17" s="51" t="s">
        <v>3656</v>
      </c>
      <c r="B17" s="280"/>
      <c r="C17" s="54" t="n">
        <v>815.47</v>
      </c>
      <c r="D17" s="55"/>
      <c r="E17" s="56" t="str">
        <f aca="false">IF(ISBLANK(D17),"",IF(ISNUMBER(C17),ROUND(C17*D17,2),"Укажите цену"))</f>
        <v/>
      </c>
      <c r="F17" s="280" t="s">
        <v>3657</v>
      </c>
      <c r="G17" s="280" t="s">
        <v>3658</v>
      </c>
      <c r="H17" s="280"/>
    </row>
    <row r="18" s="281" customFormat="true" ht="115" hidden="false" customHeight="true" outlineLevel="2" collapsed="false">
      <c r="A18" s="51" t="s">
        <v>3659</v>
      </c>
      <c r="B18" s="276"/>
      <c r="C18" s="54" t="n">
        <v>815.47</v>
      </c>
      <c r="D18" s="55"/>
      <c r="E18" s="56" t="str">
        <f aca="false">IF(ISBLANK(D18),"",IF(ISNUMBER(C18),ROUND(C18*D18,2),"Укажите цену"))</f>
        <v/>
      </c>
      <c r="F18" s="276" t="s">
        <v>3660</v>
      </c>
      <c r="G18" s="276" t="s">
        <v>3658</v>
      </c>
      <c r="H18" s="276"/>
      <c r="I18" s="278"/>
      <c r="J18" s="278"/>
      <c r="K18" s="278"/>
      <c r="L18" s="278"/>
      <c r="M18" s="278"/>
      <c r="N18" s="278"/>
      <c r="O18" s="278"/>
      <c r="P18" s="278"/>
      <c r="Q18" s="278"/>
      <c r="R18" s="278"/>
      <c r="S18" s="278"/>
      <c r="T18" s="278"/>
      <c r="U18" s="278"/>
      <c r="V18" s="278"/>
      <c r="W18" s="278"/>
      <c r="X18" s="278"/>
      <c r="Y18" s="278"/>
      <c r="Z18" s="278"/>
      <c r="AA18" s="278"/>
      <c r="AB18" s="278"/>
      <c r="AC18" s="278"/>
      <c r="AD18" s="278"/>
      <c r="AE18" s="278"/>
      <c r="AF18" s="278"/>
      <c r="AG18" s="278"/>
      <c r="AH18" s="278"/>
      <c r="AI18" s="278"/>
      <c r="AJ18" s="278"/>
      <c r="AK18" s="278"/>
      <c r="AL18" s="278"/>
      <c r="AM18" s="278"/>
      <c r="AN18" s="278"/>
      <c r="AO18" s="278"/>
      <c r="AP18" s="278"/>
      <c r="AQ18" s="278"/>
      <c r="AR18" s="278"/>
      <c r="AS18" s="278"/>
      <c r="AT18" s="278"/>
      <c r="AU18" s="278"/>
      <c r="AV18" s="278"/>
      <c r="AW18" s="278"/>
      <c r="AX18" s="278"/>
      <c r="AY18" s="278"/>
      <c r="AZ18" s="278"/>
      <c r="BA18" s="278"/>
      <c r="BB18" s="278"/>
      <c r="BC18" s="278"/>
      <c r="BD18" s="278"/>
      <c r="BE18" s="278"/>
      <c r="BF18" s="278"/>
      <c r="BG18" s="278"/>
      <c r="BH18" s="278"/>
      <c r="BI18" s="278"/>
      <c r="BJ18" s="278"/>
      <c r="BK18" s="278"/>
      <c r="BL18" s="278"/>
      <c r="BM18" s="278"/>
      <c r="BN18" s="278"/>
      <c r="BO18" s="278"/>
      <c r="BP18" s="278"/>
      <c r="BQ18" s="278"/>
      <c r="BR18" s="278"/>
      <c r="BS18" s="278"/>
      <c r="BT18" s="278"/>
      <c r="BU18" s="278"/>
      <c r="BV18" s="278"/>
      <c r="BW18" s="278"/>
      <c r="BX18" s="278"/>
      <c r="BY18" s="278"/>
      <c r="BZ18" s="278"/>
      <c r="CA18" s="278"/>
      <c r="CB18" s="278"/>
      <c r="CC18" s="278"/>
      <c r="CD18" s="278"/>
      <c r="CE18" s="278"/>
      <c r="CF18" s="278"/>
      <c r="CG18" s="278"/>
      <c r="CH18" s="278"/>
      <c r="CI18" s="278"/>
      <c r="CJ18" s="278"/>
      <c r="CK18" s="278"/>
      <c r="CL18" s="278"/>
      <c r="CM18" s="278"/>
      <c r="CN18" s="278"/>
      <c r="CO18" s="278"/>
      <c r="CP18" s="278"/>
      <c r="CQ18" s="278"/>
      <c r="CR18" s="278"/>
      <c r="CS18" s="278"/>
      <c r="CT18" s="278"/>
      <c r="CU18" s="278"/>
      <c r="CV18" s="278"/>
      <c r="CW18" s="278"/>
      <c r="CX18" s="278"/>
      <c r="CY18" s="278"/>
      <c r="CZ18" s="278"/>
      <c r="DA18" s="278"/>
      <c r="DB18" s="278"/>
      <c r="DC18" s="278"/>
      <c r="DD18" s="278"/>
      <c r="DE18" s="278"/>
      <c r="DF18" s="278"/>
      <c r="DG18" s="278"/>
      <c r="DH18" s="278"/>
      <c r="DI18" s="278"/>
      <c r="DJ18" s="278"/>
      <c r="DK18" s="278"/>
      <c r="DL18" s="278"/>
      <c r="DM18" s="278"/>
      <c r="DN18" s="278"/>
      <c r="DO18" s="278"/>
      <c r="DP18" s="278"/>
      <c r="DQ18" s="278"/>
      <c r="DR18" s="278"/>
      <c r="DS18" s="278"/>
      <c r="DT18" s="278"/>
      <c r="DU18" s="278"/>
      <c r="DV18" s="278"/>
      <c r="DW18" s="278"/>
      <c r="DX18" s="278"/>
      <c r="DY18" s="278"/>
      <c r="DZ18" s="278"/>
      <c r="EA18" s="278"/>
      <c r="EB18" s="278"/>
      <c r="EC18" s="278"/>
      <c r="ED18" s="278"/>
      <c r="EE18" s="278"/>
      <c r="EF18" s="278"/>
      <c r="EG18" s="278"/>
      <c r="EH18" s="278"/>
      <c r="EI18" s="278"/>
      <c r="EJ18" s="278"/>
      <c r="EK18" s="278"/>
      <c r="EL18" s="278"/>
      <c r="EM18" s="278"/>
      <c r="EN18" s="278"/>
      <c r="EO18" s="278"/>
      <c r="EP18" s="278"/>
      <c r="EQ18" s="278"/>
      <c r="ER18" s="278"/>
      <c r="ES18" s="278"/>
      <c r="ET18" s="278"/>
      <c r="EU18" s="278"/>
      <c r="EV18" s="278"/>
      <c r="EW18" s="278"/>
      <c r="EX18" s="278"/>
      <c r="EY18" s="278"/>
      <c r="EZ18" s="278"/>
      <c r="FA18" s="278"/>
      <c r="FB18" s="278"/>
      <c r="FC18" s="278"/>
      <c r="FD18" s="278"/>
      <c r="FE18" s="278"/>
      <c r="FF18" s="278"/>
      <c r="FG18" s="278"/>
      <c r="FH18" s="278"/>
      <c r="FI18" s="278"/>
      <c r="FJ18" s="278"/>
      <c r="FK18" s="278"/>
      <c r="FL18" s="278"/>
      <c r="FM18" s="278"/>
      <c r="FN18" s="278"/>
      <c r="FO18" s="278"/>
      <c r="FP18" s="278"/>
      <c r="FQ18" s="278"/>
      <c r="FR18" s="278"/>
      <c r="FS18" s="278"/>
      <c r="FT18" s="278"/>
      <c r="FU18" s="278"/>
      <c r="FV18" s="278"/>
      <c r="FW18" s="278"/>
      <c r="FX18" s="278"/>
      <c r="FY18" s="278"/>
      <c r="FZ18" s="278"/>
      <c r="GA18" s="278"/>
      <c r="GB18" s="278"/>
      <c r="GC18" s="278"/>
      <c r="GD18" s="278"/>
      <c r="GE18" s="278"/>
      <c r="GF18" s="278"/>
      <c r="GG18" s="278"/>
      <c r="GH18" s="278"/>
      <c r="GI18" s="278"/>
      <c r="GJ18" s="278"/>
      <c r="GK18" s="278"/>
      <c r="GL18" s="278"/>
      <c r="GM18" s="278"/>
      <c r="GN18" s="278"/>
      <c r="GO18" s="278"/>
      <c r="GP18" s="278"/>
      <c r="GQ18" s="278"/>
      <c r="GR18" s="278"/>
      <c r="GS18" s="278"/>
      <c r="GT18" s="278"/>
      <c r="GU18" s="278"/>
      <c r="GV18" s="278"/>
      <c r="GW18" s="278"/>
      <c r="GX18" s="278"/>
      <c r="GY18" s="278"/>
      <c r="GZ18" s="278"/>
      <c r="HA18" s="278"/>
      <c r="HB18" s="278"/>
      <c r="HC18" s="278"/>
      <c r="HD18" s="278"/>
      <c r="HE18" s="278"/>
      <c r="HF18" s="278"/>
      <c r="HG18" s="278"/>
      <c r="HH18" s="278"/>
      <c r="HI18" s="278"/>
      <c r="HJ18" s="278"/>
      <c r="HK18" s="278"/>
      <c r="HL18" s="278"/>
      <c r="HM18" s="278"/>
      <c r="HN18" s="278"/>
      <c r="HO18" s="278"/>
      <c r="HP18" s="278"/>
      <c r="HQ18" s="278"/>
      <c r="HR18" s="278"/>
      <c r="HS18" s="278"/>
      <c r="HT18" s="278"/>
      <c r="HU18" s="278"/>
      <c r="HV18" s="278"/>
      <c r="HW18" s="278"/>
      <c r="HX18" s="278"/>
      <c r="HY18" s="278"/>
      <c r="HZ18" s="278"/>
      <c r="IA18" s="278"/>
      <c r="IB18" s="278"/>
      <c r="IC18" s="278"/>
      <c r="ID18" s="278"/>
      <c r="IE18" s="278"/>
      <c r="IF18" s="278"/>
      <c r="IG18" s="278"/>
      <c r="IH18" s="278"/>
      <c r="II18" s="278"/>
      <c r="IJ18" s="278"/>
      <c r="IK18" s="278"/>
      <c r="IL18" s="278"/>
      <c r="IM18" s="278"/>
      <c r="IN18" s="278"/>
      <c r="IO18" s="278"/>
      <c r="IP18" s="278"/>
      <c r="IQ18" s="278"/>
      <c r="IR18" s="278"/>
    </row>
    <row r="19" s="279" customFormat="true" ht="115" hidden="false" customHeight="true" outlineLevel="2" collapsed="false">
      <c r="A19" s="51" t="s">
        <v>3661</v>
      </c>
      <c r="B19" s="276"/>
      <c r="C19" s="282"/>
      <c r="D19" s="55"/>
      <c r="E19" s="56" t="str">
        <f aca="false">IF(ISBLANK(D19),"",IF(ISNUMBER(C19),ROUND(C19*D19,2),"Укажите цену"))</f>
        <v/>
      </c>
      <c r="F19" s="276" t="s">
        <v>3662</v>
      </c>
      <c r="G19" s="276" t="s">
        <v>3658</v>
      </c>
      <c r="H19" s="276"/>
      <c r="I19" s="278"/>
      <c r="J19" s="278"/>
      <c r="K19" s="278"/>
      <c r="L19" s="278"/>
      <c r="M19" s="278"/>
      <c r="N19" s="278"/>
      <c r="O19" s="278"/>
      <c r="P19" s="278"/>
      <c r="Q19" s="278"/>
      <c r="R19" s="278"/>
      <c r="S19" s="278"/>
      <c r="T19" s="278"/>
      <c r="U19" s="278"/>
      <c r="V19" s="278"/>
      <c r="W19" s="278"/>
      <c r="X19" s="278"/>
      <c r="Y19" s="278"/>
      <c r="Z19" s="278"/>
      <c r="AA19" s="278"/>
      <c r="AB19" s="278"/>
      <c r="AC19" s="278"/>
      <c r="AD19" s="278"/>
      <c r="AE19" s="278"/>
      <c r="AF19" s="278"/>
      <c r="AG19" s="278"/>
      <c r="AH19" s="278"/>
      <c r="AI19" s="278"/>
      <c r="AJ19" s="278"/>
      <c r="AK19" s="278"/>
      <c r="AL19" s="278"/>
      <c r="AM19" s="278"/>
      <c r="AN19" s="278"/>
      <c r="AO19" s="278"/>
      <c r="AP19" s="278"/>
      <c r="AQ19" s="278"/>
      <c r="AR19" s="278"/>
      <c r="AS19" s="278"/>
      <c r="AT19" s="278"/>
      <c r="AU19" s="278"/>
      <c r="AV19" s="278"/>
      <c r="AW19" s="278"/>
      <c r="AX19" s="278"/>
      <c r="AY19" s="278"/>
      <c r="AZ19" s="278"/>
      <c r="BA19" s="278"/>
      <c r="BB19" s="278"/>
      <c r="BC19" s="278"/>
      <c r="BD19" s="278"/>
      <c r="BE19" s="278"/>
      <c r="BF19" s="278"/>
      <c r="BG19" s="278"/>
      <c r="BH19" s="278"/>
      <c r="BI19" s="278"/>
      <c r="BJ19" s="278"/>
      <c r="BK19" s="278"/>
      <c r="BL19" s="278"/>
      <c r="BM19" s="278"/>
      <c r="BN19" s="278"/>
      <c r="BO19" s="278"/>
      <c r="BP19" s="278"/>
      <c r="BQ19" s="278"/>
      <c r="BR19" s="278"/>
      <c r="BS19" s="278"/>
      <c r="BT19" s="278"/>
      <c r="BU19" s="278"/>
      <c r="BV19" s="278"/>
      <c r="BW19" s="278"/>
      <c r="BX19" s="278"/>
      <c r="BY19" s="278"/>
      <c r="BZ19" s="278"/>
      <c r="CA19" s="278"/>
      <c r="CB19" s="278"/>
      <c r="CC19" s="278"/>
      <c r="CD19" s="278"/>
      <c r="CE19" s="278"/>
      <c r="CF19" s="278"/>
      <c r="CG19" s="278"/>
      <c r="CH19" s="278"/>
      <c r="CI19" s="278"/>
      <c r="CJ19" s="278"/>
      <c r="CK19" s="278"/>
      <c r="CL19" s="278"/>
      <c r="CM19" s="278"/>
      <c r="CN19" s="278"/>
      <c r="CO19" s="278"/>
      <c r="CP19" s="278"/>
      <c r="CQ19" s="278"/>
      <c r="CR19" s="278"/>
      <c r="CS19" s="278"/>
      <c r="CT19" s="278"/>
      <c r="CU19" s="278"/>
      <c r="CV19" s="278"/>
      <c r="CW19" s="278"/>
      <c r="CX19" s="278"/>
      <c r="CY19" s="278"/>
      <c r="CZ19" s="278"/>
      <c r="DA19" s="278"/>
      <c r="DB19" s="278"/>
      <c r="DC19" s="278"/>
      <c r="DD19" s="278"/>
      <c r="DE19" s="278"/>
      <c r="DF19" s="278"/>
      <c r="DG19" s="278"/>
      <c r="DH19" s="278"/>
      <c r="DI19" s="278"/>
      <c r="DJ19" s="278"/>
      <c r="DK19" s="278"/>
      <c r="DL19" s="278"/>
      <c r="DM19" s="278"/>
      <c r="DN19" s="278"/>
      <c r="DO19" s="278"/>
      <c r="DP19" s="278"/>
      <c r="DQ19" s="278"/>
      <c r="DR19" s="278"/>
      <c r="DS19" s="278"/>
      <c r="DT19" s="278"/>
      <c r="DU19" s="278"/>
      <c r="DV19" s="278"/>
      <c r="DW19" s="278"/>
      <c r="DX19" s="278"/>
      <c r="DY19" s="278"/>
      <c r="DZ19" s="278"/>
      <c r="EA19" s="278"/>
      <c r="EB19" s="278"/>
      <c r="EC19" s="278"/>
      <c r="ED19" s="278"/>
      <c r="EE19" s="278"/>
      <c r="EF19" s="278"/>
      <c r="EG19" s="278"/>
      <c r="EH19" s="278"/>
      <c r="EI19" s="278"/>
      <c r="EJ19" s="278"/>
      <c r="EK19" s="278"/>
      <c r="EL19" s="278"/>
      <c r="EM19" s="278"/>
      <c r="EN19" s="278"/>
      <c r="EO19" s="278"/>
      <c r="EP19" s="278"/>
      <c r="EQ19" s="278"/>
      <c r="ER19" s="278"/>
      <c r="ES19" s="278"/>
      <c r="ET19" s="278"/>
      <c r="EU19" s="278"/>
      <c r="EV19" s="278"/>
      <c r="EW19" s="278"/>
      <c r="EX19" s="278"/>
      <c r="EY19" s="278"/>
      <c r="EZ19" s="278"/>
      <c r="FA19" s="278"/>
      <c r="FB19" s="278"/>
      <c r="FC19" s="278"/>
      <c r="FD19" s="278"/>
      <c r="FE19" s="278"/>
      <c r="FF19" s="278"/>
      <c r="FG19" s="278"/>
      <c r="FH19" s="278"/>
      <c r="FI19" s="278"/>
      <c r="FJ19" s="278"/>
      <c r="FK19" s="278"/>
      <c r="FL19" s="278"/>
      <c r="FM19" s="278"/>
      <c r="FN19" s="278"/>
      <c r="FO19" s="278"/>
      <c r="FP19" s="278"/>
      <c r="FQ19" s="278"/>
      <c r="FR19" s="278"/>
      <c r="FS19" s="278"/>
      <c r="FT19" s="278"/>
      <c r="FU19" s="278"/>
      <c r="FV19" s="278"/>
      <c r="FW19" s="278"/>
      <c r="FX19" s="278"/>
      <c r="FY19" s="278"/>
      <c r="FZ19" s="278"/>
      <c r="GA19" s="278"/>
      <c r="GB19" s="278"/>
      <c r="GC19" s="278"/>
      <c r="GD19" s="278"/>
      <c r="GE19" s="278"/>
      <c r="GF19" s="278"/>
      <c r="GG19" s="278"/>
      <c r="GH19" s="278"/>
      <c r="GI19" s="278"/>
      <c r="GJ19" s="278"/>
      <c r="GK19" s="278"/>
      <c r="GL19" s="278"/>
      <c r="GM19" s="278"/>
      <c r="GN19" s="278"/>
      <c r="GO19" s="278"/>
      <c r="GP19" s="278"/>
      <c r="GQ19" s="278"/>
      <c r="GR19" s="278"/>
      <c r="GS19" s="278"/>
      <c r="GT19" s="278"/>
      <c r="GU19" s="278"/>
      <c r="GV19" s="278"/>
      <c r="GW19" s="278"/>
      <c r="GX19" s="278"/>
      <c r="GY19" s="278"/>
      <c r="GZ19" s="278"/>
      <c r="HA19" s="278"/>
      <c r="HB19" s="278"/>
      <c r="HC19" s="278"/>
      <c r="HD19" s="278"/>
      <c r="HE19" s="278"/>
      <c r="HF19" s="278"/>
      <c r="HG19" s="278"/>
      <c r="HH19" s="278"/>
      <c r="HI19" s="278"/>
      <c r="HJ19" s="278"/>
      <c r="HK19" s="278"/>
      <c r="HL19" s="278"/>
      <c r="HM19" s="278"/>
      <c r="HN19" s="278"/>
      <c r="HO19" s="278"/>
      <c r="HP19" s="278"/>
      <c r="HQ19" s="278"/>
      <c r="HR19" s="278"/>
      <c r="HS19" s="278"/>
      <c r="HT19" s="278"/>
      <c r="HU19" s="278"/>
      <c r="HV19" s="278"/>
      <c r="HW19" s="278"/>
      <c r="HX19" s="278"/>
      <c r="HY19" s="278"/>
      <c r="HZ19" s="278"/>
      <c r="IA19" s="278"/>
      <c r="IB19" s="278"/>
      <c r="IC19" s="278"/>
      <c r="ID19" s="278"/>
      <c r="IE19" s="278"/>
      <c r="IF19" s="278"/>
      <c r="IG19" s="278"/>
      <c r="IH19" s="278"/>
      <c r="II19" s="278"/>
      <c r="IJ19" s="278"/>
      <c r="IK19" s="278"/>
      <c r="IL19" s="278"/>
      <c r="IM19" s="278"/>
      <c r="IN19" s="278"/>
      <c r="IO19" s="278"/>
      <c r="IP19" s="278"/>
      <c r="IQ19" s="278"/>
      <c r="IR19" s="278"/>
    </row>
    <row r="20" s="281" customFormat="true" ht="115" hidden="false" customHeight="true" outlineLevel="2" collapsed="false">
      <c r="A20" s="51" t="s">
        <v>3663</v>
      </c>
      <c r="B20" s="276"/>
      <c r="C20" s="54" t="n">
        <v>16.31</v>
      </c>
      <c r="D20" s="55"/>
      <c r="E20" s="56" t="str">
        <f aca="false">IF(ISBLANK(D20),"",IF(ISNUMBER(C20),ROUND(C20*D20,2),"Укажите цену"))</f>
        <v/>
      </c>
      <c r="F20" s="275" t="s">
        <v>3664</v>
      </c>
      <c r="G20" s="276" t="s">
        <v>3658</v>
      </c>
      <c r="H20" s="276"/>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8"/>
      <c r="AL20" s="278"/>
      <c r="AM20" s="278"/>
      <c r="AN20" s="278"/>
      <c r="AO20" s="278"/>
      <c r="AP20" s="278"/>
      <c r="AQ20" s="278"/>
      <c r="AR20" s="278"/>
      <c r="AS20" s="278"/>
      <c r="AT20" s="278"/>
      <c r="AU20" s="278"/>
      <c r="AV20" s="278"/>
      <c r="AW20" s="278"/>
      <c r="AX20" s="278"/>
      <c r="AY20" s="278"/>
      <c r="AZ20" s="278"/>
      <c r="BA20" s="278"/>
      <c r="BB20" s="278"/>
      <c r="BC20" s="278"/>
      <c r="BD20" s="278"/>
      <c r="BE20" s="278"/>
      <c r="BF20" s="278"/>
      <c r="BG20" s="278"/>
      <c r="BH20" s="278"/>
      <c r="BI20" s="278"/>
      <c r="BJ20" s="278"/>
      <c r="BK20" s="278"/>
      <c r="BL20" s="278"/>
      <c r="BM20" s="278"/>
      <c r="BN20" s="278"/>
      <c r="BO20" s="278"/>
      <c r="BP20" s="278"/>
      <c r="BQ20" s="278"/>
      <c r="BR20" s="278"/>
      <c r="BS20" s="278"/>
      <c r="BT20" s="278"/>
      <c r="BU20" s="278"/>
      <c r="BV20" s="278"/>
      <c r="BW20" s="278"/>
      <c r="BX20" s="278"/>
      <c r="BY20" s="278"/>
      <c r="BZ20" s="278"/>
      <c r="CA20" s="278"/>
      <c r="CB20" s="278"/>
      <c r="CC20" s="278"/>
      <c r="CD20" s="278"/>
      <c r="CE20" s="278"/>
      <c r="CF20" s="278"/>
      <c r="CG20" s="278"/>
      <c r="CH20" s="278"/>
      <c r="CI20" s="278"/>
      <c r="CJ20" s="278"/>
      <c r="CK20" s="278"/>
      <c r="CL20" s="278"/>
      <c r="CM20" s="278"/>
      <c r="CN20" s="278"/>
      <c r="CO20" s="278"/>
      <c r="CP20" s="278"/>
      <c r="CQ20" s="278"/>
      <c r="CR20" s="278"/>
      <c r="CS20" s="278"/>
      <c r="CT20" s="278"/>
      <c r="CU20" s="278"/>
      <c r="CV20" s="278"/>
      <c r="CW20" s="278"/>
      <c r="CX20" s="278"/>
      <c r="CY20" s="278"/>
      <c r="CZ20" s="278"/>
      <c r="DA20" s="278"/>
      <c r="DB20" s="278"/>
      <c r="DC20" s="278"/>
      <c r="DD20" s="278"/>
      <c r="DE20" s="278"/>
      <c r="DF20" s="278"/>
      <c r="DG20" s="278"/>
      <c r="DH20" s="278"/>
      <c r="DI20" s="278"/>
      <c r="DJ20" s="278"/>
      <c r="DK20" s="278"/>
      <c r="DL20" s="278"/>
      <c r="DM20" s="278"/>
      <c r="DN20" s="278"/>
      <c r="DO20" s="278"/>
      <c r="DP20" s="278"/>
      <c r="DQ20" s="278"/>
      <c r="DR20" s="278"/>
      <c r="DS20" s="278"/>
      <c r="DT20" s="278"/>
      <c r="DU20" s="278"/>
      <c r="DV20" s="278"/>
      <c r="DW20" s="278"/>
      <c r="DX20" s="278"/>
      <c r="DY20" s="278"/>
      <c r="DZ20" s="278"/>
      <c r="EA20" s="278"/>
      <c r="EB20" s="278"/>
      <c r="EC20" s="278"/>
      <c r="ED20" s="278"/>
      <c r="EE20" s="278"/>
      <c r="EF20" s="278"/>
      <c r="EG20" s="278"/>
      <c r="EH20" s="278"/>
      <c r="EI20" s="278"/>
      <c r="EJ20" s="278"/>
      <c r="EK20" s="278"/>
      <c r="EL20" s="278"/>
      <c r="EM20" s="278"/>
      <c r="EN20" s="278"/>
      <c r="EO20" s="278"/>
      <c r="EP20" s="278"/>
      <c r="EQ20" s="278"/>
      <c r="ER20" s="278"/>
      <c r="ES20" s="278"/>
      <c r="ET20" s="278"/>
      <c r="EU20" s="278"/>
      <c r="EV20" s="278"/>
      <c r="EW20" s="278"/>
      <c r="EX20" s="278"/>
      <c r="EY20" s="278"/>
      <c r="EZ20" s="278"/>
      <c r="FA20" s="278"/>
      <c r="FB20" s="278"/>
      <c r="FC20" s="278"/>
      <c r="FD20" s="278"/>
      <c r="FE20" s="278"/>
      <c r="FF20" s="278"/>
      <c r="FG20" s="278"/>
      <c r="FH20" s="278"/>
      <c r="FI20" s="278"/>
      <c r="FJ20" s="278"/>
      <c r="FK20" s="278"/>
      <c r="FL20" s="278"/>
      <c r="FM20" s="278"/>
      <c r="FN20" s="278"/>
      <c r="FO20" s="278"/>
      <c r="FP20" s="278"/>
      <c r="FQ20" s="278"/>
      <c r="FR20" s="278"/>
      <c r="FS20" s="278"/>
      <c r="FT20" s="278"/>
      <c r="FU20" s="278"/>
      <c r="FV20" s="278"/>
      <c r="FW20" s="278"/>
      <c r="FX20" s="278"/>
      <c r="FY20" s="278"/>
      <c r="FZ20" s="278"/>
      <c r="GA20" s="278"/>
      <c r="GB20" s="278"/>
      <c r="GC20" s="278"/>
      <c r="GD20" s="278"/>
      <c r="GE20" s="278"/>
      <c r="GF20" s="278"/>
      <c r="GG20" s="278"/>
      <c r="GH20" s="278"/>
      <c r="GI20" s="278"/>
      <c r="GJ20" s="278"/>
      <c r="GK20" s="278"/>
      <c r="GL20" s="278"/>
      <c r="GM20" s="278"/>
      <c r="GN20" s="278"/>
      <c r="GO20" s="278"/>
      <c r="GP20" s="278"/>
      <c r="GQ20" s="278"/>
      <c r="GR20" s="278"/>
      <c r="GS20" s="278"/>
      <c r="GT20" s="278"/>
      <c r="GU20" s="278"/>
      <c r="GV20" s="278"/>
      <c r="GW20" s="278"/>
      <c r="GX20" s="278"/>
      <c r="GY20" s="278"/>
      <c r="GZ20" s="278"/>
      <c r="HA20" s="278"/>
      <c r="HB20" s="278"/>
      <c r="HC20" s="278"/>
      <c r="HD20" s="278"/>
      <c r="HE20" s="278"/>
      <c r="HF20" s="278"/>
      <c r="HG20" s="278"/>
      <c r="HH20" s="278"/>
      <c r="HI20" s="278"/>
      <c r="HJ20" s="278"/>
      <c r="HK20" s="278"/>
      <c r="HL20" s="278"/>
      <c r="HM20" s="278"/>
      <c r="HN20" s="278"/>
      <c r="HO20" s="278"/>
      <c r="HP20" s="278"/>
      <c r="HQ20" s="278"/>
      <c r="HR20" s="278"/>
      <c r="HS20" s="278"/>
      <c r="HT20" s="278"/>
      <c r="HU20" s="278"/>
      <c r="HV20" s="278"/>
      <c r="HW20" s="278"/>
      <c r="HX20" s="278"/>
      <c r="HY20" s="278"/>
      <c r="HZ20" s="278"/>
      <c r="IA20" s="278"/>
      <c r="IB20" s="278"/>
      <c r="IC20" s="278"/>
      <c r="ID20" s="278"/>
      <c r="IE20" s="278"/>
      <c r="IF20" s="278"/>
      <c r="IG20" s="278"/>
      <c r="IH20" s="278"/>
      <c r="II20" s="278"/>
      <c r="IJ20" s="278"/>
      <c r="IK20" s="278"/>
      <c r="IL20" s="278"/>
      <c r="IM20" s="278"/>
      <c r="IN20" s="278"/>
      <c r="IO20" s="278"/>
      <c r="IP20" s="278"/>
      <c r="IQ20" s="278"/>
      <c r="IR20" s="278"/>
    </row>
    <row r="21" customFormat="false" ht="30" hidden="false" customHeight="true" outlineLevel="1" collapsed="false">
      <c r="C21" s="109" t="s">
        <v>633</v>
      </c>
      <c r="D21" s="109"/>
      <c r="E21" s="109" t="n">
        <f aca="false">IF(COUNTIFS(E4:E20,"Укажите цену")&gt;0,"Укажите цены",SUM(E4:E20))</f>
        <v>0</v>
      </c>
    </row>
    <row r="22" s="266" customFormat="true" ht="6" hidden="false" customHeight="true" outlineLevel="2" collapsed="false">
      <c r="A22" s="283"/>
      <c r="B22" s="283"/>
      <c r="C22" s="283"/>
      <c r="D22" s="283"/>
      <c r="E22" s="283"/>
      <c r="F22" s="283"/>
      <c r="G22" s="283"/>
      <c r="H22" s="283"/>
    </row>
    <row r="23" s="268" customFormat="true" ht="27" hidden="false" customHeight="true" outlineLevel="1" collapsed="false">
      <c r="A23" s="49" t="s">
        <v>67</v>
      </c>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c r="HQ23" s="49"/>
      <c r="HR23" s="49"/>
      <c r="HS23" s="49"/>
      <c r="HT23" s="49"/>
      <c r="HU23" s="49"/>
      <c r="HV23" s="49"/>
      <c r="HW23" s="49"/>
      <c r="HX23" s="49"/>
      <c r="HY23" s="49"/>
      <c r="HZ23" s="49"/>
      <c r="IA23" s="49"/>
      <c r="IB23" s="49"/>
      <c r="IC23" s="49"/>
      <c r="ID23" s="49"/>
      <c r="IE23" s="49"/>
      <c r="IF23" s="49"/>
      <c r="IG23" s="49"/>
      <c r="IH23" s="49"/>
      <c r="II23" s="49"/>
      <c r="IJ23" s="49"/>
      <c r="IK23" s="49"/>
      <c r="IL23" s="49"/>
      <c r="IM23" s="49"/>
      <c r="IN23" s="49"/>
      <c r="IO23" s="49"/>
      <c r="IP23" s="49"/>
      <c r="IQ23" s="49"/>
      <c r="IR23" s="49"/>
    </row>
    <row r="24" s="266" customFormat="true" ht="48" hidden="false" customHeight="true" outlineLevel="1" collapsed="false">
      <c r="A24" s="47" t="s">
        <v>3665</v>
      </c>
      <c r="B24" s="47" t="s">
        <v>1531</v>
      </c>
      <c r="C24" s="47" t="s">
        <v>73</v>
      </c>
      <c r="D24" s="47" t="s">
        <v>74</v>
      </c>
      <c r="E24" s="47" t="s">
        <v>75</v>
      </c>
      <c r="F24" s="47" t="s">
        <v>3666</v>
      </c>
      <c r="G24" s="47" t="s">
        <v>3667</v>
      </c>
      <c r="H24" s="284" t="s">
        <v>3668</v>
      </c>
    </row>
    <row r="25" s="286" customFormat="true" ht="115" hidden="false" customHeight="true" outlineLevel="2" collapsed="false">
      <c r="A25" s="51" t="s">
        <v>3669</v>
      </c>
      <c r="B25" s="98"/>
      <c r="C25" s="54" t="n">
        <v>8317.8</v>
      </c>
      <c r="D25" s="55"/>
      <c r="E25" s="56" t="str">
        <f aca="false">IF(ISBLANK(D25),"",IF(ISNUMBER(C25),ROUND(C25*D25,2),"Укажите цену"))</f>
        <v/>
      </c>
      <c r="F25" s="98" t="s">
        <v>3670</v>
      </c>
      <c r="G25" s="285" t="s">
        <v>3671</v>
      </c>
      <c r="H25" s="98" t="s">
        <v>3672</v>
      </c>
    </row>
    <row r="26" s="286" customFormat="true" ht="115" hidden="false" customHeight="true" outlineLevel="2" collapsed="false">
      <c r="A26" s="51" t="s">
        <v>3673</v>
      </c>
      <c r="B26" s="57"/>
      <c r="C26" s="54" t="n">
        <v>6067.1</v>
      </c>
      <c r="D26" s="55"/>
      <c r="E26" s="56" t="str">
        <f aca="false">IF(ISBLANK(D26),"",IF(ISNUMBER(C26),ROUND(C26*D26,2),"Укажите цену"))</f>
        <v/>
      </c>
      <c r="F26" s="287" t="s">
        <v>3674</v>
      </c>
      <c r="G26" s="288" t="s">
        <v>3675</v>
      </c>
      <c r="H26" s="57" t="s">
        <v>3672</v>
      </c>
    </row>
    <row r="27" s="286" customFormat="true" ht="115" hidden="false" customHeight="true" outlineLevel="2" collapsed="false">
      <c r="A27" s="51" t="s">
        <v>3676</v>
      </c>
      <c r="B27" s="57"/>
      <c r="C27" s="54" t="n">
        <v>11090.4</v>
      </c>
      <c r="D27" s="55"/>
      <c r="E27" s="56" t="str">
        <f aca="false">IF(ISBLANK(D27),"",IF(ISNUMBER(C27),ROUND(C27*D27,2),"Укажите цену"))</f>
        <v/>
      </c>
      <c r="F27" s="57" t="s">
        <v>3677</v>
      </c>
      <c r="G27" s="288" t="s">
        <v>3678</v>
      </c>
      <c r="H27" s="57" t="s">
        <v>3672</v>
      </c>
    </row>
    <row r="28" s="286" customFormat="true" ht="115" hidden="false" customHeight="true" outlineLevel="2" collapsed="false">
      <c r="A28" s="51" t="s">
        <v>3679</v>
      </c>
      <c r="B28" s="57"/>
      <c r="C28" s="54" t="n">
        <v>22702.7</v>
      </c>
      <c r="D28" s="55"/>
      <c r="E28" s="56" t="str">
        <f aca="false">IF(ISBLANK(D28),"",IF(ISNUMBER(C28),ROUND(C28*D28,2),"Укажите цену"))</f>
        <v/>
      </c>
      <c r="F28" s="57" t="s">
        <v>3680</v>
      </c>
      <c r="G28" s="288" t="s">
        <v>3681</v>
      </c>
      <c r="H28" s="57" t="s">
        <v>3672</v>
      </c>
    </row>
    <row r="29" s="286" customFormat="true" ht="115" hidden="false" customHeight="true" outlineLevel="2" collapsed="false">
      <c r="A29" s="51" t="s">
        <v>3682</v>
      </c>
      <c r="B29" s="57"/>
      <c r="C29" s="54" t="n">
        <v>28769.8</v>
      </c>
      <c r="D29" s="55"/>
      <c r="E29" s="56" t="str">
        <f aca="false">IF(ISBLANK(D29),"",IF(ISNUMBER(C29),ROUND(C29*D29,2),"Укажите цену"))</f>
        <v/>
      </c>
      <c r="F29" s="57" t="s">
        <v>3683</v>
      </c>
      <c r="G29" s="288" t="s">
        <v>3684</v>
      </c>
      <c r="H29" s="57" t="s">
        <v>3672</v>
      </c>
    </row>
    <row r="30" s="286" customFormat="true" ht="115" hidden="false" customHeight="true" outlineLevel="2" collapsed="false">
      <c r="A30" s="51" t="s">
        <v>3685</v>
      </c>
      <c r="B30" s="57"/>
      <c r="C30" s="54" t="n">
        <v>34836.9</v>
      </c>
      <c r="D30" s="55"/>
      <c r="E30" s="56" t="str">
        <f aca="false">IF(ISBLANK(D30),"",IF(ISNUMBER(C30),ROUND(C30*D30,2),"Укажите цену"))</f>
        <v/>
      </c>
      <c r="F30" s="57" t="s">
        <v>3686</v>
      </c>
      <c r="G30" s="288" t="s">
        <v>3687</v>
      </c>
      <c r="H30" s="57" t="s">
        <v>3672</v>
      </c>
    </row>
    <row r="31" s="286" customFormat="true" ht="115" hidden="false" customHeight="true" outlineLevel="2" collapsed="false">
      <c r="A31" s="51" t="s">
        <v>3688</v>
      </c>
      <c r="B31" s="57"/>
      <c r="C31" s="54" t="n">
        <v>33271.2</v>
      </c>
      <c r="D31" s="55"/>
      <c r="E31" s="56" t="str">
        <f aca="false">IF(ISBLANK(D31),"",IF(ISNUMBER(C31),ROUND(C31*D31,2),"Укажите цену"))</f>
        <v/>
      </c>
      <c r="F31" s="57" t="s">
        <v>3689</v>
      </c>
      <c r="G31" s="288" t="s">
        <v>3690</v>
      </c>
      <c r="H31" s="57" t="s">
        <v>3672</v>
      </c>
    </row>
    <row r="32" s="286" customFormat="true" ht="115" hidden="false" customHeight="true" outlineLevel="2" collapsed="false">
      <c r="A32" s="51" t="s">
        <v>3691</v>
      </c>
      <c r="B32" s="57"/>
      <c r="C32" s="54" t="n">
        <v>39338.3</v>
      </c>
      <c r="D32" s="55"/>
      <c r="E32" s="56" t="str">
        <f aca="false">IF(ISBLANK(D32),"",IF(ISNUMBER(C32),ROUND(C32*D32,2),"Укажите цену"))</f>
        <v/>
      </c>
      <c r="F32" s="57" t="s">
        <v>3692</v>
      </c>
      <c r="G32" s="288" t="s">
        <v>3693</v>
      </c>
      <c r="H32" s="57" t="s">
        <v>3672</v>
      </c>
    </row>
    <row r="33" s="266" customFormat="true" ht="115" hidden="false" customHeight="true" outlineLevel="2" collapsed="false">
      <c r="A33" s="51" t="s">
        <v>3694</v>
      </c>
      <c r="B33" s="276"/>
      <c r="C33" s="54" t="n">
        <v>4892.82</v>
      </c>
      <c r="D33" s="55"/>
      <c r="E33" s="56" t="str">
        <f aca="false">IF(ISBLANK(D33),"",IF(ISNUMBER(C33),ROUND(C33*D33,2),"Укажите цену"))</f>
        <v/>
      </c>
      <c r="F33" s="276" t="s">
        <v>3695</v>
      </c>
      <c r="G33" s="289" t="s">
        <v>3696</v>
      </c>
      <c r="H33" s="234" t="s">
        <v>3672</v>
      </c>
    </row>
    <row r="34" customFormat="false" ht="30" hidden="false" customHeight="true" outlineLevel="1" collapsed="false">
      <c r="C34" s="109" t="s">
        <v>633</v>
      </c>
      <c r="D34" s="109"/>
      <c r="E34" s="109" t="n">
        <f aca="false">IF(COUNTIFS(E25:E33,"Укажите цену")&gt;0,"Укажите цены",SUM(E25:E33))</f>
        <v>0</v>
      </c>
    </row>
  </sheetData>
  <mergeCells count="24">
    <mergeCell ref="A1:M1"/>
    <mergeCell ref="A2:E2"/>
    <mergeCell ref="G3:H3"/>
    <mergeCell ref="G4:H4"/>
    <mergeCell ref="G5:H5"/>
    <mergeCell ref="G6:H6"/>
    <mergeCell ref="G7:H7"/>
    <mergeCell ref="G8:H8"/>
    <mergeCell ref="G9:H9"/>
    <mergeCell ref="G10:H10"/>
    <mergeCell ref="G11:H11"/>
    <mergeCell ref="G12:H12"/>
    <mergeCell ref="G13:H13"/>
    <mergeCell ref="G14:H14"/>
    <mergeCell ref="G15:H15"/>
    <mergeCell ref="G16:H16"/>
    <mergeCell ref="G17:H17"/>
    <mergeCell ref="G18:H18"/>
    <mergeCell ref="G19:H19"/>
    <mergeCell ref="G20:H20"/>
    <mergeCell ref="C21:D21"/>
    <mergeCell ref="A22:H22"/>
    <mergeCell ref="A23:E23"/>
    <mergeCell ref="C34:D34"/>
  </mergeCells>
  <printOptions headings="false" gridLines="false" gridLinesSet="true" horizontalCentered="true" verticalCentered="false"/>
  <pageMargins left="0.429861111111111" right="0.390277777777778" top="0.390277777777778" bottom="0.390277777777778" header="0.511811023622047" footer="0.390277777777778"/>
  <pageSetup paperSize="9" scale="100" fitToWidth="1" fitToHeight="0" pageOrder="downThenOver" orientation="landscape" blackAndWhite="false" draft="false" cellComments="none" horizontalDpi="300" verticalDpi="300" copies="1"/>
  <headerFooter differentFirst="false" differentOddEven="false">
    <oddHeader/>
    <oddFooter>&amp;L&amp;P</oddFooter>
  </headerFooter>
  <rowBreaks count="2" manualBreakCount="2">
    <brk id="30" man="true" max="16383" min="0"/>
    <brk id="33" man="true" max="16383" min="0"/>
  </rowBreaks>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7C7B1"/>
    <pageSetUpPr fitToPage="false"/>
  </sheetPr>
  <dimension ref="A1:S1374"/>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5078125" defaultRowHeight="15" customHeight="false" zeroHeight="false" outlineLevelRow="0" outlineLevelCol="0"/>
  <cols>
    <col collapsed="false" customWidth="true" hidden="false" outlineLevel="0" max="1" min="1" style="0" width="28"/>
    <col collapsed="false" customWidth="true" hidden="false" outlineLevel="0" max="2" min="2" style="0" width="62"/>
    <col collapsed="false" customWidth="true" hidden="false" outlineLevel="0" max="3" min="3" style="0" width="21"/>
    <col collapsed="false" customWidth="true" hidden="false" outlineLevel="0" max="5" min="4" style="0" width="18"/>
    <col collapsed="false" customWidth="true" hidden="false" outlineLevel="0" max="6" min="6" style="0" width="15"/>
    <col collapsed="false" customWidth="true" hidden="false" outlineLevel="0" max="7" min="7" style="0" width="20"/>
    <col collapsed="false" customWidth="true" hidden="false" outlineLevel="0" max="8" min="8" style="0" width="22"/>
    <col collapsed="false" customWidth="true" hidden="true" outlineLevel="0" max="19" min="9" style="0" width="12"/>
  </cols>
  <sheetData>
    <row r="1" customFormat="false" ht="32" hidden="false" customHeight="true" outlineLevel="0" collapsed="false">
      <c r="A1" s="290" t="str">
        <f aca="false">IF($K$1&gt;0,"Заказ","")</f>
        <v/>
      </c>
      <c r="B1" s="290"/>
      <c r="C1" s="290"/>
      <c r="D1" s="290"/>
      <c r="E1" s="290"/>
      <c r="F1" s="291"/>
      <c r="G1" s="291"/>
      <c r="H1" s="291"/>
      <c r="K1" s="292" t="n">
        <f aca="false">K1374</f>
        <v>0</v>
      </c>
    </row>
    <row r="2" customFormat="false" ht="29" hidden="false" customHeight="true" outlineLevel="0" collapsed="false">
      <c r="A2" s="291" t="str">
        <f aca="false">IF($K$1&gt;0,"Заказанных позиций: "&amp;$K$1,"")</f>
        <v/>
      </c>
      <c r="B2" s="291"/>
      <c r="C2" s="291"/>
      <c r="D2" s="291"/>
      <c r="E2" s="291"/>
      <c r="F2" s="291"/>
      <c r="G2" s="293" t="str">
        <f aca="false">IF($K$1&gt;0,"Итого к оплате, ₽","")</f>
        <v/>
      </c>
      <c r="H2" s="294" t="str">
        <f aca="false">IF($K$1=0,"",IF(COUNTIF(H5:H1374,"Укажите цену")&gt;0,"Укажите цены",SUM(H5:H1374)))</f>
        <v/>
      </c>
    </row>
    <row r="3" customFormat="false" ht="15" hidden="false" customHeight="false" outlineLevel="0" collapsed="false">
      <c r="A3" s="291"/>
      <c r="B3" s="291"/>
      <c r="C3" s="291"/>
      <c r="D3" s="291"/>
      <c r="E3" s="291"/>
      <c r="F3" s="291"/>
      <c r="G3" s="291"/>
      <c r="H3" s="291"/>
    </row>
    <row r="4" customFormat="false" ht="36" hidden="false" customHeight="true" outlineLevel="0" collapsed="false">
      <c r="A4" s="295" t="str">
        <f aca="false">IF($K$1&gt;0,"Раздел / серия","")</f>
        <v/>
      </c>
      <c r="B4" s="295" t="str">
        <f aca="false">IF($K$1&gt;0,"Модель / наименование","")</f>
        <v/>
      </c>
      <c r="C4" s="295" t="str">
        <f aca="false">IF($K$1&gt;0,"Артикул / штрихкод","")</f>
        <v/>
      </c>
      <c r="D4" s="295" t="str">
        <f aca="false">IF($K$1&gt;0,"Цвет / вариант","")</f>
        <v/>
      </c>
      <c r="E4" s="295" t="str">
        <f aca="false">IF($K$1&gt;0,"Ед. заказа","")</f>
        <v/>
      </c>
      <c r="F4" s="295" t="str">
        <f aca="false">IF($K$1&gt;0,"Количество","")</f>
        <v/>
      </c>
      <c r="G4" s="295" t="str">
        <f aca="false">IF($K$1&gt;0,"Цена, ₽/ед.","")</f>
        <v/>
      </c>
      <c r="H4" s="295" t="str">
        <f aca="false">IF($K$1&gt;0,"Сумма заказа, ₽","")</f>
        <v/>
      </c>
      <c r="K4" s="292" t="n">
        <v>0</v>
      </c>
    </row>
    <row r="5" customFormat="false" ht="66" hidden="false" customHeight="true" outlineLevel="0" collapsed="false">
      <c r="A5" s="291" t="str">
        <f aca="true">IF(ISNUMBER($J5),INDIRECT("L"&amp;($J5+4)),"")</f>
        <v/>
      </c>
      <c r="B5" s="291" t="str">
        <f aca="true">IF(ISNUMBER($J5),INDIRECT("M"&amp;($J5+4)),"")</f>
        <v/>
      </c>
      <c r="C5" s="296" t="str">
        <f aca="true">IF(ISNUMBER($J5),INDIRECT("N"&amp;($J5+4)),"")</f>
        <v/>
      </c>
      <c r="D5" s="291" t="str">
        <f aca="true">IF(ISNUMBER($J5),INDIRECT("O"&amp;($J5+4)),"")</f>
        <v/>
      </c>
      <c r="E5" s="291" t="str">
        <f aca="true">IF(ISNUMBER($J5),INDIRECT("P"&amp;($J5+4)),"")</f>
        <v/>
      </c>
      <c r="F5" s="300" t="str">
        <f aca="true">IF(ISNUMBER($J5),INDIRECT("Q"&amp;($J5+4)),"")</f>
        <v/>
      </c>
      <c r="G5" s="298" t="str">
        <f aca="true">IF(ISNUMBER($J5),INDIRECT("R"&amp;($J5+4)),"")</f>
        <v/>
      </c>
      <c r="H5" s="298" t="str">
        <f aca="true">IF(ISNUMBER($J5),INDIRECT("S"&amp;($J5+4)),"")</f>
        <v/>
      </c>
      <c r="J5" s="292" t="str">
        <f aca="true">IF(1&lt;=$K$1,MATCH(0.5,INDIRECT("$K$4:$K$1374"),1),"")</f>
        <v/>
      </c>
      <c r="K5" s="292" t="n">
        <f aca="false">COUNTIF($Q$5:Q5,"&gt;0")</f>
        <v>0</v>
      </c>
      <c r="L5" s="292" t="str">
        <f aca="false">"Кабели"</f>
        <v>Кабели</v>
      </c>
      <c r="M5" s="292" t="str">
        <f aca="false">IF(ISBLANK(Кабели!$A$5),"",Кабели!$A$5)</f>
        <v>BX72 3-в-1 зарядный кабель (iP+Type-C+Micro)</v>
      </c>
      <c r="N5" s="292" t="str">
        <f aca="false">IF(ISBLANK(Кабели!$D$5),"",Кабели!$D$5)</f>
        <v>6974443384666</v>
      </c>
      <c r="O5" s="292" t="str">
        <f aca="false">IF(ISBLANK(Кабели!$E$5),"",Кабели!$E$5)</f>
        <v>черный</v>
      </c>
      <c r="P5" s="292" t="str">
        <f aca="false">"ед."</f>
        <v>ед.</v>
      </c>
      <c r="Q5" s="292" t="n">
        <f aca="false">N(Кабели!$G$5)</f>
        <v>0</v>
      </c>
      <c r="R5" s="299" t="n">
        <f aca="false">IF(ISBLANK(Кабели!$F$5),"",Кабели!$F$5)</f>
        <v>97.86</v>
      </c>
      <c r="S5" s="292" t="str">
        <f aca="false">IF(ISBLANK(Кабели!$H$5),"",Кабели!$H$5)</f>
        <v/>
      </c>
    </row>
    <row r="6" customFormat="false" ht="66" hidden="false" customHeight="true" outlineLevel="0" collapsed="false">
      <c r="A6" s="291" t="str">
        <f aca="true">IF(ISNUMBER($J6),INDIRECT("L"&amp;($J6+4)),"")</f>
        <v/>
      </c>
      <c r="B6" s="291" t="str">
        <f aca="true">IF(ISNUMBER($J6),INDIRECT("M"&amp;($J6+4)),"")</f>
        <v/>
      </c>
      <c r="C6" s="296" t="str">
        <f aca="true">IF(ISNUMBER($J6),INDIRECT("N"&amp;($J6+4)),"")</f>
        <v/>
      </c>
      <c r="D6" s="291" t="str">
        <f aca="true">IF(ISNUMBER($J6),INDIRECT("O"&amp;($J6+4)),"")</f>
        <v/>
      </c>
      <c r="E6" s="291" t="str">
        <f aca="true">IF(ISNUMBER($J6),INDIRECT("P"&amp;($J6+4)),"")</f>
        <v/>
      </c>
      <c r="F6" s="300" t="str">
        <f aca="true">IF(ISNUMBER($J6),INDIRECT("Q"&amp;($J6+4)),"")</f>
        <v/>
      </c>
      <c r="G6" s="298" t="str">
        <f aca="true">IF(ISNUMBER($J6),INDIRECT("R"&amp;($J6+4)),"")</f>
        <v/>
      </c>
      <c r="H6" s="298" t="str">
        <f aca="true">IF(ISNUMBER($J6),INDIRECT("S"&amp;($J6+4)),"")</f>
        <v/>
      </c>
      <c r="J6" s="292" t="str">
        <f aca="true">IF(2&lt;=$K$1,MATCH(1.5,INDIRECT("$K$4:$K$1374"),1),"")</f>
        <v/>
      </c>
      <c r="K6" s="292" t="n">
        <f aca="false">COUNTIF($Q$5:Q6,"&gt;0")</f>
        <v>0</v>
      </c>
      <c r="L6" s="292" t="str">
        <f aca="false">"Кабели"</f>
        <v>Кабели</v>
      </c>
      <c r="M6" s="292" t="str">
        <f aca="false">IF(ISBLANK(Кабели!$A$6),"",Кабели!$A$6)</f>
        <v>BX71 3-в-1 зарядный кабель (iP+Micro+Type-C)</v>
      </c>
      <c r="N6" s="292" t="str">
        <f aca="false">IF(ISBLANK(Кабели!$D$6),"",Кабели!$D$6)</f>
        <v>6974443384543</v>
      </c>
      <c r="O6" s="292" t="str">
        <f aca="false">IF(ISBLANK(Кабели!$E$6),"",Кабели!$E$6)</f>
        <v>черный</v>
      </c>
      <c r="P6" s="292" t="str">
        <f aca="false">"ед."</f>
        <v>ед.</v>
      </c>
      <c r="Q6" s="292" t="n">
        <f aca="false">N(Кабели!$G$6)</f>
        <v>0</v>
      </c>
      <c r="R6" s="299" t="n">
        <f aca="false">IF(ISBLANK(Кабели!$F$6),"",Кабели!$F$6)</f>
        <v>89.7</v>
      </c>
      <c r="S6" s="292" t="str">
        <f aca="false">IF(ISBLANK(Кабели!$H$6),"",Кабели!$H$6)</f>
        <v/>
      </c>
    </row>
    <row r="7" customFormat="false" ht="66" hidden="false" customHeight="true" outlineLevel="0" collapsed="false">
      <c r="A7" s="291" t="str">
        <f aca="true">IF(ISNUMBER($J7),INDIRECT("L"&amp;($J7+4)),"")</f>
        <v/>
      </c>
      <c r="B7" s="291" t="str">
        <f aca="true">IF(ISNUMBER($J7),INDIRECT("M"&amp;($J7+4)),"")</f>
        <v/>
      </c>
      <c r="C7" s="296" t="str">
        <f aca="true">IF(ISNUMBER($J7),INDIRECT("N"&amp;($J7+4)),"")</f>
        <v/>
      </c>
      <c r="D7" s="291" t="str">
        <f aca="true">IF(ISNUMBER($J7),INDIRECT("O"&amp;($J7+4)),"")</f>
        <v/>
      </c>
      <c r="E7" s="291" t="str">
        <f aca="true">IF(ISNUMBER($J7),INDIRECT("P"&amp;($J7+4)),"")</f>
        <v/>
      </c>
      <c r="F7" s="300" t="str">
        <f aca="true">IF(ISNUMBER($J7),INDIRECT("Q"&amp;($J7+4)),"")</f>
        <v/>
      </c>
      <c r="G7" s="298" t="str">
        <f aca="true">IF(ISNUMBER($J7),INDIRECT("R"&amp;($J7+4)),"")</f>
        <v/>
      </c>
      <c r="H7" s="298" t="str">
        <f aca="true">IF(ISNUMBER($J7),INDIRECT("S"&amp;($J7+4)),"")</f>
        <v/>
      </c>
      <c r="J7" s="292" t="str">
        <f aca="true">IF(3&lt;=$K$1,MATCH(2.5,INDIRECT("$K$4:$K$1374"),1),"")</f>
        <v/>
      </c>
      <c r="K7" s="292" t="n">
        <f aca="false">COUNTIF($Q$5:Q7,"&gt;0")</f>
        <v>0</v>
      </c>
      <c r="L7" s="292" t="str">
        <f aca="false">"Кабели"</f>
        <v>Кабели</v>
      </c>
      <c r="M7" s="292" t="str">
        <f aca="false">IF(ISBLANK(Кабели!$A$6),"",Кабели!$A$6)</f>
        <v>BX71 3-в-1 зарядный кабель (iP+Micro+Type-C)</v>
      </c>
      <c r="N7" s="292" t="str">
        <f aca="false">IF(ISBLANK(Кабели!$D$7),"",Кабели!$D$7)</f>
        <v>6974443384550</v>
      </c>
      <c r="O7" s="292" t="str">
        <f aca="false">IF(ISBLANK(Кабели!$E$7),"",Кабели!$E$7)</f>
        <v>белый</v>
      </c>
      <c r="P7" s="292" t="str">
        <f aca="false">"ед."</f>
        <v>ед.</v>
      </c>
      <c r="Q7" s="292" t="n">
        <f aca="false">N(Кабели!$G$7)</f>
        <v>0</v>
      </c>
      <c r="R7" s="299" t="n">
        <f aca="false">IF(ISBLANK(Кабели!$F$7),"",Кабели!$F$7)</f>
        <v>89.7</v>
      </c>
      <c r="S7" s="292" t="str">
        <f aca="false">IF(ISBLANK(Кабели!$H$7),"",Кабели!$H$7)</f>
        <v/>
      </c>
    </row>
    <row r="8" customFormat="false" ht="66" hidden="false" customHeight="true" outlineLevel="0" collapsed="false">
      <c r="A8" s="291" t="str">
        <f aca="true">IF(ISNUMBER($J8),INDIRECT("L"&amp;($J8+4)),"")</f>
        <v/>
      </c>
      <c r="B8" s="291" t="str">
        <f aca="true">IF(ISNUMBER($J8),INDIRECT("M"&amp;($J8+4)),"")</f>
        <v/>
      </c>
      <c r="C8" s="296" t="str">
        <f aca="true">IF(ISNUMBER($J8),INDIRECT("N"&amp;($J8+4)),"")</f>
        <v/>
      </c>
      <c r="D8" s="291" t="str">
        <f aca="true">IF(ISNUMBER($J8),INDIRECT("O"&amp;($J8+4)),"")</f>
        <v/>
      </c>
      <c r="E8" s="291" t="str">
        <f aca="true">IF(ISNUMBER($J8),INDIRECT("P"&amp;($J8+4)),"")</f>
        <v/>
      </c>
      <c r="F8" s="300" t="str">
        <f aca="true">IF(ISNUMBER($J8),INDIRECT("Q"&amp;($J8+4)),"")</f>
        <v/>
      </c>
      <c r="G8" s="298" t="str">
        <f aca="true">IF(ISNUMBER($J8),INDIRECT("R"&amp;($J8+4)),"")</f>
        <v/>
      </c>
      <c r="H8" s="298" t="str">
        <f aca="true">IF(ISNUMBER($J8),INDIRECT("S"&amp;($J8+4)),"")</f>
        <v/>
      </c>
      <c r="J8" s="292" t="str">
        <f aca="true">IF(4&lt;=$K$1,MATCH(3.5,INDIRECT("$K$4:$K$1374"),1),"")</f>
        <v/>
      </c>
      <c r="K8" s="292" t="n">
        <f aca="false">COUNTIF($Q$5:Q8,"&gt;0")</f>
        <v>0</v>
      </c>
      <c r="L8" s="292" t="str">
        <f aca="false">"Кабели"</f>
        <v>Кабели</v>
      </c>
      <c r="M8" s="292" t="str">
        <f aca="false">IF(ISBLANK(Кабели!$A$10),"",Кабели!$A$10)</f>
        <v>BX123 Leya PD30W силиконовый зарядный дата кабель iP</v>
      </c>
      <c r="N8" s="292" t="str">
        <f aca="false">IF(ISBLANK(Кабели!$D$10),"",Кабели!$D$10)</f>
        <v>6941991124174</v>
      </c>
      <c r="O8" s="292" t="str">
        <f aca="false">IF(ISBLANK(Кабели!$E$10),"",Кабели!$E$10)</f>
        <v>черный</v>
      </c>
      <c r="P8" s="292" t="str">
        <f aca="false">"ед."</f>
        <v>ед.</v>
      </c>
      <c r="Q8" s="292" t="n">
        <f aca="false">N(Кабели!$G$10)</f>
        <v>0</v>
      </c>
      <c r="R8" s="299" t="n">
        <f aca="false">IF(ISBLANK(Кабели!$F$10),"",Кабели!$F$10)</f>
        <v>91.33</v>
      </c>
      <c r="S8" s="292" t="str">
        <f aca="false">IF(ISBLANK(Кабели!$H$10),"",Кабели!$H$10)</f>
        <v/>
      </c>
    </row>
    <row r="9" customFormat="false" ht="66" hidden="false" customHeight="true" outlineLevel="0" collapsed="false">
      <c r="A9" s="291" t="str">
        <f aca="true">IF(ISNUMBER($J9),INDIRECT("L"&amp;($J9+4)),"")</f>
        <v/>
      </c>
      <c r="B9" s="291" t="str">
        <f aca="true">IF(ISNUMBER($J9),INDIRECT("M"&amp;($J9+4)),"")</f>
        <v/>
      </c>
      <c r="C9" s="296" t="str">
        <f aca="true">IF(ISNUMBER($J9),INDIRECT("N"&amp;($J9+4)),"")</f>
        <v/>
      </c>
      <c r="D9" s="291" t="str">
        <f aca="true">IF(ISNUMBER($J9),INDIRECT("O"&amp;($J9+4)),"")</f>
        <v/>
      </c>
      <c r="E9" s="291" t="str">
        <f aca="true">IF(ISNUMBER($J9),INDIRECT("P"&amp;($J9+4)),"")</f>
        <v/>
      </c>
      <c r="F9" s="300" t="str">
        <f aca="true">IF(ISNUMBER($J9),INDIRECT("Q"&amp;($J9+4)),"")</f>
        <v/>
      </c>
      <c r="G9" s="298" t="str">
        <f aca="true">IF(ISNUMBER($J9),INDIRECT("R"&amp;($J9+4)),"")</f>
        <v/>
      </c>
      <c r="H9" s="298" t="str">
        <f aca="true">IF(ISNUMBER($J9),INDIRECT("S"&amp;($J9+4)),"")</f>
        <v/>
      </c>
      <c r="J9" s="292" t="str">
        <f aca="true">IF(5&lt;=$K$1,MATCH(4.5,INDIRECT("$K$4:$K$1374"),1),"")</f>
        <v/>
      </c>
      <c r="K9" s="292" t="n">
        <f aca="false">COUNTIF($Q$5:Q9,"&gt;0")</f>
        <v>0</v>
      </c>
      <c r="L9" s="292" t="str">
        <f aca="false">"Кабели"</f>
        <v>Кабели</v>
      </c>
      <c r="M9" s="292" t="str">
        <f aca="false">IF(ISBLANK(Кабели!$A$10),"",Кабели!$A$10)</f>
        <v>BX123 Leya PD30W силиконовый зарядный дата кабель iP</v>
      </c>
      <c r="N9" s="292" t="str">
        <f aca="false">IF(ISBLANK(Кабели!$D$11),"",Кабели!$D$11)</f>
        <v>6941991124181</v>
      </c>
      <c r="O9" s="292" t="str">
        <f aca="false">IF(ISBLANK(Кабели!$E$11),"",Кабели!$E$11)</f>
        <v>белый</v>
      </c>
      <c r="P9" s="292" t="str">
        <f aca="false">"ед."</f>
        <v>ед.</v>
      </c>
      <c r="Q9" s="292" t="n">
        <f aca="false">N(Кабели!$G$11)</f>
        <v>0</v>
      </c>
      <c r="R9" s="299" t="n">
        <f aca="false">IF(ISBLANK(Кабели!$F$11),"",Кабели!$F$11)</f>
        <v>91.33</v>
      </c>
      <c r="S9" s="292" t="str">
        <f aca="false">IF(ISBLANK(Кабели!$H$11),"",Кабели!$H$11)</f>
        <v/>
      </c>
    </row>
    <row r="10" customFormat="false" ht="66" hidden="false" customHeight="true" outlineLevel="0" collapsed="false">
      <c r="A10" s="291" t="str">
        <f aca="true">IF(ISNUMBER($J10),INDIRECT("L"&amp;($J10+4)),"")</f>
        <v/>
      </c>
      <c r="B10" s="291" t="str">
        <f aca="true">IF(ISNUMBER($J10),INDIRECT("M"&amp;($J10+4)),"")</f>
        <v/>
      </c>
      <c r="C10" s="296" t="str">
        <f aca="true">IF(ISNUMBER($J10),INDIRECT("N"&amp;($J10+4)),"")</f>
        <v/>
      </c>
      <c r="D10" s="291" t="str">
        <f aca="true">IF(ISNUMBER($J10),INDIRECT("O"&amp;($J10+4)),"")</f>
        <v/>
      </c>
      <c r="E10" s="291" t="str">
        <f aca="true">IF(ISNUMBER($J10),INDIRECT("P"&amp;($J10+4)),"")</f>
        <v/>
      </c>
      <c r="F10" s="300" t="str">
        <f aca="true">IF(ISNUMBER($J10),INDIRECT("Q"&amp;($J10+4)),"")</f>
        <v/>
      </c>
      <c r="G10" s="298" t="str">
        <f aca="true">IF(ISNUMBER($J10),INDIRECT("R"&amp;($J10+4)),"")</f>
        <v/>
      </c>
      <c r="H10" s="298" t="str">
        <f aca="true">IF(ISNUMBER($J10),INDIRECT("S"&amp;($J10+4)),"")</f>
        <v/>
      </c>
      <c r="J10" s="292" t="str">
        <f aca="true">IF(6&lt;=$K$1,MATCH(5.5,INDIRECT("$K$4:$K$1374"),1),"")</f>
        <v/>
      </c>
      <c r="K10" s="292" t="n">
        <f aca="false">COUNTIF($Q$5:Q10,"&gt;0")</f>
        <v>0</v>
      </c>
      <c r="L10" s="292" t="str">
        <f aca="false">"Кабели"</f>
        <v>Кабели</v>
      </c>
      <c r="M10" s="292" t="str">
        <f aca="false">IF(ISBLANK(Кабели!$A$12),"",Кабели!$A$12)</f>
        <v>BX123 Leya 60W силиконовый зарядный дата кабель C на C</v>
      </c>
      <c r="N10" s="292" t="str">
        <f aca="false">IF(ISBLANK(Кабели!$D$12),"",Кабели!$D$12)</f>
        <v>6941991124235</v>
      </c>
      <c r="O10" s="292" t="str">
        <f aca="false">IF(ISBLANK(Кабели!$E$12),"",Кабели!$E$12)</f>
        <v>черный</v>
      </c>
      <c r="P10" s="292" t="str">
        <f aca="false">"ед."</f>
        <v>ед.</v>
      </c>
      <c r="Q10" s="292" t="n">
        <f aca="false">N(Кабели!$G$12)</f>
        <v>0</v>
      </c>
      <c r="R10" s="299" t="n">
        <f aca="false">IF(ISBLANK(Кабели!$F$12),"",Кабели!$F$12)</f>
        <v>70.13</v>
      </c>
      <c r="S10" s="292" t="str">
        <f aca="false">IF(ISBLANK(Кабели!$H$12),"",Кабели!$H$12)</f>
        <v/>
      </c>
    </row>
    <row r="11" customFormat="false" ht="66" hidden="false" customHeight="true" outlineLevel="0" collapsed="false">
      <c r="A11" s="291" t="str">
        <f aca="true">IF(ISNUMBER($J11),INDIRECT("L"&amp;($J11+4)),"")</f>
        <v/>
      </c>
      <c r="B11" s="291" t="str">
        <f aca="true">IF(ISNUMBER($J11),INDIRECT("M"&amp;($J11+4)),"")</f>
        <v/>
      </c>
      <c r="C11" s="296" t="str">
        <f aca="true">IF(ISNUMBER($J11),INDIRECT("N"&amp;($J11+4)),"")</f>
        <v/>
      </c>
      <c r="D11" s="291" t="str">
        <f aca="true">IF(ISNUMBER($J11),INDIRECT("O"&amp;($J11+4)),"")</f>
        <v/>
      </c>
      <c r="E11" s="291" t="str">
        <f aca="true">IF(ISNUMBER($J11),INDIRECT("P"&amp;($J11+4)),"")</f>
        <v/>
      </c>
      <c r="F11" s="300" t="str">
        <f aca="true">IF(ISNUMBER($J11),INDIRECT("Q"&amp;($J11+4)),"")</f>
        <v/>
      </c>
      <c r="G11" s="298" t="str">
        <f aca="true">IF(ISNUMBER($J11),INDIRECT("R"&amp;($J11+4)),"")</f>
        <v/>
      </c>
      <c r="H11" s="298" t="str">
        <f aca="true">IF(ISNUMBER($J11),INDIRECT("S"&amp;($J11+4)),"")</f>
        <v/>
      </c>
      <c r="J11" s="292" t="str">
        <f aca="true">IF(7&lt;=$K$1,MATCH(6.5,INDIRECT("$K$4:$K$1374"),1),"")</f>
        <v/>
      </c>
      <c r="K11" s="292" t="n">
        <f aca="false">COUNTIF($Q$5:Q11,"&gt;0")</f>
        <v>0</v>
      </c>
      <c r="L11" s="292" t="str">
        <f aca="false">"Кабели"</f>
        <v>Кабели</v>
      </c>
      <c r="M11" s="292" t="str">
        <f aca="false">IF(ISBLANK(Кабели!$A$12),"",Кабели!$A$12)</f>
        <v>BX123 Leya 60W силиконовый зарядный дата кабель C на C</v>
      </c>
      <c r="N11" s="292" t="str">
        <f aca="false">IF(ISBLANK(Кабели!$D$13),"",Кабели!$D$13)</f>
        <v>6941991124242</v>
      </c>
      <c r="O11" s="292" t="str">
        <f aca="false">IF(ISBLANK(Кабели!$E$13),"",Кабели!$E$13)</f>
        <v>белый</v>
      </c>
      <c r="P11" s="292" t="str">
        <f aca="false">"ед."</f>
        <v>ед.</v>
      </c>
      <c r="Q11" s="292" t="n">
        <f aca="false">N(Кабели!$G$13)</f>
        <v>0</v>
      </c>
      <c r="R11" s="299" t="n">
        <f aca="false">IF(ISBLANK(Кабели!$F$13),"",Кабели!$F$13)</f>
        <v>70.13</v>
      </c>
      <c r="S11" s="292" t="str">
        <f aca="false">IF(ISBLANK(Кабели!$H$13),"",Кабели!$H$13)</f>
        <v/>
      </c>
    </row>
    <row r="12" customFormat="false" ht="66" hidden="false" customHeight="true" outlineLevel="0" collapsed="false">
      <c r="A12" s="291" t="str">
        <f aca="true">IF(ISNUMBER($J12),INDIRECT("L"&amp;($J12+4)),"")</f>
        <v/>
      </c>
      <c r="B12" s="291" t="str">
        <f aca="true">IF(ISNUMBER($J12),INDIRECT("M"&amp;($J12+4)),"")</f>
        <v/>
      </c>
      <c r="C12" s="296" t="str">
        <f aca="true">IF(ISNUMBER($J12),INDIRECT("N"&amp;($J12+4)),"")</f>
        <v/>
      </c>
      <c r="D12" s="291" t="str">
        <f aca="true">IF(ISNUMBER($J12),INDIRECT("O"&amp;($J12+4)),"")</f>
        <v/>
      </c>
      <c r="E12" s="291" t="str">
        <f aca="true">IF(ISNUMBER($J12),INDIRECT("P"&amp;($J12+4)),"")</f>
        <v/>
      </c>
      <c r="F12" s="300" t="str">
        <f aca="true">IF(ISNUMBER($J12),INDIRECT("Q"&amp;($J12+4)),"")</f>
        <v/>
      </c>
      <c r="G12" s="298" t="str">
        <f aca="true">IF(ISNUMBER($J12),INDIRECT("R"&amp;($J12+4)),"")</f>
        <v/>
      </c>
      <c r="H12" s="298" t="str">
        <f aca="true">IF(ISNUMBER($J12),INDIRECT("S"&amp;($J12+4)),"")</f>
        <v/>
      </c>
      <c r="J12" s="292" t="str">
        <f aca="true">IF(8&lt;=$K$1,MATCH(7.5,INDIRECT("$K$4:$K$1374"),1),"")</f>
        <v/>
      </c>
      <c r="K12" s="292" t="n">
        <f aca="false">COUNTIF($Q$5:Q12,"&gt;0")</f>
        <v>0</v>
      </c>
      <c r="L12" s="292" t="str">
        <f aca="false">"Кабели"</f>
        <v>Кабели</v>
      </c>
      <c r="M12" s="292" t="str">
        <f aca="false">IF(ISBLANK(Кабели!$A$14),"",Кабели!$A$14)</f>
        <v>BX123 Leya силиконовый зарядный дата кабель iP</v>
      </c>
      <c r="N12" s="292" t="str">
        <f aca="false">IF(ISBLANK(Кабели!$D$14),"",Кабели!$D$14)</f>
        <v>6941991124198</v>
      </c>
      <c r="O12" s="292" t="str">
        <f aca="false">IF(ISBLANK(Кабели!$E$14),"",Кабели!$E$14)</f>
        <v>черный</v>
      </c>
      <c r="P12" s="292" t="str">
        <f aca="false">"ед."</f>
        <v>ед.</v>
      </c>
      <c r="Q12" s="292" t="n">
        <f aca="false">N(Кабели!$G$14)</f>
        <v>0</v>
      </c>
      <c r="R12" s="299" t="n">
        <f aca="false">IF(ISBLANK(Кабели!$F$14),"",Кабели!$F$14)</f>
        <v>52.19</v>
      </c>
      <c r="S12" s="292" t="str">
        <f aca="false">IF(ISBLANK(Кабели!$H$14),"",Кабели!$H$14)</f>
        <v/>
      </c>
    </row>
    <row r="13" customFormat="false" ht="66" hidden="false" customHeight="true" outlineLevel="0" collapsed="false">
      <c r="A13" s="291" t="str">
        <f aca="true">IF(ISNUMBER($J13),INDIRECT("L"&amp;($J13+4)),"")</f>
        <v/>
      </c>
      <c r="B13" s="291" t="str">
        <f aca="true">IF(ISNUMBER($J13),INDIRECT("M"&amp;($J13+4)),"")</f>
        <v/>
      </c>
      <c r="C13" s="296" t="str">
        <f aca="true">IF(ISNUMBER($J13),INDIRECT("N"&amp;($J13+4)),"")</f>
        <v/>
      </c>
      <c r="D13" s="291" t="str">
        <f aca="true">IF(ISNUMBER($J13),INDIRECT("O"&amp;($J13+4)),"")</f>
        <v/>
      </c>
      <c r="E13" s="291" t="str">
        <f aca="true">IF(ISNUMBER($J13),INDIRECT("P"&amp;($J13+4)),"")</f>
        <v/>
      </c>
      <c r="F13" s="300" t="str">
        <f aca="true">IF(ISNUMBER($J13),INDIRECT("Q"&amp;($J13+4)),"")</f>
        <v/>
      </c>
      <c r="G13" s="298" t="str">
        <f aca="true">IF(ISNUMBER($J13),INDIRECT("R"&amp;($J13+4)),"")</f>
        <v/>
      </c>
      <c r="H13" s="298" t="str">
        <f aca="true">IF(ISNUMBER($J13),INDIRECT("S"&amp;($J13+4)),"")</f>
        <v/>
      </c>
      <c r="J13" s="292" t="str">
        <f aca="true">IF(9&lt;=$K$1,MATCH(8.5,INDIRECT("$K$4:$K$1374"),1),"")</f>
        <v/>
      </c>
      <c r="K13" s="292" t="n">
        <f aca="false">COUNTIF($Q$5:Q13,"&gt;0")</f>
        <v>0</v>
      </c>
      <c r="L13" s="292" t="str">
        <f aca="false">"Кабели"</f>
        <v>Кабели</v>
      </c>
      <c r="M13" s="292" t="str">
        <f aca="false">IF(ISBLANK(Кабели!$A$14),"",Кабели!$A$14)</f>
        <v>BX123 Leya силиконовый зарядный дата кабель iP</v>
      </c>
      <c r="N13" s="292" t="str">
        <f aca="false">IF(ISBLANK(Кабели!$D$15),"",Кабели!$D$15)</f>
        <v>6941991124204</v>
      </c>
      <c r="O13" s="292" t="str">
        <f aca="false">IF(ISBLANK(Кабели!$E$15),"",Кабели!$E$15)</f>
        <v>белый</v>
      </c>
      <c r="P13" s="292" t="str">
        <f aca="false">"ед."</f>
        <v>ед.</v>
      </c>
      <c r="Q13" s="292" t="n">
        <f aca="false">N(Кабели!$G$15)</f>
        <v>0</v>
      </c>
      <c r="R13" s="299" t="n">
        <f aca="false">IF(ISBLANK(Кабели!$F$15),"",Кабели!$F$15)</f>
        <v>52.19</v>
      </c>
      <c r="S13" s="292" t="str">
        <f aca="false">IF(ISBLANK(Кабели!$H$15),"",Кабели!$H$15)</f>
        <v/>
      </c>
    </row>
    <row r="14" customFormat="false" ht="66" hidden="false" customHeight="true" outlineLevel="0" collapsed="false">
      <c r="A14" s="291" t="str">
        <f aca="true">IF(ISNUMBER($J14),INDIRECT("L"&amp;($J14+4)),"")</f>
        <v/>
      </c>
      <c r="B14" s="291" t="str">
        <f aca="true">IF(ISNUMBER($J14),INDIRECT("M"&amp;($J14+4)),"")</f>
        <v/>
      </c>
      <c r="C14" s="296" t="str">
        <f aca="true">IF(ISNUMBER($J14),INDIRECT("N"&amp;($J14+4)),"")</f>
        <v/>
      </c>
      <c r="D14" s="291" t="str">
        <f aca="true">IF(ISNUMBER($J14),INDIRECT("O"&amp;($J14+4)),"")</f>
        <v/>
      </c>
      <c r="E14" s="291" t="str">
        <f aca="true">IF(ISNUMBER($J14),INDIRECT("P"&amp;($J14+4)),"")</f>
        <v/>
      </c>
      <c r="F14" s="300" t="str">
        <f aca="true">IF(ISNUMBER($J14),INDIRECT("Q"&amp;($J14+4)),"")</f>
        <v/>
      </c>
      <c r="G14" s="298" t="str">
        <f aca="true">IF(ISNUMBER($J14),INDIRECT("R"&amp;($J14+4)),"")</f>
        <v/>
      </c>
      <c r="H14" s="298" t="str">
        <f aca="true">IF(ISNUMBER($J14),INDIRECT("S"&amp;($J14+4)),"")</f>
        <v/>
      </c>
      <c r="J14" s="292" t="str">
        <f aca="true">IF(10&lt;=$K$1,MATCH(9.5,INDIRECT("$K$4:$K$1374"),1),"")</f>
        <v/>
      </c>
      <c r="K14" s="292" t="n">
        <f aca="false">COUNTIF($Q$5:Q14,"&gt;0")</f>
        <v>0</v>
      </c>
      <c r="L14" s="292" t="str">
        <f aca="false">"Кабели"</f>
        <v>Кабели</v>
      </c>
      <c r="M14" s="292" t="str">
        <f aca="false">IF(ISBLANK(Кабели!$A$16),"",Кабели!$A$16)</f>
        <v>BX123 Leya силиконовый зарядный дата кабель Type-C</v>
      </c>
      <c r="N14" s="292" t="str">
        <f aca="false">IF(ISBLANK(Кабели!$D$16),"",Кабели!$D$16)</f>
        <v>6941991124211</v>
      </c>
      <c r="O14" s="292" t="str">
        <f aca="false">IF(ISBLANK(Кабели!$E$16),"",Кабели!$E$16)</f>
        <v>черный</v>
      </c>
      <c r="P14" s="292" t="str">
        <f aca="false">"ед."</f>
        <v>ед.</v>
      </c>
      <c r="Q14" s="292" t="n">
        <f aca="false">N(Кабели!$G$16)</f>
        <v>0</v>
      </c>
      <c r="R14" s="299" t="n">
        <f aca="false">IF(ISBLANK(Кабели!$F$16),"",Кабели!$F$16)</f>
        <v>48.93</v>
      </c>
      <c r="S14" s="292" t="str">
        <f aca="false">IF(ISBLANK(Кабели!$H$16),"",Кабели!$H$16)</f>
        <v/>
      </c>
    </row>
    <row r="15" customFormat="false" ht="66" hidden="false" customHeight="true" outlineLevel="0" collapsed="false">
      <c r="A15" s="291" t="str">
        <f aca="true">IF(ISNUMBER($J15),INDIRECT("L"&amp;($J15+4)),"")</f>
        <v/>
      </c>
      <c r="B15" s="291" t="str">
        <f aca="true">IF(ISNUMBER($J15),INDIRECT("M"&amp;($J15+4)),"")</f>
        <v/>
      </c>
      <c r="C15" s="296" t="str">
        <f aca="true">IF(ISNUMBER($J15),INDIRECT("N"&amp;($J15+4)),"")</f>
        <v/>
      </c>
      <c r="D15" s="291" t="str">
        <f aca="true">IF(ISNUMBER($J15),INDIRECT("O"&amp;($J15+4)),"")</f>
        <v/>
      </c>
      <c r="E15" s="291" t="str">
        <f aca="true">IF(ISNUMBER($J15),INDIRECT("P"&amp;($J15+4)),"")</f>
        <v/>
      </c>
      <c r="F15" s="300" t="str">
        <f aca="true">IF(ISNUMBER($J15),INDIRECT("Q"&amp;($J15+4)),"")</f>
        <v/>
      </c>
      <c r="G15" s="298" t="str">
        <f aca="true">IF(ISNUMBER($J15),INDIRECT("R"&amp;($J15+4)),"")</f>
        <v/>
      </c>
      <c r="H15" s="298" t="str">
        <f aca="true">IF(ISNUMBER($J15),INDIRECT("S"&amp;($J15+4)),"")</f>
        <v/>
      </c>
      <c r="J15" s="292" t="str">
        <f aca="true">IF(11&lt;=$K$1,MATCH(10.5,INDIRECT("$K$4:$K$1374"),1),"")</f>
        <v/>
      </c>
      <c r="K15" s="292" t="n">
        <f aca="false">COUNTIF($Q$5:Q15,"&gt;0")</f>
        <v>0</v>
      </c>
      <c r="L15" s="292" t="str">
        <f aca="false">"Кабели"</f>
        <v>Кабели</v>
      </c>
      <c r="M15" s="292" t="str">
        <f aca="false">IF(ISBLANK(Кабели!$A$16),"",Кабели!$A$16)</f>
        <v>BX123 Leya силиконовый зарядный дата кабель Type-C</v>
      </c>
      <c r="N15" s="292" t="str">
        <f aca="false">IF(ISBLANK(Кабели!$D$17),"",Кабели!$D$17)</f>
        <v>6941991124228</v>
      </c>
      <c r="O15" s="292" t="str">
        <f aca="false">IF(ISBLANK(Кабели!$E$17),"",Кабели!$E$17)</f>
        <v>белый</v>
      </c>
      <c r="P15" s="292" t="str">
        <f aca="false">"ед."</f>
        <v>ед.</v>
      </c>
      <c r="Q15" s="292" t="n">
        <f aca="false">N(Кабели!$G$17)</f>
        <v>0</v>
      </c>
      <c r="R15" s="299" t="n">
        <f aca="false">IF(ISBLANK(Кабели!$F$17),"",Кабели!$F$17)</f>
        <v>48.93</v>
      </c>
      <c r="S15" s="292" t="str">
        <f aca="false">IF(ISBLANK(Кабели!$H$17),"",Кабели!$H$17)</f>
        <v/>
      </c>
    </row>
    <row r="16" customFormat="false" ht="66" hidden="false" customHeight="true" outlineLevel="0" collapsed="false">
      <c r="A16" s="291" t="str">
        <f aca="true">IF(ISNUMBER($J16),INDIRECT("L"&amp;($J16+4)),"")</f>
        <v/>
      </c>
      <c r="B16" s="291" t="str">
        <f aca="true">IF(ISNUMBER($J16),INDIRECT("M"&amp;($J16+4)),"")</f>
        <v/>
      </c>
      <c r="C16" s="296" t="str">
        <f aca="true">IF(ISNUMBER($J16),INDIRECT("N"&amp;($J16+4)),"")</f>
        <v/>
      </c>
      <c r="D16" s="291" t="str">
        <f aca="true">IF(ISNUMBER($J16),INDIRECT("O"&amp;($J16+4)),"")</f>
        <v/>
      </c>
      <c r="E16" s="291" t="str">
        <f aca="true">IF(ISNUMBER($J16),INDIRECT("P"&amp;($J16+4)),"")</f>
        <v/>
      </c>
      <c r="F16" s="300" t="str">
        <f aca="true">IF(ISNUMBER($J16),INDIRECT("Q"&amp;($J16+4)),"")</f>
        <v/>
      </c>
      <c r="G16" s="298" t="str">
        <f aca="true">IF(ISNUMBER($J16),INDIRECT("R"&amp;($J16+4)),"")</f>
        <v/>
      </c>
      <c r="H16" s="298" t="str">
        <f aca="true">IF(ISNUMBER($J16),INDIRECT("S"&amp;($J16+4)),"")</f>
        <v/>
      </c>
      <c r="J16" s="292" t="str">
        <f aca="true">IF(12&lt;=$K$1,MATCH(11.5,INDIRECT("$K$4:$K$1374"),1),"")</f>
        <v/>
      </c>
      <c r="K16" s="292" t="n">
        <f aca="false">COUNTIF($Q$5:Q16,"&gt;0")</f>
        <v>0</v>
      </c>
      <c r="L16" s="292" t="str">
        <f aca="false">"Кабели"</f>
        <v>Кабели</v>
      </c>
      <c r="M16" s="292" t="str">
        <f aca="false">IF(ISBLANK(Кабели!$A$18),"",Кабели!$A$18)</f>
        <v>BX115 Lotto PD силиконовый зарядный дата кабель iP</v>
      </c>
      <c r="N16" s="292" t="str">
        <f aca="false">IF(ISBLANK(Кабели!$D$18),"",Кабели!$D$18)</f>
        <v>6941991119613</v>
      </c>
      <c r="O16" s="292" t="str">
        <f aca="false">IF(ISBLANK(Кабели!$E$18),"",Кабели!$E$18)</f>
        <v>белый</v>
      </c>
      <c r="P16" s="292" t="str">
        <f aca="false">"ед."</f>
        <v>ед.</v>
      </c>
      <c r="Q16" s="292" t="n">
        <f aca="false">N(Кабели!$G$18)</f>
        <v>0</v>
      </c>
      <c r="R16" s="299" t="n">
        <f aca="false">IF(ISBLANK(Кабели!$F$18),"",Кабели!$F$18)</f>
        <v>110.9</v>
      </c>
      <c r="S16" s="292" t="str">
        <f aca="false">IF(ISBLANK(Кабели!$H$18),"",Кабели!$H$18)</f>
        <v/>
      </c>
    </row>
    <row r="17" customFormat="false" ht="66" hidden="false" customHeight="true" outlineLevel="0" collapsed="false">
      <c r="A17" s="291" t="str">
        <f aca="true">IF(ISNUMBER($J17),INDIRECT("L"&amp;($J17+4)),"")</f>
        <v/>
      </c>
      <c r="B17" s="291" t="str">
        <f aca="true">IF(ISNUMBER($J17),INDIRECT("M"&amp;($J17+4)),"")</f>
        <v/>
      </c>
      <c r="C17" s="296" t="str">
        <f aca="true">IF(ISNUMBER($J17),INDIRECT("N"&amp;($J17+4)),"")</f>
        <v/>
      </c>
      <c r="D17" s="291" t="str">
        <f aca="true">IF(ISNUMBER($J17),INDIRECT("O"&amp;($J17+4)),"")</f>
        <v/>
      </c>
      <c r="E17" s="291" t="str">
        <f aca="true">IF(ISNUMBER($J17),INDIRECT("P"&amp;($J17+4)),"")</f>
        <v/>
      </c>
      <c r="F17" s="300" t="str">
        <f aca="true">IF(ISNUMBER($J17),INDIRECT("Q"&amp;($J17+4)),"")</f>
        <v/>
      </c>
      <c r="G17" s="298" t="str">
        <f aca="true">IF(ISNUMBER($J17),INDIRECT("R"&amp;($J17+4)),"")</f>
        <v/>
      </c>
      <c r="H17" s="298" t="str">
        <f aca="true">IF(ISNUMBER($J17),INDIRECT("S"&amp;($J17+4)),"")</f>
        <v/>
      </c>
      <c r="J17" s="292" t="str">
        <f aca="true">IF(13&lt;=$K$1,MATCH(12.5,INDIRECT("$K$4:$K$1374"),1),"")</f>
        <v/>
      </c>
      <c r="K17" s="292" t="n">
        <f aca="false">COUNTIF($Q$5:Q17,"&gt;0")</f>
        <v>0</v>
      </c>
      <c r="L17" s="292" t="str">
        <f aca="false">"Кабели"</f>
        <v>Кабели</v>
      </c>
      <c r="M17" s="292" t="str">
        <f aca="false">IF(ISBLANK(Кабели!$A$19),"",Кабели!$A$19)</f>
        <v>BX115 Lotto 60W силиконовый зарядный дата кабель C на C</v>
      </c>
      <c r="N17" s="292" t="str">
        <f aca="false">IF(ISBLANK(Кабели!$D$19),"",Кабели!$D$19)</f>
        <v>6941991119699</v>
      </c>
      <c r="O17" s="292" t="str">
        <f aca="false">IF(ISBLANK(Кабели!$E$19),"",Кабели!$E$19)</f>
        <v>белый</v>
      </c>
      <c r="P17" s="292" t="str">
        <f aca="false">"ед."</f>
        <v>ед.</v>
      </c>
      <c r="Q17" s="292" t="n">
        <f aca="false">N(Кабели!$G$19)</f>
        <v>0</v>
      </c>
      <c r="R17" s="299" t="n">
        <f aca="false">IF(ISBLANK(Кабели!$F$19),"",Кабели!$F$19)</f>
        <v>88.07</v>
      </c>
      <c r="S17" s="292" t="str">
        <f aca="false">IF(ISBLANK(Кабели!$H$19),"",Кабели!$H$19)</f>
        <v/>
      </c>
    </row>
    <row r="18" customFormat="false" ht="66" hidden="false" customHeight="true" outlineLevel="0" collapsed="false">
      <c r="A18" s="291" t="str">
        <f aca="true">IF(ISNUMBER($J18),INDIRECT("L"&amp;($J18+4)),"")</f>
        <v/>
      </c>
      <c r="B18" s="291" t="str">
        <f aca="true">IF(ISNUMBER($J18),INDIRECT("M"&amp;($J18+4)),"")</f>
        <v/>
      </c>
      <c r="C18" s="296" t="str">
        <f aca="true">IF(ISNUMBER($J18),INDIRECT("N"&amp;($J18+4)),"")</f>
        <v/>
      </c>
      <c r="D18" s="291" t="str">
        <f aca="true">IF(ISNUMBER($J18),INDIRECT("O"&amp;($J18+4)),"")</f>
        <v/>
      </c>
      <c r="E18" s="291" t="str">
        <f aca="true">IF(ISNUMBER($J18),INDIRECT("P"&amp;($J18+4)),"")</f>
        <v/>
      </c>
      <c r="F18" s="300" t="str">
        <f aca="true">IF(ISNUMBER($J18),INDIRECT("Q"&amp;($J18+4)),"")</f>
        <v/>
      </c>
      <c r="G18" s="298" t="str">
        <f aca="true">IF(ISNUMBER($J18),INDIRECT("R"&amp;($J18+4)),"")</f>
        <v/>
      </c>
      <c r="H18" s="298" t="str">
        <f aca="true">IF(ISNUMBER($J18),INDIRECT("S"&amp;($J18+4)),"")</f>
        <v/>
      </c>
      <c r="J18" s="292" t="str">
        <f aca="true">IF(14&lt;=$K$1,MATCH(13.5,INDIRECT("$K$4:$K$1374"),1),"")</f>
        <v/>
      </c>
      <c r="K18" s="292" t="n">
        <f aca="false">COUNTIF($Q$5:Q18,"&gt;0")</f>
        <v>0</v>
      </c>
      <c r="L18" s="292" t="str">
        <f aca="false">"Кабели"</f>
        <v>Кабели</v>
      </c>
      <c r="M18" s="292" t="str">
        <f aca="false">IF(ISBLANK(Кабели!$A$20),"",Кабели!$A$20)</f>
        <v>BX115 Lotto силиконовый зарядный дата кабель iP</v>
      </c>
      <c r="N18" s="292" t="str">
        <f aca="false">IF(ISBLANK(Кабели!$D$20),"",Кабели!$D$20)</f>
        <v>6941991119637</v>
      </c>
      <c r="O18" s="292" t="str">
        <f aca="false">IF(ISBLANK(Кабели!$E$20),"",Кабели!$E$20)</f>
        <v>белый</v>
      </c>
      <c r="P18" s="292" t="str">
        <f aca="false">"ед."</f>
        <v>ед.</v>
      </c>
      <c r="Q18" s="292" t="n">
        <f aca="false">N(Кабели!$G$20)</f>
        <v>0</v>
      </c>
      <c r="R18" s="299" t="n">
        <f aca="false">IF(ISBLANK(Кабели!$F$20),"",Кабели!$F$20)</f>
        <v>71.76</v>
      </c>
      <c r="S18" s="292" t="str">
        <f aca="false">IF(ISBLANK(Кабели!$H$20),"",Кабели!$H$20)</f>
        <v/>
      </c>
    </row>
    <row r="19" customFormat="false" ht="66" hidden="false" customHeight="true" outlineLevel="0" collapsed="false">
      <c r="A19" s="291" t="str">
        <f aca="true">IF(ISNUMBER($J19),INDIRECT("L"&amp;($J19+4)),"")</f>
        <v/>
      </c>
      <c r="B19" s="291" t="str">
        <f aca="true">IF(ISNUMBER($J19),INDIRECT("M"&amp;($J19+4)),"")</f>
        <v/>
      </c>
      <c r="C19" s="296" t="str">
        <f aca="true">IF(ISNUMBER($J19),INDIRECT("N"&amp;($J19+4)),"")</f>
        <v/>
      </c>
      <c r="D19" s="291" t="str">
        <f aca="true">IF(ISNUMBER($J19),INDIRECT("O"&amp;($J19+4)),"")</f>
        <v/>
      </c>
      <c r="E19" s="291" t="str">
        <f aca="true">IF(ISNUMBER($J19),INDIRECT("P"&amp;($J19+4)),"")</f>
        <v/>
      </c>
      <c r="F19" s="300" t="str">
        <f aca="true">IF(ISNUMBER($J19),INDIRECT("Q"&amp;($J19+4)),"")</f>
        <v/>
      </c>
      <c r="G19" s="298" t="str">
        <f aca="true">IF(ISNUMBER($J19),INDIRECT("R"&amp;($J19+4)),"")</f>
        <v/>
      </c>
      <c r="H19" s="298" t="str">
        <f aca="true">IF(ISNUMBER($J19),INDIRECT("S"&amp;($J19+4)),"")</f>
        <v/>
      </c>
      <c r="J19" s="292" t="str">
        <f aca="true">IF(15&lt;=$K$1,MATCH(14.5,INDIRECT("$K$4:$K$1374"),1),"")</f>
        <v/>
      </c>
      <c r="K19" s="292" t="n">
        <f aca="false">COUNTIF($Q$5:Q19,"&gt;0")</f>
        <v>0</v>
      </c>
      <c r="L19" s="292" t="str">
        <f aca="false">"Кабели"</f>
        <v>Кабели</v>
      </c>
      <c r="M19" s="292" t="str">
        <f aca="false">IF(ISBLANK(Кабели!$A$21),"",Кабели!$A$21)</f>
        <v>BX115 Lotto силиконовый зарядный дата кабель Micro</v>
      </c>
      <c r="N19" s="292" t="str">
        <f aca="false">IF(ISBLANK(Кабели!$D$21),"",Кабели!$D$21)</f>
        <v>6941991119651</v>
      </c>
      <c r="O19" s="292" t="str">
        <f aca="false">IF(ISBLANK(Кабели!$E$21),"",Кабели!$E$21)</f>
        <v>белый</v>
      </c>
      <c r="P19" s="292" t="str">
        <f aca="false">"ед."</f>
        <v>ед.</v>
      </c>
      <c r="Q19" s="292" t="n">
        <f aca="false">N(Кабели!$G$21)</f>
        <v>0</v>
      </c>
      <c r="R19" s="299" t="n">
        <f aca="false">IF(ISBLANK(Кабели!$F$21),"",Кабели!$F$21)</f>
        <v>65.24</v>
      </c>
      <c r="S19" s="292" t="str">
        <f aca="false">IF(ISBLANK(Кабели!$H$21),"",Кабели!$H$21)</f>
        <v/>
      </c>
    </row>
    <row r="20" customFormat="false" ht="66" hidden="false" customHeight="true" outlineLevel="0" collapsed="false">
      <c r="A20" s="291" t="str">
        <f aca="true">IF(ISNUMBER($J20),INDIRECT("L"&amp;($J20+4)),"")</f>
        <v/>
      </c>
      <c r="B20" s="291" t="str">
        <f aca="true">IF(ISNUMBER($J20),INDIRECT("M"&amp;($J20+4)),"")</f>
        <v/>
      </c>
      <c r="C20" s="296" t="str">
        <f aca="true">IF(ISNUMBER($J20),INDIRECT("N"&amp;($J20+4)),"")</f>
        <v/>
      </c>
      <c r="D20" s="291" t="str">
        <f aca="true">IF(ISNUMBER($J20),INDIRECT("O"&amp;($J20+4)),"")</f>
        <v/>
      </c>
      <c r="E20" s="291" t="str">
        <f aca="true">IF(ISNUMBER($J20),INDIRECT("P"&amp;($J20+4)),"")</f>
        <v/>
      </c>
      <c r="F20" s="300" t="str">
        <f aca="true">IF(ISNUMBER($J20),INDIRECT("Q"&amp;($J20+4)),"")</f>
        <v/>
      </c>
      <c r="G20" s="298" t="str">
        <f aca="true">IF(ISNUMBER($J20),INDIRECT("R"&amp;($J20+4)),"")</f>
        <v/>
      </c>
      <c r="H20" s="298" t="str">
        <f aca="true">IF(ISNUMBER($J20),INDIRECT("S"&amp;($J20+4)),"")</f>
        <v/>
      </c>
      <c r="J20" s="292" t="str">
        <f aca="true">IF(16&lt;=$K$1,MATCH(15.5,INDIRECT("$K$4:$K$1374"),1),"")</f>
        <v/>
      </c>
      <c r="K20" s="292" t="n">
        <f aca="false">COUNTIF($Q$5:Q20,"&gt;0")</f>
        <v>0</v>
      </c>
      <c r="L20" s="292" t="str">
        <f aca="false">"Кабели"</f>
        <v>Кабели</v>
      </c>
      <c r="M20" s="292" t="str">
        <f aca="false">IF(ISBLANK(Кабели!$A$22),"",Кабели!$A$22)</f>
        <v>BX115 Lotto силиконовый зарядный дата кабель Type-C</v>
      </c>
      <c r="N20" s="292" t="str">
        <f aca="false">IF(ISBLANK(Кабели!$D$22),"",Кабели!$D$22)</f>
        <v>6941991119675</v>
      </c>
      <c r="O20" s="292" t="str">
        <f aca="false">IF(ISBLANK(Кабели!$E$22),"",Кабели!$E$22)</f>
        <v>белый</v>
      </c>
      <c r="P20" s="292" t="str">
        <f aca="false">"ед."</f>
        <v>ед.</v>
      </c>
      <c r="Q20" s="292" t="n">
        <f aca="false">N(Кабели!$G$22)</f>
        <v>0</v>
      </c>
      <c r="R20" s="299" t="n">
        <f aca="false">IF(ISBLANK(Кабели!$F$22),"",Кабели!$F$22)</f>
        <v>68.5</v>
      </c>
      <c r="S20" s="292" t="str">
        <f aca="false">IF(ISBLANK(Кабели!$H$22),"",Кабели!$H$22)</f>
        <v/>
      </c>
    </row>
    <row r="21" customFormat="false" ht="66" hidden="false" customHeight="true" outlineLevel="0" collapsed="false">
      <c r="A21" s="291" t="str">
        <f aca="true">IF(ISNUMBER($J21),INDIRECT("L"&amp;($J21+4)),"")</f>
        <v/>
      </c>
      <c r="B21" s="291" t="str">
        <f aca="true">IF(ISNUMBER($J21),INDIRECT("M"&amp;($J21+4)),"")</f>
        <v/>
      </c>
      <c r="C21" s="296" t="str">
        <f aca="true">IF(ISNUMBER($J21),INDIRECT("N"&amp;($J21+4)),"")</f>
        <v/>
      </c>
      <c r="D21" s="291" t="str">
        <f aca="true">IF(ISNUMBER($J21),INDIRECT("O"&amp;($J21+4)),"")</f>
        <v/>
      </c>
      <c r="E21" s="291" t="str">
        <f aca="true">IF(ISNUMBER($J21),INDIRECT("P"&amp;($J21+4)),"")</f>
        <v/>
      </c>
      <c r="F21" s="300" t="str">
        <f aca="true">IF(ISNUMBER($J21),INDIRECT("Q"&amp;($J21+4)),"")</f>
        <v/>
      </c>
      <c r="G21" s="298" t="str">
        <f aca="true">IF(ISNUMBER($J21),INDIRECT("R"&amp;($J21+4)),"")</f>
        <v/>
      </c>
      <c r="H21" s="298" t="str">
        <f aca="true">IF(ISNUMBER($J21),INDIRECT("S"&amp;($J21+4)),"")</f>
        <v/>
      </c>
      <c r="J21" s="292" t="str">
        <f aca="true">IF(17&lt;=$K$1,MATCH(16.5,INDIRECT("$K$4:$K$1374"),1),"")</f>
        <v/>
      </c>
      <c r="K21" s="292" t="n">
        <f aca="false">COUNTIF($Q$5:Q21,"&gt;0")</f>
        <v>0</v>
      </c>
      <c r="L21" s="292" t="str">
        <f aca="false">"Кабели"</f>
        <v>Кабели</v>
      </c>
      <c r="M21" s="292" t="str">
        <f aca="false">IF(ISBLANK(Кабели!$A$23),"",Кабели!$A$23)</f>
        <v>BX114 Structure PD силиконовый зарядный дата кабель iP</v>
      </c>
      <c r="N21" s="292" t="str">
        <f aca="false">IF(ISBLANK(Кабели!$D$23),"",Кабели!$D$23)</f>
        <v>6941991116827</v>
      </c>
      <c r="O21" s="292" t="str">
        <f aca="false">IF(ISBLANK(Кабели!$E$23),"",Кабели!$E$23)</f>
        <v>черный</v>
      </c>
      <c r="P21" s="292" t="str">
        <f aca="false">"ед."</f>
        <v>ед.</v>
      </c>
      <c r="Q21" s="292" t="n">
        <f aca="false">N(Кабели!$G$23)</f>
        <v>0</v>
      </c>
      <c r="R21" s="299" t="n">
        <f aca="false">IF(ISBLANK(Кабели!$F$23),"",Кабели!$F$23)</f>
        <v>106.01</v>
      </c>
      <c r="S21" s="292" t="str">
        <f aca="false">IF(ISBLANK(Кабели!$H$23),"",Кабели!$H$23)</f>
        <v/>
      </c>
    </row>
    <row r="22" customFormat="false" ht="66" hidden="false" customHeight="true" outlineLevel="0" collapsed="false">
      <c r="A22" s="291" t="str">
        <f aca="true">IF(ISNUMBER($J22),INDIRECT("L"&amp;($J22+4)),"")</f>
        <v/>
      </c>
      <c r="B22" s="291" t="str">
        <f aca="true">IF(ISNUMBER($J22),INDIRECT("M"&amp;($J22+4)),"")</f>
        <v/>
      </c>
      <c r="C22" s="296" t="str">
        <f aca="true">IF(ISNUMBER($J22),INDIRECT("N"&amp;($J22+4)),"")</f>
        <v/>
      </c>
      <c r="D22" s="291" t="str">
        <f aca="true">IF(ISNUMBER($J22),INDIRECT("O"&amp;($J22+4)),"")</f>
        <v/>
      </c>
      <c r="E22" s="291" t="str">
        <f aca="true">IF(ISNUMBER($J22),INDIRECT("P"&amp;($J22+4)),"")</f>
        <v/>
      </c>
      <c r="F22" s="300" t="str">
        <f aca="true">IF(ISNUMBER($J22),INDIRECT("Q"&amp;($J22+4)),"")</f>
        <v/>
      </c>
      <c r="G22" s="298" t="str">
        <f aca="true">IF(ISNUMBER($J22),INDIRECT("R"&amp;($J22+4)),"")</f>
        <v/>
      </c>
      <c r="H22" s="298" t="str">
        <f aca="true">IF(ISNUMBER($J22),INDIRECT("S"&amp;($J22+4)),"")</f>
        <v/>
      </c>
      <c r="J22" s="292" t="str">
        <f aca="true">IF(18&lt;=$K$1,MATCH(17.5,INDIRECT("$K$4:$K$1374"),1),"")</f>
        <v/>
      </c>
      <c r="K22" s="292" t="n">
        <f aca="false">COUNTIF($Q$5:Q22,"&gt;0")</f>
        <v>0</v>
      </c>
      <c r="L22" s="292" t="str">
        <f aca="false">"Кабели"</f>
        <v>Кабели</v>
      </c>
      <c r="M22" s="292" t="str">
        <f aca="false">IF(ISBLANK(Кабели!$A$23),"",Кабели!$A$23)</f>
        <v>BX114 Structure PD силиконовый зарядный дата кабель iP</v>
      </c>
      <c r="N22" s="292" t="str">
        <f aca="false">IF(ISBLANK(Кабели!$D$24),"",Кабели!$D$24)</f>
        <v>6941991116834</v>
      </c>
      <c r="O22" s="292" t="str">
        <f aca="false">IF(ISBLANK(Кабели!$E$24),"",Кабели!$E$24)</f>
        <v>белый</v>
      </c>
      <c r="P22" s="292" t="str">
        <f aca="false">"ед."</f>
        <v>ед.</v>
      </c>
      <c r="Q22" s="292" t="n">
        <f aca="false">N(Кабели!$G$24)</f>
        <v>0</v>
      </c>
      <c r="R22" s="299" t="n">
        <f aca="false">IF(ISBLANK(Кабели!$F$24),"",Кабели!$F$24)</f>
        <v>106.01</v>
      </c>
      <c r="S22" s="292" t="str">
        <f aca="false">IF(ISBLANK(Кабели!$H$24),"",Кабели!$H$24)</f>
        <v/>
      </c>
    </row>
    <row r="23" customFormat="false" ht="66" hidden="false" customHeight="true" outlineLevel="0" collapsed="false">
      <c r="A23" s="291" t="str">
        <f aca="true">IF(ISNUMBER($J23),INDIRECT("L"&amp;($J23+4)),"")</f>
        <v/>
      </c>
      <c r="B23" s="291" t="str">
        <f aca="true">IF(ISNUMBER($J23),INDIRECT("M"&amp;($J23+4)),"")</f>
        <v/>
      </c>
      <c r="C23" s="296" t="str">
        <f aca="true">IF(ISNUMBER($J23),INDIRECT("N"&amp;($J23+4)),"")</f>
        <v/>
      </c>
      <c r="D23" s="291" t="str">
        <f aca="true">IF(ISNUMBER($J23),INDIRECT("O"&amp;($J23+4)),"")</f>
        <v/>
      </c>
      <c r="E23" s="291" t="str">
        <f aca="true">IF(ISNUMBER($J23),INDIRECT("P"&amp;($J23+4)),"")</f>
        <v/>
      </c>
      <c r="F23" s="300" t="str">
        <f aca="true">IF(ISNUMBER($J23),INDIRECT("Q"&amp;($J23+4)),"")</f>
        <v/>
      </c>
      <c r="G23" s="298" t="str">
        <f aca="true">IF(ISNUMBER($J23),INDIRECT("R"&amp;($J23+4)),"")</f>
        <v/>
      </c>
      <c r="H23" s="298" t="str">
        <f aca="true">IF(ISNUMBER($J23),INDIRECT("S"&amp;($J23+4)),"")</f>
        <v/>
      </c>
      <c r="J23" s="292" t="str">
        <f aca="true">IF(19&lt;=$K$1,MATCH(18.5,INDIRECT("$K$4:$K$1374"),1),"")</f>
        <v/>
      </c>
      <c r="K23" s="292" t="n">
        <f aca="false">COUNTIF($Q$5:Q23,"&gt;0")</f>
        <v>0</v>
      </c>
      <c r="L23" s="292" t="str">
        <f aca="false">"Кабели"</f>
        <v>Кабели</v>
      </c>
      <c r="M23" s="292" t="str">
        <f aca="false">IF(ISBLANK(Кабели!$A$25),"",Кабели!$A$25)</f>
        <v>BX114 Structure 60W силиконовый зарядный дата кабель C на C</v>
      </c>
      <c r="N23" s="292" t="str">
        <f aca="false">IF(ISBLANK(Кабели!$D$25),"",Кабели!$D$25)</f>
        <v>6941991116902</v>
      </c>
      <c r="O23" s="292" t="str">
        <f aca="false">IF(ISBLANK(Кабели!$E$25),"",Кабели!$E$25)</f>
        <v>черный</v>
      </c>
      <c r="P23" s="292" t="str">
        <f aca="false">"ед."</f>
        <v>ед.</v>
      </c>
      <c r="Q23" s="292" t="n">
        <f aca="false">N(Кабели!$G$25)</f>
        <v>0</v>
      </c>
      <c r="R23" s="299" t="n">
        <f aca="false">IF(ISBLANK(Кабели!$F$25),"",Кабели!$F$25)</f>
        <v>89.7</v>
      </c>
      <c r="S23" s="292" t="str">
        <f aca="false">IF(ISBLANK(Кабели!$H$25),"",Кабели!$H$25)</f>
        <v/>
      </c>
    </row>
    <row r="24" customFormat="false" ht="66" hidden="false" customHeight="true" outlineLevel="0" collapsed="false">
      <c r="A24" s="291" t="str">
        <f aca="true">IF(ISNUMBER($J24),INDIRECT("L"&amp;($J24+4)),"")</f>
        <v/>
      </c>
      <c r="B24" s="291" t="str">
        <f aca="true">IF(ISNUMBER($J24),INDIRECT("M"&amp;($J24+4)),"")</f>
        <v/>
      </c>
      <c r="C24" s="296" t="str">
        <f aca="true">IF(ISNUMBER($J24),INDIRECT("N"&amp;($J24+4)),"")</f>
        <v/>
      </c>
      <c r="D24" s="291" t="str">
        <f aca="true">IF(ISNUMBER($J24),INDIRECT("O"&amp;($J24+4)),"")</f>
        <v/>
      </c>
      <c r="E24" s="291" t="str">
        <f aca="true">IF(ISNUMBER($J24),INDIRECT("P"&amp;($J24+4)),"")</f>
        <v/>
      </c>
      <c r="F24" s="300" t="str">
        <f aca="true">IF(ISNUMBER($J24),INDIRECT("Q"&amp;($J24+4)),"")</f>
        <v/>
      </c>
      <c r="G24" s="298" t="str">
        <f aca="true">IF(ISNUMBER($J24),INDIRECT("R"&amp;($J24+4)),"")</f>
        <v/>
      </c>
      <c r="H24" s="298" t="str">
        <f aca="true">IF(ISNUMBER($J24),INDIRECT("S"&amp;($J24+4)),"")</f>
        <v/>
      </c>
      <c r="J24" s="292" t="str">
        <f aca="true">IF(20&lt;=$K$1,MATCH(19.5,INDIRECT("$K$4:$K$1374"),1),"")</f>
        <v/>
      </c>
      <c r="K24" s="292" t="n">
        <f aca="false">COUNTIF($Q$5:Q24,"&gt;0")</f>
        <v>0</v>
      </c>
      <c r="L24" s="292" t="str">
        <f aca="false">"Кабели"</f>
        <v>Кабели</v>
      </c>
      <c r="M24" s="292" t="str">
        <f aca="false">IF(ISBLANK(Кабели!$A$25),"",Кабели!$A$25)</f>
        <v>BX114 Structure 60W силиконовый зарядный дата кабель C на C</v>
      </c>
      <c r="N24" s="292" t="str">
        <f aca="false">IF(ISBLANK(Кабели!$D$26),"",Кабели!$D$26)</f>
        <v>6941991116919</v>
      </c>
      <c r="O24" s="292" t="str">
        <f aca="false">IF(ISBLANK(Кабели!$E$26),"",Кабели!$E$26)</f>
        <v>белый</v>
      </c>
      <c r="P24" s="292" t="str">
        <f aca="false">"ед."</f>
        <v>ед.</v>
      </c>
      <c r="Q24" s="292" t="n">
        <f aca="false">N(Кабели!$G$26)</f>
        <v>0</v>
      </c>
      <c r="R24" s="299" t="n">
        <f aca="false">IF(ISBLANK(Кабели!$F$26),"",Кабели!$F$26)</f>
        <v>89.7</v>
      </c>
      <c r="S24" s="292" t="str">
        <f aca="false">IF(ISBLANK(Кабели!$H$26),"",Кабели!$H$26)</f>
        <v/>
      </c>
    </row>
    <row r="25" customFormat="false" ht="66" hidden="false" customHeight="true" outlineLevel="0" collapsed="false">
      <c r="A25" s="291" t="str">
        <f aca="true">IF(ISNUMBER($J25),INDIRECT("L"&amp;($J25+4)),"")</f>
        <v/>
      </c>
      <c r="B25" s="291" t="str">
        <f aca="true">IF(ISNUMBER($J25),INDIRECT("M"&amp;($J25+4)),"")</f>
        <v/>
      </c>
      <c r="C25" s="296" t="str">
        <f aca="true">IF(ISNUMBER($J25),INDIRECT("N"&amp;($J25+4)),"")</f>
        <v/>
      </c>
      <c r="D25" s="291" t="str">
        <f aca="true">IF(ISNUMBER($J25),INDIRECT("O"&amp;($J25+4)),"")</f>
        <v/>
      </c>
      <c r="E25" s="291" t="str">
        <f aca="true">IF(ISNUMBER($J25),INDIRECT("P"&amp;($J25+4)),"")</f>
        <v/>
      </c>
      <c r="F25" s="300" t="str">
        <f aca="true">IF(ISNUMBER($J25),INDIRECT("Q"&amp;($J25+4)),"")</f>
        <v/>
      </c>
      <c r="G25" s="298" t="str">
        <f aca="true">IF(ISNUMBER($J25),INDIRECT("R"&amp;($J25+4)),"")</f>
        <v/>
      </c>
      <c r="H25" s="298" t="str">
        <f aca="true">IF(ISNUMBER($J25),INDIRECT("S"&amp;($J25+4)),"")</f>
        <v/>
      </c>
      <c r="J25" s="292" t="str">
        <f aca="true">IF(21&lt;=$K$1,MATCH(20.5,INDIRECT("$K$4:$K$1374"),1),"")</f>
        <v/>
      </c>
      <c r="K25" s="292" t="n">
        <f aca="false">COUNTIF($Q$5:Q25,"&gt;0")</f>
        <v>0</v>
      </c>
      <c r="L25" s="292" t="str">
        <f aca="false">"Кабели"</f>
        <v>Кабели</v>
      </c>
      <c r="M25" s="292" t="str">
        <f aca="false">IF(ISBLANK(Кабели!$A$27),"",Кабели!$A$27)</f>
        <v>BX114 Structure силиконовый зарядный дата кабель iP</v>
      </c>
      <c r="N25" s="292" t="str">
        <f aca="false">IF(ISBLANK(Кабели!$D$27),"",Кабели!$D$27)</f>
        <v>6941991116841</v>
      </c>
      <c r="O25" s="292" t="str">
        <f aca="false">IF(ISBLANK(Кабели!$E$27),"",Кабели!$E$27)</f>
        <v>черный</v>
      </c>
      <c r="P25" s="292" t="str">
        <f aca="false">"ед."</f>
        <v>ед.</v>
      </c>
      <c r="Q25" s="292" t="n">
        <f aca="false">N(Кабели!$G$27)</f>
        <v>0</v>
      </c>
      <c r="R25" s="299" t="n">
        <f aca="false">IF(ISBLANK(Кабели!$F$27),"",Кабели!$F$27)</f>
        <v>73.39</v>
      </c>
      <c r="S25" s="292" t="str">
        <f aca="false">IF(ISBLANK(Кабели!$H$27),"",Кабели!$H$27)</f>
        <v/>
      </c>
    </row>
    <row r="26" customFormat="false" ht="66" hidden="false" customHeight="true" outlineLevel="0" collapsed="false">
      <c r="A26" s="291" t="str">
        <f aca="true">IF(ISNUMBER($J26),INDIRECT("L"&amp;($J26+4)),"")</f>
        <v/>
      </c>
      <c r="B26" s="291" t="str">
        <f aca="true">IF(ISNUMBER($J26),INDIRECT("M"&amp;($J26+4)),"")</f>
        <v/>
      </c>
      <c r="C26" s="296" t="str">
        <f aca="true">IF(ISNUMBER($J26),INDIRECT("N"&amp;($J26+4)),"")</f>
        <v/>
      </c>
      <c r="D26" s="291" t="str">
        <f aca="true">IF(ISNUMBER($J26),INDIRECT("O"&amp;($J26+4)),"")</f>
        <v/>
      </c>
      <c r="E26" s="291" t="str">
        <f aca="true">IF(ISNUMBER($J26),INDIRECT("P"&amp;($J26+4)),"")</f>
        <v/>
      </c>
      <c r="F26" s="300" t="str">
        <f aca="true">IF(ISNUMBER($J26),INDIRECT("Q"&amp;($J26+4)),"")</f>
        <v/>
      </c>
      <c r="G26" s="298" t="str">
        <f aca="true">IF(ISNUMBER($J26),INDIRECT("R"&amp;($J26+4)),"")</f>
        <v/>
      </c>
      <c r="H26" s="298" t="str">
        <f aca="true">IF(ISNUMBER($J26),INDIRECT("S"&amp;($J26+4)),"")</f>
        <v/>
      </c>
      <c r="J26" s="292" t="str">
        <f aca="true">IF(22&lt;=$K$1,MATCH(21.5,INDIRECT("$K$4:$K$1374"),1),"")</f>
        <v/>
      </c>
      <c r="K26" s="292" t="n">
        <f aca="false">COUNTIF($Q$5:Q26,"&gt;0")</f>
        <v>0</v>
      </c>
      <c r="L26" s="292" t="str">
        <f aca="false">"Кабели"</f>
        <v>Кабели</v>
      </c>
      <c r="M26" s="292" t="str">
        <f aca="false">IF(ISBLANK(Кабели!$A$27),"",Кабели!$A$27)</f>
        <v>BX114 Structure силиконовый зарядный дата кабель iP</v>
      </c>
      <c r="N26" s="292" t="str">
        <f aca="false">IF(ISBLANK(Кабели!$D$28),"",Кабели!$D$28)</f>
        <v>6941991116858</v>
      </c>
      <c r="O26" s="292" t="str">
        <f aca="false">IF(ISBLANK(Кабели!$E$28),"",Кабели!$E$28)</f>
        <v>белый</v>
      </c>
      <c r="P26" s="292" t="str">
        <f aca="false">"ед."</f>
        <v>ед.</v>
      </c>
      <c r="Q26" s="292" t="n">
        <f aca="false">N(Кабели!$G$28)</f>
        <v>0</v>
      </c>
      <c r="R26" s="299" t="n">
        <f aca="false">IF(ISBLANK(Кабели!$F$28),"",Кабели!$F$28)</f>
        <v>73.39</v>
      </c>
      <c r="S26" s="292" t="str">
        <f aca="false">IF(ISBLANK(Кабели!$H$28),"",Кабели!$H$28)</f>
        <v/>
      </c>
    </row>
    <row r="27" customFormat="false" ht="66" hidden="false" customHeight="true" outlineLevel="0" collapsed="false">
      <c r="A27" s="291" t="str">
        <f aca="true">IF(ISNUMBER($J27),INDIRECT("L"&amp;($J27+4)),"")</f>
        <v/>
      </c>
      <c r="B27" s="291" t="str">
        <f aca="true">IF(ISNUMBER($J27),INDIRECT("M"&amp;($J27+4)),"")</f>
        <v/>
      </c>
      <c r="C27" s="296" t="str">
        <f aca="true">IF(ISNUMBER($J27),INDIRECT("N"&amp;($J27+4)),"")</f>
        <v/>
      </c>
      <c r="D27" s="291" t="str">
        <f aca="true">IF(ISNUMBER($J27),INDIRECT("O"&amp;($J27+4)),"")</f>
        <v/>
      </c>
      <c r="E27" s="291" t="str">
        <f aca="true">IF(ISNUMBER($J27),INDIRECT("P"&amp;($J27+4)),"")</f>
        <v/>
      </c>
      <c r="F27" s="300" t="str">
        <f aca="true">IF(ISNUMBER($J27),INDIRECT("Q"&amp;($J27+4)),"")</f>
        <v/>
      </c>
      <c r="G27" s="298" t="str">
        <f aca="true">IF(ISNUMBER($J27),INDIRECT("R"&amp;($J27+4)),"")</f>
        <v/>
      </c>
      <c r="H27" s="298" t="str">
        <f aca="true">IF(ISNUMBER($J27),INDIRECT("S"&amp;($J27+4)),"")</f>
        <v/>
      </c>
      <c r="J27" s="292" t="str">
        <f aca="true">IF(23&lt;=$K$1,MATCH(22.5,INDIRECT("$K$4:$K$1374"),1),"")</f>
        <v/>
      </c>
      <c r="K27" s="292" t="n">
        <f aca="false">COUNTIF($Q$5:Q27,"&gt;0")</f>
        <v>0</v>
      </c>
      <c r="L27" s="292" t="str">
        <f aca="false">"Кабели"</f>
        <v>Кабели</v>
      </c>
      <c r="M27" s="292" t="str">
        <f aca="false">IF(ISBLANK(Кабели!$A$29),"",Кабели!$A$29)</f>
        <v>BX114 Structure силиконовый зарядный дата кабель Micro</v>
      </c>
      <c r="N27" s="292" t="str">
        <f aca="false">IF(ISBLANK(Кабели!$D$29),"",Кабели!$D$29)</f>
        <v>6941991116865</v>
      </c>
      <c r="O27" s="292" t="str">
        <f aca="false">IF(ISBLANK(Кабели!$E$29),"",Кабели!$E$29)</f>
        <v>черный</v>
      </c>
      <c r="P27" s="292" t="str">
        <f aca="false">"ед."</f>
        <v>ед.</v>
      </c>
      <c r="Q27" s="292" t="n">
        <f aca="false">N(Кабели!$G$29)</f>
        <v>0</v>
      </c>
      <c r="R27" s="299" t="n">
        <f aca="false">IF(ISBLANK(Кабели!$F$29),"",Кабели!$F$29)</f>
        <v>66.87</v>
      </c>
      <c r="S27" s="292" t="str">
        <f aca="false">IF(ISBLANK(Кабели!$H$29),"",Кабели!$H$29)</f>
        <v/>
      </c>
    </row>
    <row r="28" customFormat="false" ht="66" hidden="false" customHeight="true" outlineLevel="0" collapsed="false">
      <c r="A28" s="291" t="str">
        <f aca="true">IF(ISNUMBER($J28),INDIRECT("L"&amp;($J28+4)),"")</f>
        <v/>
      </c>
      <c r="B28" s="291" t="str">
        <f aca="true">IF(ISNUMBER($J28),INDIRECT("M"&amp;($J28+4)),"")</f>
        <v/>
      </c>
      <c r="C28" s="296" t="str">
        <f aca="true">IF(ISNUMBER($J28),INDIRECT("N"&amp;($J28+4)),"")</f>
        <v/>
      </c>
      <c r="D28" s="291" t="str">
        <f aca="true">IF(ISNUMBER($J28),INDIRECT("O"&amp;($J28+4)),"")</f>
        <v/>
      </c>
      <c r="E28" s="291" t="str">
        <f aca="true">IF(ISNUMBER($J28),INDIRECT("P"&amp;($J28+4)),"")</f>
        <v/>
      </c>
      <c r="F28" s="300" t="str">
        <f aca="true">IF(ISNUMBER($J28),INDIRECT("Q"&amp;($J28+4)),"")</f>
        <v/>
      </c>
      <c r="G28" s="298" t="str">
        <f aca="true">IF(ISNUMBER($J28),INDIRECT("R"&amp;($J28+4)),"")</f>
        <v/>
      </c>
      <c r="H28" s="298" t="str">
        <f aca="true">IF(ISNUMBER($J28),INDIRECT("S"&amp;($J28+4)),"")</f>
        <v/>
      </c>
      <c r="J28" s="292" t="str">
        <f aca="true">IF(24&lt;=$K$1,MATCH(23.5,INDIRECT("$K$4:$K$1374"),1),"")</f>
        <v/>
      </c>
      <c r="K28" s="292" t="n">
        <f aca="false">COUNTIF($Q$5:Q28,"&gt;0")</f>
        <v>0</v>
      </c>
      <c r="L28" s="292" t="str">
        <f aca="false">"Кабели"</f>
        <v>Кабели</v>
      </c>
      <c r="M28" s="292" t="str">
        <f aca="false">IF(ISBLANK(Кабели!$A$29),"",Кабели!$A$29)</f>
        <v>BX114 Structure силиконовый зарядный дата кабель Micro</v>
      </c>
      <c r="N28" s="292" t="str">
        <f aca="false">IF(ISBLANK(Кабели!$D$30),"",Кабели!$D$30)</f>
        <v>6941991116872</v>
      </c>
      <c r="O28" s="292" t="str">
        <f aca="false">IF(ISBLANK(Кабели!$E$30),"",Кабели!$E$30)</f>
        <v>белый</v>
      </c>
      <c r="P28" s="292" t="str">
        <f aca="false">"ед."</f>
        <v>ед.</v>
      </c>
      <c r="Q28" s="292" t="n">
        <f aca="false">N(Кабели!$G$30)</f>
        <v>0</v>
      </c>
      <c r="R28" s="299" t="n">
        <f aca="false">IF(ISBLANK(Кабели!$F$30),"",Кабели!$F$30)</f>
        <v>66.87</v>
      </c>
      <c r="S28" s="292" t="str">
        <f aca="false">IF(ISBLANK(Кабели!$H$30),"",Кабели!$H$30)</f>
        <v/>
      </c>
    </row>
    <row r="29" customFormat="false" ht="66" hidden="false" customHeight="true" outlineLevel="0" collapsed="false">
      <c r="A29" s="291" t="str">
        <f aca="true">IF(ISNUMBER($J29),INDIRECT("L"&amp;($J29+4)),"")</f>
        <v/>
      </c>
      <c r="B29" s="291" t="str">
        <f aca="true">IF(ISNUMBER($J29),INDIRECT("M"&amp;($J29+4)),"")</f>
        <v/>
      </c>
      <c r="C29" s="296" t="str">
        <f aca="true">IF(ISNUMBER($J29),INDIRECT("N"&amp;($J29+4)),"")</f>
        <v/>
      </c>
      <c r="D29" s="291" t="str">
        <f aca="true">IF(ISNUMBER($J29),INDIRECT("O"&amp;($J29+4)),"")</f>
        <v/>
      </c>
      <c r="E29" s="291" t="str">
        <f aca="true">IF(ISNUMBER($J29),INDIRECT("P"&amp;($J29+4)),"")</f>
        <v/>
      </c>
      <c r="F29" s="300" t="str">
        <f aca="true">IF(ISNUMBER($J29),INDIRECT("Q"&amp;($J29+4)),"")</f>
        <v/>
      </c>
      <c r="G29" s="298" t="str">
        <f aca="true">IF(ISNUMBER($J29),INDIRECT("R"&amp;($J29+4)),"")</f>
        <v/>
      </c>
      <c r="H29" s="298" t="str">
        <f aca="true">IF(ISNUMBER($J29),INDIRECT("S"&amp;($J29+4)),"")</f>
        <v/>
      </c>
      <c r="J29" s="292" t="str">
        <f aca="true">IF(25&lt;=$K$1,MATCH(24.5,INDIRECT("$K$4:$K$1374"),1),"")</f>
        <v/>
      </c>
      <c r="K29" s="292" t="n">
        <f aca="false">COUNTIF($Q$5:Q29,"&gt;0")</f>
        <v>0</v>
      </c>
      <c r="L29" s="292" t="str">
        <f aca="false">"Кабели"</f>
        <v>Кабели</v>
      </c>
      <c r="M29" s="292" t="str">
        <f aca="false">IF(ISBLANK(Кабели!$A$31),"",Кабели!$A$31)</f>
        <v>BX114 Structure силиконовый зарядный дата кабель Type-C</v>
      </c>
      <c r="N29" s="292" t="str">
        <f aca="false">IF(ISBLANK(Кабели!$D$31),"",Кабели!$D$31)</f>
        <v>6941991116889</v>
      </c>
      <c r="O29" s="292" t="str">
        <f aca="false">IF(ISBLANK(Кабели!$E$31),"",Кабели!$E$31)</f>
        <v>черный</v>
      </c>
      <c r="P29" s="292" t="str">
        <f aca="false">"ед."</f>
        <v>ед.</v>
      </c>
      <c r="Q29" s="292" t="n">
        <f aca="false">N(Кабели!$G$31)</f>
        <v>0</v>
      </c>
      <c r="R29" s="299" t="n">
        <f aca="false">IF(ISBLANK(Кабели!$F$31),"",Кабели!$F$31)</f>
        <v>70.13</v>
      </c>
      <c r="S29" s="292" t="str">
        <f aca="false">IF(ISBLANK(Кабели!$H$31),"",Кабели!$H$31)</f>
        <v/>
      </c>
    </row>
    <row r="30" customFormat="false" ht="66" hidden="false" customHeight="true" outlineLevel="0" collapsed="false">
      <c r="A30" s="291" t="str">
        <f aca="true">IF(ISNUMBER($J30),INDIRECT("L"&amp;($J30+4)),"")</f>
        <v/>
      </c>
      <c r="B30" s="291" t="str">
        <f aca="true">IF(ISNUMBER($J30),INDIRECT("M"&amp;($J30+4)),"")</f>
        <v/>
      </c>
      <c r="C30" s="296" t="str">
        <f aca="true">IF(ISNUMBER($J30),INDIRECT("N"&amp;($J30+4)),"")</f>
        <v/>
      </c>
      <c r="D30" s="291" t="str">
        <f aca="true">IF(ISNUMBER($J30),INDIRECT("O"&amp;($J30+4)),"")</f>
        <v/>
      </c>
      <c r="E30" s="291" t="str">
        <f aca="true">IF(ISNUMBER($J30),INDIRECT("P"&amp;($J30+4)),"")</f>
        <v/>
      </c>
      <c r="F30" s="300" t="str">
        <f aca="true">IF(ISNUMBER($J30),INDIRECT("Q"&amp;($J30+4)),"")</f>
        <v/>
      </c>
      <c r="G30" s="298" t="str">
        <f aca="true">IF(ISNUMBER($J30),INDIRECT("R"&amp;($J30+4)),"")</f>
        <v/>
      </c>
      <c r="H30" s="298" t="str">
        <f aca="true">IF(ISNUMBER($J30),INDIRECT("S"&amp;($J30+4)),"")</f>
        <v/>
      </c>
      <c r="J30" s="292" t="str">
        <f aca="true">IF(26&lt;=$K$1,MATCH(25.5,INDIRECT("$K$4:$K$1374"),1),"")</f>
        <v/>
      </c>
      <c r="K30" s="292" t="n">
        <f aca="false">COUNTIF($Q$5:Q30,"&gt;0")</f>
        <v>0</v>
      </c>
      <c r="L30" s="292" t="str">
        <f aca="false">"Кабели"</f>
        <v>Кабели</v>
      </c>
      <c r="M30" s="292" t="str">
        <f aca="false">IF(ISBLANK(Кабели!$A$31),"",Кабели!$A$31)</f>
        <v>BX114 Structure силиконовый зарядный дата кабель Type-C</v>
      </c>
      <c r="N30" s="292" t="str">
        <f aca="false">IF(ISBLANK(Кабели!$D$32),"",Кабели!$D$32)</f>
        <v>6941991116896</v>
      </c>
      <c r="O30" s="292" t="str">
        <f aca="false">IF(ISBLANK(Кабели!$E$32),"",Кабели!$E$32)</f>
        <v>белый</v>
      </c>
      <c r="P30" s="292" t="str">
        <f aca="false">"ед."</f>
        <v>ед.</v>
      </c>
      <c r="Q30" s="292" t="n">
        <f aca="false">N(Кабели!$G$32)</f>
        <v>0</v>
      </c>
      <c r="R30" s="299" t="n">
        <f aca="false">IF(ISBLANK(Кабели!$F$32),"",Кабели!$F$32)</f>
        <v>70.13</v>
      </c>
      <c r="S30" s="292" t="str">
        <f aca="false">IF(ISBLANK(Кабели!$H$32),"",Кабели!$H$32)</f>
        <v/>
      </c>
    </row>
    <row r="31" customFormat="false" ht="66" hidden="false" customHeight="true" outlineLevel="0" collapsed="false">
      <c r="A31" s="291" t="str">
        <f aca="true">IF(ISNUMBER($J31),INDIRECT("L"&amp;($J31+4)),"")</f>
        <v/>
      </c>
      <c r="B31" s="291" t="str">
        <f aca="true">IF(ISNUMBER($J31),INDIRECT("M"&amp;($J31+4)),"")</f>
        <v/>
      </c>
      <c r="C31" s="296" t="str">
        <f aca="true">IF(ISNUMBER($J31),INDIRECT("N"&amp;($J31+4)),"")</f>
        <v/>
      </c>
      <c r="D31" s="291" t="str">
        <f aca="true">IF(ISNUMBER($J31),INDIRECT("O"&amp;($J31+4)),"")</f>
        <v/>
      </c>
      <c r="E31" s="291" t="str">
        <f aca="true">IF(ISNUMBER($J31),INDIRECT("P"&amp;($J31+4)),"")</f>
        <v/>
      </c>
      <c r="F31" s="300" t="str">
        <f aca="true">IF(ISNUMBER($J31),INDIRECT("Q"&amp;($J31+4)),"")</f>
        <v/>
      </c>
      <c r="G31" s="298" t="str">
        <f aca="true">IF(ISNUMBER($J31),INDIRECT("R"&amp;($J31+4)),"")</f>
        <v/>
      </c>
      <c r="H31" s="298" t="str">
        <f aca="true">IF(ISNUMBER($J31),INDIRECT("S"&amp;($J31+4)),"")</f>
        <v/>
      </c>
      <c r="J31" s="292" t="str">
        <f aca="true">IF(27&lt;=$K$1,MATCH(26.5,INDIRECT("$K$4:$K$1374"),1),"")</f>
        <v/>
      </c>
      <c r="K31" s="292" t="n">
        <f aca="false">COUNTIF($Q$5:Q31,"&gt;0")</f>
        <v>0</v>
      </c>
      <c r="L31" s="292" t="str">
        <f aca="false">"Кабели"</f>
        <v>Кабели</v>
      </c>
      <c r="M31" s="292" t="str">
        <f aca="false">IF(ISBLANK(Кабели!$A$33),"",Кабели!$A$33)</f>
        <v>BX113 Lenny PD силиконовый зарядный дата кабель iP(L=1M)</v>
      </c>
      <c r="N31" s="292" t="str">
        <f aca="false">IF(ISBLANK(Кабели!$D$33),"",Кабели!$D$33)</f>
        <v>6941991115370</v>
      </c>
      <c r="O31" s="292" t="str">
        <f aca="false">IF(ISBLANK(Кабели!$E$33),"",Кабели!$E$33)</f>
        <v>черный</v>
      </c>
      <c r="P31" s="292" t="str">
        <f aca="false">"ед."</f>
        <v>ед.</v>
      </c>
      <c r="Q31" s="292" t="n">
        <f aca="false">N(Кабели!$G$33)</f>
        <v>0</v>
      </c>
      <c r="R31" s="299" t="n">
        <f aca="false">IF(ISBLANK(Кабели!$F$33),"",Кабели!$F$33)</f>
        <v>91.33</v>
      </c>
      <c r="S31" s="292" t="str">
        <f aca="false">IF(ISBLANK(Кабели!$H$33),"",Кабели!$H$33)</f>
        <v/>
      </c>
    </row>
    <row r="32" customFormat="false" ht="66" hidden="false" customHeight="true" outlineLevel="0" collapsed="false">
      <c r="A32" s="291" t="str">
        <f aca="true">IF(ISNUMBER($J32),INDIRECT("L"&amp;($J32+4)),"")</f>
        <v/>
      </c>
      <c r="B32" s="291" t="str">
        <f aca="true">IF(ISNUMBER($J32),INDIRECT("M"&amp;($J32+4)),"")</f>
        <v/>
      </c>
      <c r="C32" s="296" t="str">
        <f aca="true">IF(ISNUMBER($J32),INDIRECT("N"&amp;($J32+4)),"")</f>
        <v/>
      </c>
      <c r="D32" s="291" t="str">
        <f aca="true">IF(ISNUMBER($J32),INDIRECT("O"&amp;($J32+4)),"")</f>
        <v/>
      </c>
      <c r="E32" s="291" t="str">
        <f aca="true">IF(ISNUMBER($J32),INDIRECT("P"&amp;($J32+4)),"")</f>
        <v/>
      </c>
      <c r="F32" s="300" t="str">
        <f aca="true">IF(ISNUMBER($J32),INDIRECT("Q"&amp;($J32+4)),"")</f>
        <v/>
      </c>
      <c r="G32" s="298" t="str">
        <f aca="true">IF(ISNUMBER($J32),INDIRECT("R"&amp;($J32+4)),"")</f>
        <v/>
      </c>
      <c r="H32" s="298" t="str">
        <f aca="true">IF(ISNUMBER($J32),INDIRECT("S"&amp;($J32+4)),"")</f>
        <v/>
      </c>
      <c r="J32" s="292" t="str">
        <f aca="true">IF(28&lt;=$K$1,MATCH(27.5,INDIRECT("$K$4:$K$1374"),1),"")</f>
        <v/>
      </c>
      <c r="K32" s="292" t="n">
        <f aca="false">COUNTIF($Q$5:Q32,"&gt;0")</f>
        <v>0</v>
      </c>
      <c r="L32" s="292" t="str">
        <f aca="false">"Кабели"</f>
        <v>Кабели</v>
      </c>
      <c r="M32" s="292" t="str">
        <f aca="false">IF(ISBLANK(Кабели!$A$33),"",Кабели!$A$33)</f>
        <v>BX113 Lenny PD силиконовый зарядный дата кабель iP(L=1M)</v>
      </c>
      <c r="N32" s="292" t="str">
        <f aca="false">IF(ISBLANK(Кабели!$D$34),"",Кабели!$D$34)</f>
        <v>6941991115387</v>
      </c>
      <c r="O32" s="292" t="str">
        <f aca="false">IF(ISBLANK(Кабели!$E$34),"",Кабели!$E$34)</f>
        <v>белый</v>
      </c>
      <c r="P32" s="292" t="str">
        <f aca="false">"ед."</f>
        <v>ед.</v>
      </c>
      <c r="Q32" s="292" t="n">
        <f aca="false">N(Кабели!$G$34)</f>
        <v>0</v>
      </c>
      <c r="R32" s="299" t="n">
        <f aca="false">IF(ISBLANK(Кабели!$F$34),"",Кабели!$F$34)</f>
        <v>91.33</v>
      </c>
      <c r="S32" s="292" t="str">
        <f aca="false">IF(ISBLANK(Кабели!$H$34),"",Кабели!$H$34)</f>
        <v/>
      </c>
    </row>
    <row r="33" customFormat="false" ht="66" hidden="false" customHeight="true" outlineLevel="0" collapsed="false">
      <c r="A33" s="291" t="str">
        <f aca="true">IF(ISNUMBER($J33),INDIRECT("L"&amp;($J33+4)),"")</f>
        <v/>
      </c>
      <c r="B33" s="291" t="str">
        <f aca="true">IF(ISNUMBER($J33),INDIRECT("M"&amp;($J33+4)),"")</f>
        <v/>
      </c>
      <c r="C33" s="296" t="str">
        <f aca="true">IF(ISNUMBER($J33),INDIRECT("N"&amp;($J33+4)),"")</f>
        <v/>
      </c>
      <c r="D33" s="291" t="str">
        <f aca="true">IF(ISNUMBER($J33),INDIRECT("O"&amp;($J33+4)),"")</f>
        <v/>
      </c>
      <c r="E33" s="291" t="str">
        <f aca="true">IF(ISNUMBER($J33),INDIRECT("P"&amp;($J33+4)),"")</f>
        <v/>
      </c>
      <c r="F33" s="300" t="str">
        <f aca="true">IF(ISNUMBER($J33),INDIRECT("Q"&amp;($J33+4)),"")</f>
        <v/>
      </c>
      <c r="G33" s="298" t="str">
        <f aca="true">IF(ISNUMBER($J33),INDIRECT("R"&amp;($J33+4)),"")</f>
        <v/>
      </c>
      <c r="H33" s="298" t="str">
        <f aca="true">IF(ISNUMBER($J33),INDIRECT("S"&amp;($J33+4)),"")</f>
        <v/>
      </c>
      <c r="J33" s="292" t="str">
        <f aca="true">IF(29&lt;=$K$1,MATCH(28.5,INDIRECT("$K$4:$K$1374"),1),"")</f>
        <v/>
      </c>
      <c r="K33" s="292" t="n">
        <f aca="false">COUNTIF($Q$5:Q33,"&gt;0")</f>
        <v>0</v>
      </c>
      <c r="L33" s="292" t="str">
        <f aca="false">"Кабели"</f>
        <v>Кабели</v>
      </c>
      <c r="M33" s="292" t="str">
        <f aca="false">IF(ISBLANK(Кабели!$A$35),"",Кабели!$A$35)</f>
        <v>BX113 Lenny PD силиконовый зарядный дата кабель iP(L=2M)</v>
      </c>
      <c r="N33" s="292" t="str">
        <f aca="false">IF(ISBLANK(Кабели!$D$35),"",Кабели!$D$35)</f>
        <v>6941991115479</v>
      </c>
      <c r="O33" s="292" t="str">
        <f aca="false">IF(ISBLANK(Кабели!$E$35),"",Кабели!$E$35)</f>
        <v>черный</v>
      </c>
      <c r="P33" s="292" t="str">
        <f aca="false">"ед."</f>
        <v>ед.</v>
      </c>
      <c r="Q33" s="292" t="n">
        <f aca="false">N(Кабели!$G$35)</f>
        <v>0</v>
      </c>
      <c r="R33" s="299" t="n">
        <f aca="false">IF(ISBLANK(Кабели!$F$35),"",Кабели!$F$35)</f>
        <v>130.48</v>
      </c>
      <c r="S33" s="292" t="str">
        <f aca="false">IF(ISBLANK(Кабели!$H$35),"",Кабели!$H$35)</f>
        <v/>
      </c>
    </row>
    <row r="34" customFormat="false" ht="66" hidden="false" customHeight="true" outlineLevel="0" collapsed="false">
      <c r="A34" s="291" t="str">
        <f aca="true">IF(ISNUMBER($J34),INDIRECT("L"&amp;($J34+4)),"")</f>
        <v/>
      </c>
      <c r="B34" s="291" t="str">
        <f aca="true">IF(ISNUMBER($J34),INDIRECT("M"&amp;($J34+4)),"")</f>
        <v/>
      </c>
      <c r="C34" s="296" t="str">
        <f aca="true">IF(ISNUMBER($J34),INDIRECT("N"&amp;($J34+4)),"")</f>
        <v/>
      </c>
      <c r="D34" s="291" t="str">
        <f aca="true">IF(ISNUMBER($J34),INDIRECT("O"&amp;($J34+4)),"")</f>
        <v/>
      </c>
      <c r="E34" s="291" t="str">
        <f aca="true">IF(ISNUMBER($J34),INDIRECT("P"&amp;($J34+4)),"")</f>
        <v/>
      </c>
      <c r="F34" s="300" t="str">
        <f aca="true">IF(ISNUMBER($J34),INDIRECT("Q"&amp;($J34+4)),"")</f>
        <v/>
      </c>
      <c r="G34" s="298" t="str">
        <f aca="true">IF(ISNUMBER($J34),INDIRECT("R"&amp;($J34+4)),"")</f>
        <v/>
      </c>
      <c r="H34" s="298" t="str">
        <f aca="true">IF(ISNUMBER($J34),INDIRECT("S"&amp;($J34+4)),"")</f>
        <v/>
      </c>
      <c r="J34" s="292" t="str">
        <f aca="true">IF(30&lt;=$K$1,MATCH(29.5,INDIRECT("$K$4:$K$1374"),1),"")</f>
        <v/>
      </c>
      <c r="K34" s="292" t="n">
        <f aca="false">COUNTIF($Q$5:Q34,"&gt;0")</f>
        <v>0</v>
      </c>
      <c r="L34" s="292" t="str">
        <f aca="false">"Кабели"</f>
        <v>Кабели</v>
      </c>
      <c r="M34" s="292" t="str">
        <f aca="false">IF(ISBLANK(Кабели!$A$36),"",Кабели!$A$36)</f>
        <v>BX113 Lenny PD силиконовый зарядный дата кабель iP(L=3M)</v>
      </c>
      <c r="N34" s="292" t="str">
        <f aca="false">IF(ISBLANK(Кабели!$D$36),"",Кабели!$D$36)</f>
        <v>6941991115523</v>
      </c>
      <c r="O34" s="292" t="str">
        <f aca="false">IF(ISBLANK(Кабели!$E$36),"",Кабели!$E$36)</f>
        <v>черный</v>
      </c>
      <c r="P34" s="292" t="str">
        <f aca="false">"ед."</f>
        <v>ед.</v>
      </c>
      <c r="Q34" s="292" t="n">
        <f aca="false">N(Кабели!$G$36)</f>
        <v>0</v>
      </c>
      <c r="R34" s="299" t="n">
        <f aca="false">IF(ISBLANK(Кабели!$F$36),"",Кабели!$F$36)</f>
        <v>187.56</v>
      </c>
      <c r="S34" s="292" t="str">
        <f aca="false">IF(ISBLANK(Кабели!$H$36),"",Кабели!$H$36)</f>
        <v/>
      </c>
    </row>
    <row r="35" customFormat="false" ht="66" hidden="false" customHeight="true" outlineLevel="0" collapsed="false">
      <c r="A35" s="291" t="str">
        <f aca="true">IF(ISNUMBER($J35),INDIRECT("L"&amp;($J35+4)),"")</f>
        <v/>
      </c>
      <c r="B35" s="291" t="str">
        <f aca="true">IF(ISNUMBER($J35),INDIRECT("M"&amp;($J35+4)),"")</f>
        <v/>
      </c>
      <c r="C35" s="296" t="str">
        <f aca="true">IF(ISNUMBER($J35),INDIRECT("N"&amp;($J35+4)),"")</f>
        <v/>
      </c>
      <c r="D35" s="291" t="str">
        <f aca="true">IF(ISNUMBER($J35),INDIRECT("O"&amp;($J35+4)),"")</f>
        <v/>
      </c>
      <c r="E35" s="291" t="str">
        <f aca="true">IF(ISNUMBER($J35),INDIRECT("P"&amp;($J35+4)),"")</f>
        <v/>
      </c>
      <c r="F35" s="300" t="str">
        <f aca="true">IF(ISNUMBER($J35),INDIRECT("Q"&amp;($J35+4)),"")</f>
        <v/>
      </c>
      <c r="G35" s="298" t="str">
        <f aca="true">IF(ISNUMBER($J35),INDIRECT("R"&amp;($J35+4)),"")</f>
        <v/>
      </c>
      <c r="H35" s="298" t="str">
        <f aca="true">IF(ISNUMBER($J35),INDIRECT("S"&amp;($J35+4)),"")</f>
        <v/>
      </c>
      <c r="J35" s="292" t="str">
        <f aca="true">IF(31&lt;=$K$1,MATCH(30.5,INDIRECT("$K$4:$K$1374"),1),"")</f>
        <v/>
      </c>
      <c r="K35" s="292" t="n">
        <f aca="false">COUNTIF($Q$5:Q35,"&gt;0")</f>
        <v>0</v>
      </c>
      <c r="L35" s="292" t="str">
        <f aca="false">"Кабели"</f>
        <v>Кабели</v>
      </c>
      <c r="M35" s="292" t="str">
        <f aca="false">IF(ISBLANK(Кабели!$A$37),"",Кабели!$A$37)</f>
        <v>BX113 Lenny 60W силиконовый зарядный дата кабель C на C(L=1M)</v>
      </c>
      <c r="N35" s="292" t="str">
        <f aca="false">IF(ISBLANK(Кабели!$D$37),"",Кабели!$D$37)</f>
        <v>6941991115455</v>
      </c>
      <c r="O35" s="292" t="str">
        <f aca="false">IF(ISBLANK(Кабели!$E$37),"",Кабели!$E$37)</f>
        <v>черный</v>
      </c>
      <c r="P35" s="292" t="str">
        <f aca="false">"ед."</f>
        <v>ед.</v>
      </c>
      <c r="Q35" s="292" t="n">
        <f aca="false">N(Кабели!$G$37)</f>
        <v>0</v>
      </c>
      <c r="R35" s="299" t="n">
        <f aca="false">IF(ISBLANK(Кабели!$F$37),"",Кабели!$F$37)</f>
        <v>73.39</v>
      </c>
      <c r="S35" s="292" t="str">
        <f aca="false">IF(ISBLANK(Кабели!$H$37),"",Кабели!$H$37)</f>
        <v/>
      </c>
    </row>
    <row r="36" customFormat="false" ht="66" hidden="false" customHeight="true" outlineLevel="0" collapsed="false">
      <c r="A36" s="291" t="str">
        <f aca="true">IF(ISNUMBER($J36),INDIRECT("L"&amp;($J36+4)),"")</f>
        <v/>
      </c>
      <c r="B36" s="291" t="str">
        <f aca="true">IF(ISNUMBER($J36),INDIRECT("M"&amp;($J36+4)),"")</f>
        <v/>
      </c>
      <c r="C36" s="296" t="str">
        <f aca="true">IF(ISNUMBER($J36),INDIRECT("N"&amp;($J36+4)),"")</f>
        <v/>
      </c>
      <c r="D36" s="291" t="str">
        <f aca="true">IF(ISNUMBER($J36),INDIRECT("O"&amp;($J36+4)),"")</f>
        <v/>
      </c>
      <c r="E36" s="291" t="str">
        <f aca="true">IF(ISNUMBER($J36),INDIRECT("P"&amp;($J36+4)),"")</f>
        <v/>
      </c>
      <c r="F36" s="300" t="str">
        <f aca="true">IF(ISNUMBER($J36),INDIRECT("Q"&amp;($J36+4)),"")</f>
        <v/>
      </c>
      <c r="G36" s="298" t="str">
        <f aca="true">IF(ISNUMBER($J36),INDIRECT("R"&amp;($J36+4)),"")</f>
        <v/>
      </c>
      <c r="H36" s="298" t="str">
        <f aca="true">IF(ISNUMBER($J36),INDIRECT("S"&amp;($J36+4)),"")</f>
        <v/>
      </c>
      <c r="J36" s="292" t="str">
        <f aca="true">IF(32&lt;=$K$1,MATCH(31.5,INDIRECT("$K$4:$K$1374"),1),"")</f>
        <v/>
      </c>
      <c r="K36" s="292" t="n">
        <f aca="false">COUNTIF($Q$5:Q36,"&gt;0")</f>
        <v>0</v>
      </c>
      <c r="L36" s="292" t="str">
        <f aca="false">"Кабели"</f>
        <v>Кабели</v>
      </c>
      <c r="M36" s="292" t="str">
        <f aca="false">IF(ISBLANK(Кабели!$A$37),"",Кабели!$A$37)</f>
        <v>BX113 Lenny 60W силиконовый зарядный дата кабель C на C(L=1M)</v>
      </c>
      <c r="N36" s="292" t="str">
        <f aca="false">IF(ISBLANK(Кабели!$D$38),"",Кабели!$D$38)</f>
        <v>6941991115462</v>
      </c>
      <c r="O36" s="292" t="str">
        <f aca="false">IF(ISBLANK(Кабели!$E$38),"",Кабели!$E$38)</f>
        <v>белый</v>
      </c>
      <c r="P36" s="292" t="str">
        <f aca="false">"ед."</f>
        <v>ед.</v>
      </c>
      <c r="Q36" s="292" t="n">
        <f aca="false">N(Кабели!$G$38)</f>
        <v>0</v>
      </c>
      <c r="R36" s="299" t="n">
        <f aca="false">IF(ISBLANK(Кабели!$F$38),"",Кабели!$F$38)</f>
        <v>73.39</v>
      </c>
      <c r="S36" s="292" t="str">
        <f aca="false">IF(ISBLANK(Кабели!$H$38),"",Кабели!$H$38)</f>
        <v/>
      </c>
    </row>
    <row r="37" customFormat="false" ht="66" hidden="false" customHeight="true" outlineLevel="0" collapsed="false">
      <c r="A37" s="291" t="str">
        <f aca="true">IF(ISNUMBER($J37),INDIRECT("L"&amp;($J37+4)),"")</f>
        <v/>
      </c>
      <c r="B37" s="291" t="str">
        <f aca="true">IF(ISNUMBER($J37),INDIRECT("M"&amp;($J37+4)),"")</f>
        <v/>
      </c>
      <c r="C37" s="296" t="str">
        <f aca="true">IF(ISNUMBER($J37),INDIRECT("N"&amp;($J37+4)),"")</f>
        <v/>
      </c>
      <c r="D37" s="291" t="str">
        <f aca="true">IF(ISNUMBER($J37),INDIRECT("O"&amp;($J37+4)),"")</f>
        <v/>
      </c>
      <c r="E37" s="291" t="str">
        <f aca="true">IF(ISNUMBER($J37),INDIRECT("P"&amp;($J37+4)),"")</f>
        <v/>
      </c>
      <c r="F37" s="300" t="str">
        <f aca="true">IF(ISNUMBER($J37),INDIRECT("Q"&amp;($J37+4)),"")</f>
        <v/>
      </c>
      <c r="G37" s="298" t="str">
        <f aca="true">IF(ISNUMBER($J37),INDIRECT("R"&amp;($J37+4)),"")</f>
        <v/>
      </c>
      <c r="H37" s="298" t="str">
        <f aca="true">IF(ISNUMBER($J37),INDIRECT("S"&amp;($J37+4)),"")</f>
        <v/>
      </c>
      <c r="J37" s="292" t="str">
        <f aca="true">IF(33&lt;=$K$1,MATCH(32.5,INDIRECT("$K$4:$K$1374"),1),"")</f>
        <v/>
      </c>
      <c r="K37" s="292" t="n">
        <f aca="false">COUNTIF($Q$5:Q37,"&gt;0")</f>
        <v>0</v>
      </c>
      <c r="L37" s="292" t="str">
        <f aca="false">"Кабели"</f>
        <v>Кабели</v>
      </c>
      <c r="M37" s="292" t="str">
        <f aca="false">IF(ISBLANK(Кабели!$A$39),"",Кабели!$A$39)</f>
        <v>BX113 Lenny 60W силиконовый зарядный дата кабель C на C(L=2M)</v>
      </c>
      <c r="N37" s="292" t="str">
        <f aca="false">IF(ISBLANK(Кабели!$D$39),"",Кабели!$D$39)</f>
        <v>6941991115516</v>
      </c>
      <c r="O37" s="292" t="str">
        <f aca="false">IF(ISBLANK(Кабели!$E$39),"",Кабели!$E$39)</f>
        <v>черный</v>
      </c>
      <c r="P37" s="292" t="str">
        <f aca="false">"ед."</f>
        <v>ед.</v>
      </c>
      <c r="Q37" s="292" t="n">
        <f aca="false">N(Кабели!$G$39)</f>
        <v>0</v>
      </c>
      <c r="R37" s="299" t="n">
        <f aca="false">IF(ISBLANK(Кабели!$F$39),"",Кабели!$F$39)</f>
        <v>107.64</v>
      </c>
      <c r="S37" s="292" t="str">
        <f aca="false">IF(ISBLANK(Кабели!$H$39),"",Кабели!$H$39)</f>
        <v/>
      </c>
    </row>
    <row r="38" customFormat="false" ht="66" hidden="false" customHeight="true" outlineLevel="0" collapsed="false">
      <c r="A38" s="291" t="str">
        <f aca="true">IF(ISNUMBER($J38),INDIRECT("L"&amp;($J38+4)),"")</f>
        <v/>
      </c>
      <c r="B38" s="291" t="str">
        <f aca="true">IF(ISNUMBER($J38),INDIRECT("M"&amp;($J38+4)),"")</f>
        <v/>
      </c>
      <c r="C38" s="296" t="str">
        <f aca="true">IF(ISNUMBER($J38),INDIRECT("N"&amp;($J38+4)),"")</f>
        <v/>
      </c>
      <c r="D38" s="291" t="str">
        <f aca="true">IF(ISNUMBER($J38),INDIRECT("O"&amp;($J38+4)),"")</f>
        <v/>
      </c>
      <c r="E38" s="291" t="str">
        <f aca="true">IF(ISNUMBER($J38),INDIRECT("P"&amp;($J38+4)),"")</f>
        <v/>
      </c>
      <c r="F38" s="300" t="str">
        <f aca="true">IF(ISNUMBER($J38),INDIRECT("Q"&amp;($J38+4)),"")</f>
        <v/>
      </c>
      <c r="G38" s="298" t="str">
        <f aca="true">IF(ISNUMBER($J38),INDIRECT("R"&amp;($J38+4)),"")</f>
        <v/>
      </c>
      <c r="H38" s="298" t="str">
        <f aca="true">IF(ISNUMBER($J38),INDIRECT("S"&amp;($J38+4)),"")</f>
        <v/>
      </c>
      <c r="J38" s="292" t="str">
        <f aca="true">IF(34&lt;=$K$1,MATCH(33.5,INDIRECT("$K$4:$K$1374"),1),"")</f>
        <v/>
      </c>
      <c r="K38" s="292" t="n">
        <f aca="false">COUNTIF($Q$5:Q38,"&gt;0")</f>
        <v>0</v>
      </c>
      <c r="L38" s="292" t="str">
        <f aca="false">"Кабели"</f>
        <v>Кабели</v>
      </c>
      <c r="M38" s="292" t="str">
        <f aca="false">IF(ISBLANK(Кабели!$A$40),"",Кабели!$A$40)</f>
        <v>BX113 Lenny 60W силиконовый зарядный дата кабель C на C(L=3M)</v>
      </c>
      <c r="N38" s="292" t="str">
        <f aca="false">IF(ISBLANK(Кабели!$D$40),"",Кабели!$D$40)</f>
        <v>6941991115561</v>
      </c>
      <c r="O38" s="292" t="str">
        <f aca="false">IF(ISBLANK(Кабели!$E$40),"",Кабели!$E$40)</f>
        <v>черный</v>
      </c>
      <c r="P38" s="292" t="str">
        <f aca="false">"ед."</f>
        <v>ед.</v>
      </c>
      <c r="Q38" s="292" t="n">
        <f aca="false">N(Кабели!$G$40)</f>
        <v>0</v>
      </c>
      <c r="R38" s="299" t="n">
        <f aca="false">IF(ISBLANK(Кабели!$F$40),"",Кабели!$F$40)</f>
        <v>163.09</v>
      </c>
      <c r="S38" s="292" t="str">
        <f aca="false">IF(ISBLANK(Кабели!$H$40),"",Кабели!$H$40)</f>
        <v/>
      </c>
    </row>
    <row r="39" customFormat="false" ht="66" hidden="false" customHeight="true" outlineLevel="0" collapsed="false">
      <c r="A39" s="291" t="str">
        <f aca="true">IF(ISNUMBER($J39),INDIRECT("L"&amp;($J39+4)),"")</f>
        <v/>
      </c>
      <c r="B39" s="291" t="str">
        <f aca="true">IF(ISNUMBER($J39),INDIRECT("M"&amp;($J39+4)),"")</f>
        <v/>
      </c>
      <c r="C39" s="296" t="str">
        <f aca="true">IF(ISNUMBER($J39),INDIRECT("N"&amp;($J39+4)),"")</f>
        <v/>
      </c>
      <c r="D39" s="291" t="str">
        <f aca="true">IF(ISNUMBER($J39),INDIRECT("O"&amp;($J39+4)),"")</f>
        <v/>
      </c>
      <c r="E39" s="291" t="str">
        <f aca="true">IF(ISNUMBER($J39),INDIRECT("P"&amp;($J39+4)),"")</f>
        <v/>
      </c>
      <c r="F39" s="300" t="str">
        <f aca="true">IF(ISNUMBER($J39),INDIRECT("Q"&amp;($J39+4)),"")</f>
        <v/>
      </c>
      <c r="G39" s="298" t="str">
        <f aca="true">IF(ISNUMBER($J39),INDIRECT("R"&amp;($J39+4)),"")</f>
        <v/>
      </c>
      <c r="H39" s="298" t="str">
        <f aca="true">IF(ISNUMBER($J39),INDIRECT("S"&amp;($J39+4)),"")</f>
        <v/>
      </c>
      <c r="J39" s="292" t="str">
        <f aca="true">IF(35&lt;=$K$1,MATCH(34.5,INDIRECT("$K$4:$K$1374"),1),"")</f>
        <v/>
      </c>
      <c r="K39" s="292" t="n">
        <f aca="false">COUNTIF($Q$5:Q39,"&gt;0")</f>
        <v>0</v>
      </c>
      <c r="L39" s="292" t="str">
        <f aca="false">"Кабели"</f>
        <v>Кабели</v>
      </c>
      <c r="M39" s="292" t="str">
        <f aca="false">IF(ISBLANK(Кабели!$A$41),"",Кабели!$A$41)</f>
        <v>BX113 Lenny силиконовый зарядный дата кабель iP(L=1M)</v>
      </c>
      <c r="N39" s="292" t="str">
        <f aca="false">IF(ISBLANK(Кабели!$D$41),"",Кабели!$D$41)</f>
        <v>6941991115394</v>
      </c>
      <c r="O39" s="292" t="str">
        <f aca="false">IF(ISBLANK(Кабели!$E$41),"",Кабели!$E$41)</f>
        <v>черный</v>
      </c>
      <c r="P39" s="292" t="str">
        <f aca="false">"ед."</f>
        <v>ед.</v>
      </c>
      <c r="Q39" s="292" t="n">
        <f aca="false">N(Кабели!$G$41)</f>
        <v>0</v>
      </c>
      <c r="R39" s="299" t="n">
        <f aca="false">IF(ISBLANK(Кабели!$F$41),"",Кабели!$F$41)</f>
        <v>55.45</v>
      </c>
      <c r="S39" s="292" t="str">
        <f aca="false">IF(ISBLANK(Кабели!$H$41),"",Кабели!$H$41)</f>
        <v/>
      </c>
    </row>
    <row r="40" customFormat="false" ht="66" hidden="false" customHeight="true" outlineLevel="0" collapsed="false">
      <c r="A40" s="291" t="str">
        <f aca="true">IF(ISNUMBER($J40),INDIRECT("L"&amp;($J40+4)),"")</f>
        <v/>
      </c>
      <c r="B40" s="291" t="str">
        <f aca="true">IF(ISNUMBER($J40),INDIRECT("M"&amp;($J40+4)),"")</f>
        <v/>
      </c>
      <c r="C40" s="296" t="str">
        <f aca="true">IF(ISNUMBER($J40),INDIRECT("N"&amp;($J40+4)),"")</f>
        <v/>
      </c>
      <c r="D40" s="291" t="str">
        <f aca="true">IF(ISNUMBER($J40),INDIRECT("O"&amp;($J40+4)),"")</f>
        <v/>
      </c>
      <c r="E40" s="291" t="str">
        <f aca="true">IF(ISNUMBER($J40),INDIRECT("P"&amp;($J40+4)),"")</f>
        <v/>
      </c>
      <c r="F40" s="300" t="str">
        <f aca="true">IF(ISNUMBER($J40),INDIRECT("Q"&amp;($J40+4)),"")</f>
        <v/>
      </c>
      <c r="G40" s="298" t="str">
        <f aca="true">IF(ISNUMBER($J40),INDIRECT("R"&amp;($J40+4)),"")</f>
        <v/>
      </c>
      <c r="H40" s="298" t="str">
        <f aca="true">IF(ISNUMBER($J40),INDIRECT("S"&amp;($J40+4)),"")</f>
        <v/>
      </c>
      <c r="J40" s="292" t="str">
        <f aca="true">IF(36&lt;=$K$1,MATCH(35.5,INDIRECT("$K$4:$K$1374"),1),"")</f>
        <v/>
      </c>
      <c r="K40" s="292" t="n">
        <f aca="false">COUNTIF($Q$5:Q40,"&gt;0")</f>
        <v>0</v>
      </c>
      <c r="L40" s="292" t="str">
        <f aca="false">"Кабели"</f>
        <v>Кабели</v>
      </c>
      <c r="M40" s="292" t="str">
        <f aca="false">IF(ISBLANK(Кабели!$A$41),"",Кабели!$A$41)</f>
        <v>BX113 Lenny силиконовый зарядный дата кабель iP(L=1M)</v>
      </c>
      <c r="N40" s="292" t="str">
        <f aca="false">IF(ISBLANK(Кабели!$D$42),"",Кабели!$D$42)</f>
        <v>6941991115400</v>
      </c>
      <c r="O40" s="292" t="str">
        <f aca="false">IF(ISBLANK(Кабели!$E$42),"",Кабели!$E$42)</f>
        <v>белый</v>
      </c>
      <c r="P40" s="292" t="str">
        <f aca="false">"ед."</f>
        <v>ед.</v>
      </c>
      <c r="Q40" s="292" t="n">
        <f aca="false">N(Кабели!$G$42)</f>
        <v>0</v>
      </c>
      <c r="R40" s="299" t="n">
        <f aca="false">IF(ISBLANK(Кабели!$F$42),"",Кабели!$F$42)</f>
        <v>55.45</v>
      </c>
      <c r="S40" s="292" t="str">
        <f aca="false">IF(ISBLANK(Кабели!$H$42),"",Кабели!$H$42)</f>
        <v/>
      </c>
    </row>
    <row r="41" customFormat="false" ht="66" hidden="false" customHeight="true" outlineLevel="0" collapsed="false">
      <c r="A41" s="291" t="str">
        <f aca="true">IF(ISNUMBER($J41),INDIRECT("L"&amp;($J41+4)),"")</f>
        <v/>
      </c>
      <c r="B41" s="291" t="str">
        <f aca="true">IF(ISNUMBER($J41),INDIRECT("M"&amp;($J41+4)),"")</f>
        <v/>
      </c>
      <c r="C41" s="296" t="str">
        <f aca="true">IF(ISNUMBER($J41),INDIRECT("N"&amp;($J41+4)),"")</f>
        <v/>
      </c>
      <c r="D41" s="291" t="str">
        <f aca="true">IF(ISNUMBER($J41),INDIRECT("O"&amp;($J41+4)),"")</f>
        <v/>
      </c>
      <c r="E41" s="291" t="str">
        <f aca="true">IF(ISNUMBER($J41),INDIRECT("P"&amp;($J41+4)),"")</f>
        <v/>
      </c>
      <c r="F41" s="300" t="str">
        <f aca="true">IF(ISNUMBER($J41),INDIRECT("Q"&amp;($J41+4)),"")</f>
        <v/>
      </c>
      <c r="G41" s="298" t="str">
        <f aca="true">IF(ISNUMBER($J41),INDIRECT("R"&amp;($J41+4)),"")</f>
        <v/>
      </c>
      <c r="H41" s="298" t="str">
        <f aca="true">IF(ISNUMBER($J41),INDIRECT("S"&amp;($J41+4)),"")</f>
        <v/>
      </c>
      <c r="J41" s="292" t="str">
        <f aca="true">IF(37&lt;=$K$1,MATCH(36.5,INDIRECT("$K$4:$K$1374"),1),"")</f>
        <v/>
      </c>
      <c r="K41" s="292" t="n">
        <f aca="false">COUNTIF($Q$5:Q41,"&gt;0")</f>
        <v>0</v>
      </c>
      <c r="L41" s="292" t="str">
        <f aca="false">"Кабели"</f>
        <v>Кабели</v>
      </c>
      <c r="M41" s="292" t="str">
        <f aca="false">IF(ISBLANK(Кабели!$A$43),"",Кабели!$A$43)</f>
        <v>BX113 Lenny силиконовый зарядный дата кабель iP(L=2M)</v>
      </c>
      <c r="N41" s="292" t="str">
        <f aca="false">IF(ISBLANK(Кабели!$D$43),"",Кабели!$D$43)</f>
        <v>6941991115486</v>
      </c>
      <c r="O41" s="292" t="str">
        <f aca="false">IF(ISBLANK(Кабели!$E$43),"",Кабели!$E$43)</f>
        <v>черный</v>
      </c>
      <c r="P41" s="292" t="str">
        <f aca="false">"ед."</f>
        <v>ед.</v>
      </c>
      <c r="Q41" s="292" t="n">
        <f aca="false">N(Кабели!$G$43)</f>
        <v>0</v>
      </c>
      <c r="R41" s="299" t="n">
        <f aca="false">IF(ISBLANK(Кабели!$F$43),"",Кабели!$F$43)</f>
        <v>91.33</v>
      </c>
      <c r="S41" s="292" t="str">
        <f aca="false">IF(ISBLANK(Кабели!$H$43),"",Кабели!$H$43)</f>
        <v/>
      </c>
    </row>
    <row r="42" customFormat="false" ht="66" hidden="false" customHeight="true" outlineLevel="0" collapsed="false">
      <c r="A42" s="291" t="str">
        <f aca="true">IF(ISNUMBER($J42),INDIRECT("L"&amp;($J42+4)),"")</f>
        <v/>
      </c>
      <c r="B42" s="291" t="str">
        <f aca="true">IF(ISNUMBER($J42),INDIRECT("M"&amp;($J42+4)),"")</f>
        <v/>
      </c>
      <c r="C42" s="296" t="str">
        <f aca="true">IF(ISNUMBER($J42),INDIRECT("N"&amp;($J42+4)),"")</f>
        <v/>
      </c>
      <c r="D42" s="291" t="str">
        <f aca="true">IF(ISNUMBER($J42),INDIRECT("O"&amp;($J42+4)),"")</f>
        <v/>
      </c>
      <c r="E42" s="291" t="str">
        <f aca="true">IF(ISNUMBER($J42),INDIRECT("P"&amp;($J42+4)),"")</f>
        <v/>
      </c>
      <c r="F42" s="300" t="str">
        <f aca="true">IF(ISNUMBER($J42),INDIRECT("Q"&amp;($J42+4)),"")</f>
        <v/>
      </c>
      <c r="G42" s="298" t="str">
        <f aca="true">IF(ISNUMBER($J42),INDIRECT("R"&amp;($J42+4)),"")</f>
        <v/>
      </c>
      <c r="H42" s="298" t="str">
        <f aca="true">IF(ISNUMBER($J42),INDIRECT("S"&amp;($J42+4)),"")</f>
        <v/>
      </c>
      <c r="J42" s="292" t="str">
        <f aca="true">IF(38&lt;=$K$1,MATCH(37.5,INDIRECT("$K$4:$K$1374"),1),"")</f>
        <v/>
      </c>
      <c r="K42" s="292" t="n">
        <f aca="false">COUNTIF($Q$5:Q42,"&gt;0")</f>
        <v>0</v>
      </c>
      <c r="L42" s="292" t="str">
        <f aca="false">"Кабели"</f>
        <v>Кабели</v>
      </c>
      <c r="M42" s="292" t="str">
        <f aca="false">IF(ISBLANK(Кабели!$A$44),"",Кабели!$A$44)</f>
        <v>BX113 Lenny силиконовый зарядный дата кабель iP(L=3M)</v>
      </c>
      <c r="N42" s="292" t="str">
        <f aca="false">IF(ISBLANK(Кабели!$D$44),"",Кабели!$D$44)</f>
        <v>6941991115530</v>
      </c>
      <c r="O42" s="292" t="str">
        <f aca="false">IF(ISBLANK(Кабели!$E$44),"",Кабели!$E$44)</f>
        <v>черный</v>
      </c>
      <c r="P42" s="292" t="str">
        <f aca="false">"ед."</f>
        <v>ед.</v>
      </c>
      <c r="Q42" s="292" t="n">
        <f aca="false">N(Кабели!$G$44)</f>
        <v>0</v>
      </c>
      <c r="R42" s="299" t="n">
        <f aca="false">IF(ISBLANK(Кабели!$F$44),"",Кабели!$F$44)</f>
        <v>145.15</v>
      </c>
      <c r="S42" s="292" t="str">
        <f aca="false">IF(ISBLANK(Кабели!$H$44),"",Кабели!$H$44)</f>
        <v/>
      </c>
    </row>
    <row r="43" customFormat="false" ht="66" hidden="false" customHeight="true" outlineLevel="0" collapsed="false">
      <c r="A43" s="291" t="str">
        <f aca="true">IF(ISNUMBER($J43),INDIRECT("L"&amp;($J43+4)),"")</f>
        <v/>
      </c>
      <c r="B43" s="291" t="str">
        <f aca="true">IF(ISNUMBER($J43),INDIRECT("M"&amp;($J43+4)),"")</f>
        <v/>
      </c>
      <c r="C43" s="296" t="str">
        <f aca="true">IF(ISNUMBER($J43),INDIRECT("N"&amp;($J43+4)),"")</f>
        <v/>
      </c>
      <c r="D43" s="291" t="str">
        <f aca="true">IF(ISNUMBER($J43),INDIRECT("O"&amp;($J43+4)),"")</f>
        <v/>
      </c>
      <c r="E43" s="291" t="str">
        <f aca="true">IF(ISNUMBER($J43),INDIRECT("P"&amp;($J43+4)),"")</f>
        <v/>
      </c>
      <c r="F43" s="300" t="str">
        <f aca="true">IF(ISNUMBER($J43),INDIRECT("Q"&amp;($J43+4)),"")</f>
        <v/>
      </c>
      <c r="G43" s="298" t="str">
        <f aca="true">IF(ISNUMBER($J43),INDIRECT("R"&amp;($J43+4)),"")</f>
        <v/>
      </c>
      <c r="H43" s="298" t="str">
        <f aca="true">IF(ISNUMBER($J43),INDIRECT("S"&amp;($J43+4)),"")</f>
        <v/>
      </c>
      <c r="J43" s="292" t="str">
        <f aca="true">IF(39&lt;=$K$1,MATCH(38.5,INDIRECT("$K$4:$K$1374"),1),"")</f>
        <v/>
      </c>
      <c r="K43" s="292" t="n">
        <f aca="false">COUNTIF($Q$5:Q43,"&gt;0")</f>
        <v>0</v>
      </c>
      <c r="L43" s="292" t="str">
        <f aca="false">"Кабели"</f>
        <v>Кабели</v>
      </c>
      <c r="M43" s="292" t="str">
        <f aca="false">IF(ISBLANK(Кабели!$A$45),"",Кабели!$A$45)</f>
        <v>BX113 Lenny силиконовый зарядный дата кабель Micro(L=1M)</v>
      </c>
      <c r="N43" s="292" t="str">
        <f aca="false">IF(ISBLANK(Кабели!$D$45),"",Кабели!$D$45)</f>
        <v>6941991115417</v>
      </c>
      <c r="O43" s="292" t="str">
        <f aca="false">IF(ISBLANK(Кабели!$E$45),"",Кабели!$E$45)</f>
        <v>черный</v>
      </c>
      <c r="P43" s="292" t="str">
        <f aca="false">"ед."</f>
        <v>ед.</v>
      </c>
      <c r="Q43" s="292" t="n">
        <f aca="false">N(Кабели!$G$45)</f>
        <v>0</v>
      </c>
      <c r="R43" s="299" t="n">
        <f aca="false">IF(ISBLANK(Кабели!$F$45),"",Кабели!$F$45)</f>
        <v>48.93</v>
      </c>
      <c r="S43" s="292" t="str">
        <f aca="false">IF(ISBLANK(Кабели!$H$45),"",Кабели!$H$45)</f>
        <v/>
      </c>
    </row>
    <row r="44" customFormat="false" ht="66" hidden="false" customHeight="true" outlineLevel="0" collapsed="false">
      <c r="A44" s="291" t="str">
        <f aca="true">IF(ISNUMBER($J44),INDIRECT("L"&amp;($J44+4)),"")</f>
        <v/>
      </c>
      <c r="B44" s="291" t="str">
        <f aca="true">IF(ISNUMBER($J44),INDIRECT("M"&amp;($J44+4)),"")</f>
        <v/>
      </c>
      <c r="C44" s="296" t="str">
        <f aca="true">IF(ISNUMBER($J44),INDIRECT("N"&amp;($J44+4)),"")</f>
        <v/>
      </c>
      <c r="D44" s="291" t="str">
        <f aca="true">IF(ISNUMBER($J44),INDIRECT("O"&amp;($J44+4)),"")</f>
        <v/>
      </c>
      <c r="E44" s="291" t="str">
        <f aca="true">IF(ISNUMBER($J44),INDIRECT("P"&amp;($J44+4)),"")</f>
        <v/>
      </c>
      <c r="F44" s="300" t="str">
        <f aca="true">IF(ISNUMBER($J44),INDIRECT("Q"&amp;($J44+4)),"")</f>
        <v/>
      </c>
      <c r="G44" s="298" t="str">
        <f aca="true">IF(ISNUMBER($J44),INDIRECT("R"&amp;($J44+4)),"")</f>
        <v/>
      </c>
      <c r="H44" s="298" t="str">
        <f aca="true">IF(ISNUMBER($J44),INDIRECT("S"&amp;($J44+4)),"")</f>
        <v/>
      </c>
      <c r="J44" s="292" t="str">
        <f aca="true">IF(40&lt;=$K$1,MATCH(39.5,INDIRECT("$K$4:$K$1374"),1),"")</f>
        <v/>
      </c>
      <c r="K44" s="292" t="n">
        <f aca="false">COUNTIF($Q$5:Q44,"&gt;0")</f>
        <v>0</v>
      </c>
      <c r="L44" s="292" t="str">
        <f aca="false">"Кабели"</f>
        <v>Кабели</v>
      </c>
      <c r="M44" s="292" t="str">
        <f aca="false">IF(ISBLANK(Кабели!$A$45),"",Кабели!$A$45)</f>
        <v>BX113 Lenny силиконовый зарядный дата кабель Micro(L=1M)</v>
      </c>
      <c r="N44" s="292" t="str">
        <f aca="false">IF(ISBLANK(Кабели!$D$46),"",Кабели!$D$46)</f>
        <v>6941991115424</v>
      </c>
      <c r="O44" s="292" t="str">
        <f aca="false">IF(ISBLANK(Кабели!$E$46),"",Кабели!$E$46)</f>
        <v>белый</v>
      </c>
      <c r="P44" s="292" t="str">
        <f aca="false">"ед."</f>
        <v>ед.</v>
      </c>
      <c r="Q44" s="292" t="n">
        <f aca="false">N(Кабели!$G$46)</f>
        <v>0</v>
      </c>
      <c r="R44" s="299" t="n">
        <f aca="false">IF(ISBLANK(Кабели!$F$46),"",Кабели!$F$46)</f>
        <v>48.93</v>
      </c>
      <c r="S44" s="292" t="str">
        <f aca="false">IF(ISBLANK(Кабели!$H$46),"",Кабели!$H$46)</f>
        <v/>
      </c>
    </row>
    <row r="45" customFormat="false" ht="66" hidden="false" customHeight="true" outlineLevel="0" collapsed="false">
      <c r="A45" s="291" t="str">
        <f aca="true">IF(ISNUMBER($J45),INDIRECT("L"&amp;($J45+4)),"")</f>
        <v/>
      </c>
      <c r="B45" s="291" t="str">
        <f aca="true">IF(ISNUMBER($J45),INDIRECT("M"&amp;($J45+4)),"")</f>
        <v/>
      </c>
      <c r="C45" s="296" t="str">
        <f aca="true">IF(ISNUMBER($J45),INDIRECT("N"&amp;($J45+4)),"")</f>
        <v/>
      </c>
      <c r="D45" s="291" t="str">
        <f aca="true">IF(ISNUMBER($J45),INDIRECT("O"&amp;($J45+4)),"")</f>
        <v/>
      </c>
      <c r="E45" s="291" t="str">
        <f aca="true">IF(ISNUMBER($J45),INDIRECT("P"&amp;($J45+4)),"")</f>
        <v/>
      </c>
      <c r="F45" s="300" t="str">
        <f aca="true">IF(ISNUMBER($J45),INDIRECT("Q"&amp;($J45+4)),"")</f>
        <v/>
      </c>
      <c r="G45" s="298" t="str">
        <f aca="true">IF(ISNUMBER($J45),INDIRECT("R"&amp;($J45+4)),"")</f>
        <v/>
      </c>
      <c r="H45" s="298" t="str">
        <f aca="true">IF(ISNUMBER($J45),INDIRECT("S"&amp;($J45+4)),"")</f>
        <v/>
      </c>
      <c r="J45" s="292" t="str">
        <f aca="true">IF(41&lt;=$K$1,MATCH(40.5,INDIRECT("$K$4:$K$1374"),1),"")</f>
        <v/>
      </c>
      <c r="K45" s="292" t="n">
        <f aca="false">COUNTIF($Q$5:Q45,"&gt;0")</f>
        <v>0</v>
      </c>
      <c r="L45" s="292" t="str">
        <f aca="false">"Кабели"</f>
        <v>Кабели</v>
      </c>
      <c r="M45" s="292" t="str">
        <f aca="false">IF(ISBLANK(Кабели!$A$47),"",Кабели!$A$47)</f>
        <v>BX113 Lenny силиконовый зарядный дата кабель Micro(L=2M)</v>
      </c>
      <c r="N45" s="292" t="str">
        <f aca="false">IF(ISBLANK(Кабели!$D$47),"",Кабели!$D$47)</f>
        <v>6941991115493</v>
      </c>
      <c r="O45" s="292" t="str">
        <f aca="false">IF(ISBLANK(Кабели!$E$47),"",Кабели!$E$47)</f>
        <v>черный</v>
      </c>
      <c r="P45" s="292" t="str">
        <f aca="false">"ед."</f>
        <v>ед.</v>
      </c>
      <c r="Q45" s="292" t="n">
        <f aca="false">N(Кабели!$G$47)</f>
        <v>0</v>
      </c>
      <c r="R45" s="299" t="n">
        <f aca="false">IF(ISBLANK(Кабели!$F$47),"",Кабели!$F$47)</f>
        <v>86.44</v>
      </c>
      <c r="S45" s="292" t="str">
        <f aca="false">IF(ISBLANK(Кабели!$H$47),"",Кабели!$H$47)</f>
        <v/>
      </c>
    </row>
    <row r="46" customFormat="false" ht="66" hidden="false" customHeight="true" outlineLevel="0" collapsed="false">
      <c r="A46" s="291" t="str">
        <f aca="true">IF(ISNUMBER($J46),INDIRECT("L"&amp;($J46+4)),"")</f>
        <v/>
      </c>
      <c r="B46" s="291" t="str">
        <f aca="true">IF(ISNUMBER($J46),INDIRECT("M"&amp;($J46+4)),"")</f>
        <v/>
      </c>
      <c r="C46" s="296" t="str">
        <f aca="true">IF(ISNUMBER($J46),INDIRECT("N"&amp;($J46+4)),"")</f>
        <v/>
      </c>
      <c r="D46" s="291" t="str">
        <f aca="true">IF(ISNUMBER($J46),INDIRECT("O"&amp;($J46+4)),"")</f>
        <v/>
      </c>
      <c r="E46" s="291" t="str">
        <f aca="true">IF(ISNUMBER($J46),INDIRECT("P"&amp;($J46+4)),"")</f>
        <v/>
      </c>
      <c r="F46" s="300" t="str">
        <f aca="true">IF(ISNUMBER($J46),INDIRECT("Q"&amp;($J46+4)),"")</f>
        <v/>
      </c>
      <c r="G46" s="298" t="str">
        <f aca="true">IF(ISNUMBER($J46),INDIRECT("R"&amp;($J46+4)),"")</f>
        <v/>
      </c>
      <c r="H46" s="298" t="str">
        <f aca="true">IF(ISNUMBER($J46),INDIRECT("S"&amp;($J46+4)),"")</f>
        <v/>
      </c>
      <c r="J46" s="292" t="str">
        <f aca="true">IF(42&lt;=$K$1,MATCH(41.5,INDIRECT("$K$4:$K$1374"),1),"")</f>
        <v/>
      </c>
      <c r="K46" s="292" t="n">
        <f aca="false">COUNTIF($Q$5:Q46,"&gt;0")</f>
        <v>0</v>
      </c>
      <c r="L46" s="292" t="str">
        <f aca="false">"Кабели"</f>
        <v>Кабели</v>
      </c>
      <c r="M46" s="292" t="str">
        <f aca="false">IF(ISBLANK(Кабели!$A$48),"",Кабели!$A$48)</f>
        <v>BX113 Lenny силиконовый зарядный дата кабель Micro(L=3M)</v>
      </c>
      <c r="N46" s="292" t="str">
        <f aca="false">IF(ISBLANK(Кабели!$D$48),"",Кабели!$D$48)</f>
        <v>6941991115547</v>
      </c>
      <c r="O46" s="292" t="str">
        <f aca="false">IF(ISBLANK(Кабели!$E$48),"",Кабели!$E$48)</f>
        <v>черный</v>
      </c>
      <c r="P46" s="292" t="str">
        <f aca="false">"ед."</f>
        <v>ед.</v>
      </c>
      <c r="Q46" s="292" t="n">
        <f aca="false">N(Кабели!$G$48)</f>
        <v>0</v>
      </c>
      <c r="R46" s="299" t="n">
        <f aca="false">IF(ISBLANK(Кабели!$F$48),"",Кабели!$F$48)</f>
        <v>138.63</v>
      </c>
      <c r="S46" s="292" t="str">
        <f aca="false">IF(ISBLANK(Кабели!$H$48),"",Кабели!$H$48)</f>
        <v/>
      </c>
    </row>
    <row r="47" customFormat="false" ht="66" hidden="false" customHeight="true" outlineLevel="0" collapsed="false">
      <c r="A47" s="291" t="str">
        <f aca="true">IF(ISNUMBER($J47),INDIRECT("L"&amp;($J47+4)),"")</f>
        <v/>
      </c>
      <c r="B47" s="291" t="str">
        <f aca="true">IF(ISNUMBER($J47),INDIRECT("M"&amp;($J47+4)),"")</f>
        <v/>
      </c>
      <c r="C47" s="296" t="str">
        <f aca="true">IF(ISNUMBER($J47),INDIRECT("N"&amp;($J47+4)),"")</f>
        <v/>
      </c>
      <c r="D47" s="291" t="str">
        <f aca="true">IF(ISNUMBER($J47),INDIRECT("O"&amp;($J47+4)),"")</f>
        <v/>
      </c>
      <c r="E47" s="291" t="str">
        <f aca="true">IF(ISNUMBER($J47),INDIRECT("P"&amp;($J47+4)),"")</f>
        <v/>
      </c>
      <c r="F47" s="300" t="str">
        <f aca="true">IF(ISNUMBER($J47),INDIRECT("Q"&amp;($J47+4)),"")</f>
        <v/>
      </c>
      <c r="G47" s="298" t="str">
        <f aca="true">IF(ISNUMBER($J47),INDIRECT("R"&amp;($J47+4)),"")</f>
        <v/>
      </c>
      <c r="H47" s="298" t="str">
        <f aca="true">IF(ISNUMBER($J47),INDIRECT("S"&amp;($J47+4)),"")</f>
        <v/>
      </c>
      <c r="J47" s="292" t="str">
        <f aca="true">IF(43&lt;=$K$1,MATCH(42.5,INDIRECT("$K$4:$K$1374"),1),"")</f>
        <v/>
      </c>
      <c r="K47" s="292" t="n">
        <f aca="false">COUNTIF($Q$5:Q47,"&gt;0")</f>
        <v>0</v>
      </c>
      <c r="L47" s="292" t="str">
        <f aca="false">"Кабели"</f>
        <v>Кабели</v>
      </c>
      <c r="M47" s="292" t="str">
        <f aca="false">IF(ISBLANK(Кабели!$A$49),"",Кабели!$A$49)</f>
        <v>BX113 Lenny силиконовый зарядный дата кабель Type-C(L=1M)</v>
      </c>
      <c r="N47" s="292" t="str">
        <f aca="false">IF(ISBLANK(Кабели!$D$49),"",Кабели!$D$49)</f>
        <v>6941991115431</v>
      </c>
      <c r="O47" s="292" t="str">
        <f aca="false">IF(ISBLANK(Кабели!$E$49),"",Кабели!$E$49)</f>
        <v>чёрный</v>
      </c>
      <c r="P47" s="292" t="str">
        <f aca="false">"ед."</f>
        <v>ед.</v>
      </c>
      <c r="Q47" s="292" t="n">
        <f aca="false">N(Кабели!$G$49)</f>
        <v>0</v>
      </c>
      <c r="R47" s="299" t="n">
        <f aca="false">IF(ISBLANK(Кабели!$F$49),"",Кабели!$F$49)</f>
        <v>52.19</v>
      </c>
      <c r="S47" s="292" t="str">
        <f aca="false">IF(ISBLANK(Кабели!$H$49),"",Кабели!$H$49)</f>
        <v/>
      </c>
    </row>
    <row r="48" customFormat="false" ht="66" hidden="false" customHeight="true" outlineLevel="0" collapsed="false">
      <c r="A48" s="291" t="str">
        <f aca="true">IF(ISNUMBER($J48),INDIRECT("L"&amp;($J48+4)),"")</f>
        <v/>
      </c>
      <c r="B48" s="291" t="str">
        <f aca="true">IF(ISNUMBER($J48),INDIRECT("M"&amp;($J48+4)),"")</f>
        <v/>
      </c>
      <c r="C48" s="296" t="str">
        <f aca="true">IF(ISNUMBER($J48),INDIRECT("N"&amp;($J48+4)),"")</f>
        <v/>
      </c>
      <c r="D48" s="291" t="str">
        <f aca="true">IF(ISNUMBER($J48),INDIRECT("O"&amp;($J48+4)),"")</f>
        <v/>
      </c>
      <c r="E48" s="291" t="str">
        <f aca="true">IF(ISNUMBER($J48),INDIRECT("P"&amp;($J48+4)),"")</f>
        <v/>
      </c>
      <c r="F48" s="300" t="str">
        <f aca="true">IF(ISNUMBER($J48),INDIRECT("Q"&amp;($J48+4)),"")</f>
        <v/>
      </c>
      <c r="G48" s="298" t="str">
        <f aca="true">IF(ISNUMBER($J48),INDIRECT("R"&amp;($J48+4)),"")</f>
        <v/>
      </c>
      <c r="H48" s="298" t="str">
        <f aca="true">IF(ISNUMBER($J48),INDIRECT("S"&amp;($J48+4)),"")</f>
        <v/>
      </c>
      <c r="J48" s="292" t="str">
        <f aca="true">IF(44&lt;=$K$1,MATCH(43.5,INDIRECT("$K$4:$K$1374"),1),"")</f>
        <v/>
      </c>
      <c r="K48" s="292" t="n">
        <f aca="false">COUNTIF($Q$5:Q48,"&gt;0")</f>
        <v>0</v>
      </c>
      <c r="L48" s="292" t="str">
        <f aca="false">"Кабели"</f>
        <v>Кабели</v>
      </c>
      <c r="M48" s="292" t="str">
        <f aca="false">IF(ISBLANK(Кабели!$A$49),"",Кабели!$A$49)</f>
        <v>BX113 Lenny силиконовый зарядный дата кабель Type-C(L=1M)</v>
      </c>
      <c r="N48" s="292" t="str">
        <f aca="false">IF(ISBLANK(Кабели!$D$50),"",Кабели!$D$50)</f>
        <v>6941991115448</v>
      </c>
      <c r="O48" s="292" t="str">
        <f aca="false">IF(ISBLANK(Кабели!$E$50),"",Кабели!$E$50)</f>
        <v>white</v>
      </c>
      <c r="P48" s="292" t="str">
        <f aca="false">"ед."</f>
        <v>ед.</v>
      </c>
      <c r="Q48" s="292" t="n">
        <f aca="false">N(Кабели!$G$50)</f>
        <v>0</v>
      </c>
      <c r="R48" s="299" t="n">
        <f aca="false">IF(ISBLANK(Кабели!$F$50),"",Кабели!$F$50)</f>
        <v>52.19</v>
      </c>
      <c r="S48" s="292" t="str">
        <f aca="false">IF(ISBLANK(Кабели!$H$50),"",Кабели!$H$50)</f>
        <v/>
      </c>
    </row>
    <row r="49" customFormat="false" ht="66" hidden="false" customHeight="true" outlineLevel="0" collapsed="false">
      <c r="A49" s="291" t="str">
        <f aca="true">IF(ISNUMBER($J49),INDIRECT("L"&amp;($J49+4)),"")</f>
        <v/>
      </c>
      <c r="B49" s="291" t="str">
        <f aca="true">IF(ISNUMBER($J49),INDIRECT("M"&amp;($J49+4)),"")</f>
        <v/>
      </c>
      <c r="C49" s="296" t="str">
        <f aca="true">IF(ISNUMBER($J49),INDIRECT("N"&amp;($J49+4)),"")</f>
        <v/>
      </c>
      <c r="D49" s="291" t="str">
        <f aca="true">IF(ISNUMBER($J49),INDIRECT("O"&amp;($J49+4)),"")</f>
        <v/>
      </c>
      <c r="E49" s="291" t="str">
        <f aca="true">IF(ISNUMBER($J49),INDIRECT("P"&amp;($J49+4)),"")</f>
        <v/>
      </c>
      <c r="F49" s="300" t="str">
        <f aca="true">IF(ISNUMBER($J49),INDIRECT("Q"&amp;($J49+4)),"")</f>
        <v/>
      </c>
      <c r="G49" s="298" t="str">
        <f aca="true">IF(ISNUMBER($J49),INDIRECT("R"&amp;($J49+4)),"")</f>
        <v/>
      </c>
      <c r="H49" s="298" t="str">
        <f aca="true">IF(ISNUMBER($J49),INDIRECT("S"&amp;($J49+4)),"")</f>
        <v/>
      </c>
      <c r="J49" s="292" t="str">
        <f aca="true">IF(45&lt;=$K$1,MATCH(44.5,INDIRECT("$K$4:$K$1374"),1),"")</f>
        <v/>
      </c>
      <c r="K49" s="292" t="n">
        <f aca="false">COUNTIF($Q$5:Q49,"&gt;0")</f>
        <v>0</v>
      </c>
      <c r="L49" s="292" t="str">
        <f aca="false">"Кабели"</f>
        <v>Кабели</v>
      </c>
      <c r="M49" s="292" t="str">
        <f aca="false">IF(ISBLANK(Кабели!$A$51),"",Кабели!$A$51)</f>
        <v>BX113 Lenny силиконовый зарядный дата кабель Type-C(L=2M)</v>
      </c>
      <c r="N49" s="292" t="str">
        <f aca="false">IF(ISBLANK(Кабели!$D$51),"",Кабели!$D$51)</f>
        <v>6941991115509</v>
      </c>
      <c r="O49" s="292" t="str">
        <f aca="false">IF(ISBLANK(Кабели!$E$51),"",Кабели!$E$51)</f>
        <v>чёрный</v>
      </c>
      <c r="P49" s="292" t="str">
        <f aca="false">"ед."</f>
        <v>ед.</v>
      </c>
      <c r="Q49" s="292" t="n">
        <f aca="false">N(Кабели!$G$51)</f>
        <v>0</v>
      </c>
      <c r="R49" s="299" t="n">
        <f aca="false">IF(ISBLANK(Кабели!$F$51),"",Кабели!$F$51)</f>
        <v>89.7</v>
      </c>
      <c r="S49" s="292" t="str">
        <f aca="false">IF(ISBLANK(Кабели!$H$51),"",Кабели!$H$51)</f>
        <v/>
      </c>
    </row>
    <row r="50" customFormat="false" ht="66" hidden="false" customHeight="true" outlineLevel="0" collapsed="false">
      <c r="A50" s="291" t="str">
        <f aca="true">IF(ISNUMBER($J50),INDIRECT("L"&amp;($J50+4)),"")</f>
        <v/>
      </c>
      <c r="B50" s="291" t="str">
        <f aca="true">IF(ISNUMBER($J50),INDIRECT("M"&amp;($J50+4)),"")</f>
        <v/>
      </c>
      <c r="C50" s="296" t="str">
        <f aca="true">IF(ISNUMBER($J50),INDIRECT("N"&amp;($J50+4)),"")</f>
        <v/>
      </c>
      <c r="D50" s="291" t="str">
        <f aca="true">IF(ISNUMBER($J50),INDIRECT("O"&amp;($J50+4)),"")</f>
        <v/>
      </c>
      <c r="E50" s="291" t="str">
        <f aca="true">IF(ISNUMBER($J50),INDIRECT("P"&amp;($J50+4)),"")</f>
        <v/>
      </c>
      <c r="F50" s="300" t="str">
        <f aca="true">IF(ISNUMBER($J50),INDIRECT("Q"&amp;($J50+4)),"")</f>
        <v/>
      </c>
      <c r="G50" s="298" t="str">
        <f aca="true">IF(ISNUMBER($J50),INDIRECT("R"&amp;($J50+4)),"")</f>
        <v/>
      </c>
      <c r="H50" s="298" t="str">
        <f aca="true">IF(ISNUMBER($J50),INDIRECT("S"&amp;($J50+4)),"")</f>
        <v/>
      </c>
      <c r="J50" s="292" t="str">
        <f aca="true">IF(46&lt;=$K$1,MATCH(45.5,INDIRECT("$K$4:$K$1374"),1),"")</f>
        <v/>
      </c>
      <c r="K50" s="292" t="n">
        <f aca="false">COUNTIF($Q$5:Q50,"&gt;0")</f>
        <v>0</v>
      </c>
      <c r="L50" s="292" t="str">
        <f aca="false">"Кабели"</f>
        <v>Кабели</v>
      </c>
      <c r="M50" s="292" t="str">
        <f aca="false">IF(ISBLANK(Кабели!$A$52),"",Кабели!$A$52)</f>
        <v>BX113 Lenny силиконовый зарядный дата кабель Type-C(L=3M)</v>
      </c>
      <c r="N50" s="292" t="str">
        <f aca="false">IF(ISBLANK(Кабели!$D$52),"",Кабели!$D$52)</f>
        <v>6941991115554</v>
      </c>
      <c r="O50" s="292" t="str">
        <f aca="false">IF(ISBLANK(Кабели!$E$52),"",Кабели!$E$52)</f>
        <v>чёрный</v>
      </c>
      <c r="P50" s="292" t="str">
        <f aca="false">"ед."</f>
        <v>ед.</v>
      </c>
      <c r="Q50" s="292" t="n">
        <f aca="false">N(Кабели!$G$52)</f>
        <v>0</v>
      </c>
      <c r="R50" s="299" t="n">
        <f aca="false">IF(ISBLANK(Кабели!$F$52),"",Кабели!$F$52)</f>
        <v>140.26</v>
      </c>
      <c r="S50" s="292" t="str">
        <f aca="false">IF(ISBLANK(Кабели!$H$52),"",Кабели!$H$52)</f>
        <v/>
      </c>
    </row>
    <row r="51" customFormat="false" ht="66" hidden="false" customHeight="true" outlineLevel="0" collapsed="false">
      <c r="A51" s="291" t="str">
        <f aca="true">IF(ISNUMBER($J51),INDIRECT("L"&amp;($J51+4)),"")</f>
        <v/>
      </c>
      <c r="B51" s="291" t="str">
        <f aca="true">IF(ISNUMBER($J51),INDIRECT("M"&amp;($J51+4)),"")</f>
        <v/>
      </c>
      <c r="C51" s="296" t="str">
        <f aca="true">IF(ISNUMBER($J51),INDIRECT("N"&amp;($J51+4)),"")</f>
        <v/>
      </c>
      <c r="D51" s="291" t="str">
        <f aca="true">IF(ISNUMBER($J51),INDIRECT("O"&amp;($J51+4)),"")</f>
        <v/>
      </c>
      <c r="E51" s="291" t="str">
        <f aca="true">IF(ISNUMBER($J51),INDIRECT("P"&amp;($J51+4)),"")</f>
        <v/>
      </c>
      <c r="F51" s="300" t="str">
        <f aca="true">IF(ISNUMBER($J51),INDIRECT("Q"&amp;($J51+4)),"")</f>
        <v/>
      </c>
      <c r="G51" s="298" t="str">
        <f aca="true">IF(ISNUMBER($J51),INDIRECT("R"&amp;($J51+4)),"")</f>
        <v/>
      </c>
      <c r="H51" s="298" t="str">
        <f aca="true">IF(ISNUMBER($J51),INDIRECT("S"&amp;($J51+4)),"")</f>
        <v/>
      </c>
      <c r="J51" s="292" t="str">
        <f aca="true">IF(47&lt;=$K$1,MATCH(46.5,INDIRECT("$K$4:$K$1374"),1),"")</f>
        <v/>
      </c>
      <c r="K51" s="292" t="n">
        <f aca="false">COUNTIF($Q$5:Q51,"&gt;0")</f>
        <v>0</v>
      </c>
      <c r="L51" s="292" t="str">
        <f aca="false">"Кабели"</f>
        <v>Кабели</v>
      </c>
      <c r="M51" s="292" t="str">
        <f aca="false">IF(ISBLANK(Кабели!$A$53),"",Кабели!$A$53)</f>
        <v>BX86 Advantage силиконовый зарядный дата кабель для iP</v>
      </c>
      <c r="N51" s="292" t="str">
        <f aca="false">IF(ISBLANK(Кабели!$D$53),"",Кабели!$D$53)</f>
        <v>6974443388794</v>
      </c>
      <c r="O51" s="292" t="str">
        <f aca="false">IF(ISBLANK(Кабели!$E$53),"",Кабели!$E$53)</f>
        <v>белый</v>
      </c>
      <c r="P51" s="292" t="str">
        <f aca="false">"ед."</f>
        <v>ед.</v>
      </c>
      <c r="Q51" s="292" t="n">
        <f aca="false">N(Кабели!$G$53)</f>
        <v>0</v>
      </c>
      <c r="R51" s="299" t="n">
        <f aca="false">IF(ISBLANK(Кабели!$F$53),"",Кабели!$F$53)</f>
        <v>83.99</v>
      </c>
      <c r="S51" s="292" t="str">
        <f aca="false">IF(ISBLANK(Кабели!$H$53),"",Кабели!$H$53)</f>
        <v/>
      </c>
    </row>
    <row r="52" customFormat="false" ht="66" hidden="false" customHeight="true" outlineLevel="0" collapsed="false">
      <c r="A52" s="291" t="str">
        <f aca="true">IF(ISNUMBER($J52),INDIRECT("L"&amp;($J52+4)),"")</f>
        <v/>
      </c>
      <c r="B52" s="291" t="str">
        <f aca="true">IF(ISNUMBER($J52),INDIRECT("M"&amp;($J52+4)),"")</f>
        <v/>
      </c>
      <c r="C52" s="296" t="str">
        <f aca="true">IF(ISNUMBER($J52),INDIRECT("N"&amp;($J52+4)),"")</f>
        <v/>
      </c>
      <c r="D52" s="291" t="str">
        <f aca="true">IF(ISNUMBER($J52),INDIRECT("O"&amp;($J52+4)),"")</f>
        <v/>
      </c>
      <c r="E52" s="291" t="str">
        <f aca="true">IF(ISNUMBER($J52),INDIRECT("P"&amp;($J52+4)),"")</f>
        <v/>
      </c>
      <c r="F52" s="300" t="str">
        <f aca="true">IF(ISNUMBER($J52),INDIRECT("Q"&amp;($J52+4)),"")</f>
        <v/>
      </c>
      <c r="G52" s="298" t="str">
        <f aca="true">IF(ISNUMBER($J52),INDIRECT("R"&amp;($J52+4)),"")</f>
        <v/>
      </c>
      <c r="H52" s="298" t="str">
        <f aca="true">IF(ISNUMBER($J52),INDIRECT("S"&amp;($J52+4)),"")</f>
        <v/>
      </c>
      <c r="J52" s="292" t="str">
        <f aca="true">IF(48&lt;=$K$1,MATCH(47.5,INDIRECT("$K$4:$K$1374"),1),"")</f>
        <v/>
      </c>
      <c r="K52" s="292" t="n">
        <f aca="false">COUNTIF($Q$5:Q52,"&gt;0")</f>
        <v>0</v>
      </c>
      <c r="L52" s="292" t="str">
        <f aca="false">"Кабели"</f>
        <v>Кабели</v>
      </c>
      <c r="M52" s="292" t="str">
        <f aca="false">IF(ISBLANK(Кабели!$A$54),"",Кабели!$A$54)</f>
        <v>BX86 Advantage силиконовый зарядный дата кабель для Micro</v>
      </c>
      <c r="N52" s="292" t="str">
        <f aca="false">IF(ISBLANK(Кабели!$D$54),"",Кабели!$D$54)</f>
        <v>6974443388800</v>
      </c>
      <c r="O52" s="292" t="str">
        <f aca="false">IF(ISBLANK(Кабели!$E$54),"",Кабели!$E$54)</f>
        <v>черный</v>
      </c>
      <c r="P52" s="292" t="str">
        <f aca="false">"ед."</f>
        <v>ед.</v>
      </c>
      <c r="Q52" s="292" t="n">
        <f aca="false">N(Кабели!$G$54)</f>
        <v>0</v>
      </c>
      <c r="R52" s="299" t="n">
        <f aca="false">IF(ISBLANK(Кабели!$F$54),"",Кабели!$F$54)</f>
        <v>70.95</v>
      </c>
      <c r="S52" s="292" t="str">
        <f aca="false">IF(ISBLANK(Кабели!$H$54),"",Кабели!$H$54)</f>
        <v/>
      </c>
    </row>
    <row r="53" customFormat="false" ht="66" hidden="false" customHeight="true" outlineLevel="0" collapsed="false">
      <c r="A53" s="291" t="str">
        <f aca="true">IF(ISNUMBER($J53),INDIRECT("L"&amp;($J53+4)),"")</f>
        <v/>
      </c>
      <c r="B53" s="291" t="str">
        <f aca="true">IF(ISNUMBER($J53),INDIRECT("M"&amp;($J53+4)),"")</f>
        <v/>
      </c>
      <c r="C53" s="296" t="str">
        <f aca="true">IF(ISNUMBER($J53),INDIRECT("N"&amp;($J53+4)),"")</f>
        <v/>
      </c>
      <c r="D53" s="291" t="str">
        <f aca="true">IF(ISNUMBER($J53),INDIRECT("O"&amp;($J53+4)),"")</f>
        <v/>
      </c>
      <c r="E53" s="291" t="str">
        <f aca="true">IF(ISNUMBER($J53),INDIRECT("P"&amp;($J53+4)),"")</f>
        <v/>
      </c>
      <c r="F53" s="300" t="str">
        <f aca="true">IF(ISNUMBER($J53),INDIRECT("Q"&amp;($J53+4)),"")</f>
        <v/>
      </c>
      <c r="G53" s="298" t="str">
        <f aca="true">IF(ISNUMBER($J53),INDIRECT("R"&amp;($J53+4)),"")</f>
        <v/>
      </c>
      <c r="H53" s="298" t="str">
        <f aca="true">IF(ISNUMBER($J53),INDIRECT("S"&amp;($J53+4)),"")</f>
        <v/>
      </c>
      <c r="J53" s="292" t="str">
        <f aca="true">IF(49&lt;=$K$1,MATCH(48.5,INDIRECT("$K$4:$K$1374"),1),"")</f>
        <v/>
      </c>
      <c r="K53" s="292" t="n">
        <f aca="false">COUNTIF($Q$5:Q53,"&gt;0")</f>
        <v>0</v>
      </c>
      <c r="L53" s="292" t="str">
        <f aca="false">"Кабели"</f>
        <v>Кабели</v>
      </c>
      <c r="M53" s="292" t="str">
        <f aca="false">IF(ISBLANK(Кабели!$A$55),"",Кабели!$A$55)</f>
        <v>BX86 Advantage силиконовый зарядный дата кабель для Type-C</v>
      </c>
      <c r="N53" s="292" t="str">
        <f aca="false">IF(ISBLANK(Кабели!$D$55),"",Кабели!$D$55)</f>
        <v>6974443388831</v>
      </c>
      <c r="O53" s="292" t="str">
        <f aca="false">IF(ISBLANK(Кабели!$E$55),"",Кабели!$E$55)</f>
        <v>белый</v>
      </c>
      <c r="P53" s="292" t="str">
        <f aca="false">"ед."</f>
        <v>ед.</v>
      </c>
      <c r="Q53" s="292" t="n">
        <f aca="false">N(Кабели!$G$55)</f>
        <v>0</v>
      </c>
      <c r="R53" s="299" t="n">
        <f aca="false">IF(ISBLANK(Кабели!$F$55),"",Кабели!$F$55)</f>
        <v>80.73</v>
      </c>
      <c r="S53" s="292" t="str">
        <f aca="false">IF(ISBLANK(Кабели!$H$55),"",Кабели!$H$55)</f>
        <v/>
      </c>
    </row>
    <row r="54" customFormat="false" ht="66" hidden="false" customHeight="true" outlineLevel="0" collapsed="false">
      <c r="A54" s="291" t="str">
        <f aca="true">IF(ISNUMBER($J54),INDIRECT("L"&amp;($J54+4)),"")</f>
        <v/>
      </c>
      <c r="B54" s="291" t="str">
        <f aca="true">IF(ISNUMBER($J54),INDIRECT("M"&amp;($J54+4)),"")</f>
        <v/>
      </c>
      <c r="C54" s="296" t="str">
        <f aca="true">IF(ISNUMBER($J54),INDIRECT("N"&amp;($J54+4)),"")</f>
        <v/>
      </c>
      <c r="D54" s="291" t="str">
        <f aca="true">IF(ISNUMBER($J54),INDIRECT("O"&amp;($J54+4)),"")</f>
        <v/>
      </c>
      <c r="E54" s="291" t="str">
        <f aca="true">IF(ISNUMBER($J54),INDIRECT("P"&amp;($J54+4)),"")</f>
        <v/>
      </c>
      <c r="F54" s="300" t="str">
        <f aca="true">IF(ISNUMBER($J54),INDIRECT("Q"&amp;($J54+4)),"")</f>
        <v/>
      </c>
      <c r="G54" s="298" t="str">
        <f aca="true">IF(ISNUMBER($J54),INDIRECT("R"&amp;($J54+4)),"")</f>
        <v/>
      </c>
      <c r="H54" s="298" t="str">
        <f aca="true">IF(ISNUMBER($J54),INDIRECT("S"&amp;($J54+4)),"")</f>
        <v/>
      </c>
      <c r="J54" s="292" t="str">
        <f aca="true">IF(50&lt;=$K$1,MATCH(49.5,INDIRECT("$K$4:$K$1374"),1),"")</f>
        <v/>
      </c>
      <c r="K54" s="292" t="n">
        <f aca="false">COUNTIF($Q$5:Q54,"&gt;0")</f>
        <v>0</v>
      </c>
      <c r="L54" s="292" t="str">
        <f aca="false">"Кабели"</f>
        <v>Кабели</v>
      </c>
      <c r="M54" s="292" t="str">
        <f aca="false">IF(ISBLANK(Кабели!$A$56),"",Кабели!$A$56)</f>
        <v>BX83 Type-C to Type-C Famous 60W силиконовый зарядный дата кабель</v>
      </c>
      <c r="N54" s="292" t="str">
        <f aca="false">IF(ISBLANK(Кабели!$D$56),"",Кабели!$D$56)</f>
        <v>6974443386448</v>
      </c>
      <c r="O54" s="292" t="str">
        <f aca="false">IF(ISBLANK(Кабели!$E$56),"",Кабели!$E$56)</f>
        <v>черный</v>
      </c>
      <c r="P54" s="292" t="str">
        <f aca="false">"ед."</f>
        <v>ед.</v>
      </c>
      <c r="Q54" s="292" t="n">
        <f aca="false">N(Кабели!$G$56)</f>
        <v>0</v>
      </c>
      <c r="R54" s="299" t="n">
        <f aca="false">IF(ISBLANK(Кабели!$F$56),"",Кабели!$F$56)</f>
        <v>154.94</v>
      </c>
      <c r="S54" s="292" t="str">
        <f aca="false">IF(ISBLANK(Кабели!$H$56),"",Кабели!$H$56)</f>
        <v/>
      </c>
    </row>
    <row r="55" customFormat="false" ht="66" hidden="false" customHeight="true" outlineLevel="0" collapsed="false">
      <c r="A55" s="291" t="str">
        <f aca="true">IF(ISNUMBER($J55),INDIRECT("L"&amp;($J55+4)),"")</f>
        <v/>
      </c>
      <c r="B55" s="291" t="str">
        <f aca="true">IF(ISNUMBER($J55),INDIRECT("M"&amp;($J55+4)),"")</f>
        <v/>
      </c>
      <c r="C55" s="296" t="str">
        <f aca="true">IF(ISNUMBER($J55),INDIRECT("N"&amp;($J55+4)),"")</f>
        <v/>
      </c>
      <c r="D55" s="291" t="str">
        <f aca="true">IF(ISNUMBER($J55),INDIRECT("O"&amp;($J55+4)),"")</f>
        <v/>
      </c>
      <c r="E55" s="291" t="str">
        <f aca="true">IF(ISNUMBER($J55),INDIRECT("P"&amp;($J55+4)),"")</f>
        <v/>
      </c>
      <c r="F55" s="300" t="str">
        <f aca="true">IF(ISNUMBER($J55),INDIRECT("Q"&amp;($J55+4)),"")</f>
        <v/>
      </c>
      <c r="G55" s="298" t="str">
        <f aca="true">IF(ISNUMBER($J55),INDIRECT("R"&amp;($J55+4)),"")</f>
        <v/>
      </c>
      <c r="H55" s="298" t="str">
        <f aca="true">IF(ISNUMBER($J55),INDIRECT("S"&amp;($J55+4)),"")</f>
        <v/>
      </c>
      <c r="J55" s="292" t="str">
        <f aca="true">IF(51&lt;=$K$1,MATCH(50.5,INDIRECT("$K$4:$K$1374"),1),"")</f>
        <v/>
      </c>
      <c r="K55" s="292" t="n">
        <f aca="false">COUNTIF($Q$5:Q55,"&gt;0")</f>
        <v>0</v>
      </c>
      <c r="L55" s="292" t="str">
        <f aca="false">"Кабели"</f>
        <v>Кабели</v>
      </c>
      <c r="M55" s="292" t="str">
        <f aca="false">IF(ISBLANK(Кабели!$A$57),"",Кабели!$A$57)</f>
        <v>BX83 iP Famous силиконовый зарядный дата кабель</v>
      </c>
      <c r="N55" s="292" t="str">
        <f aca="false">IF(ISBLANK(Кабели!$D$57),"",Кабели!$D$57)</f>
        <v>6974443386356</v>
      </c>
      <c r="O55" s="292" t="str">
        <f aca="false">IF(ISBLANK(Кабели!$E$57),"",Кабели!$E$57)</f>
        <v>черный</v>
      </c>
      <c r="P55" s="292" t="str">
        <f aca="false">"ед."</f>
        <v>ед.</v>
      </c>
      <c r="Q55" s="292" t="n">
        <f aca="false">N(Кабели!$G$57)</f>
        <v>0</v>
      </c>
      <c r="R55" s="299" t="n">
        <f aca="false">IF(ISBLANK(Кабели!$F$57),"",Кабели!$F$57)</f>
        <v>110.9</v>
      </c>
      <c r="S55" s="292" t="str">
        <f aca="false">IF(ISBLANK(Кабели!$H$57),"",Кабели!$H$57)</f>
        <v/>
      </c>
    </row>
    <row r="56" customFormat="false" ht="66" hidden="false" customHeight="true" outlineLevel="0" collapsed="false">
      <c r="A56" s="291" t="str">
        <f aca="true">IF(ISNUMBER($J56),INDIRECT("L"&amp;($J56+4)),"")</f>
        <v/>
      </c>
      <c r="B56" s="291" t="str">
        <f aca="true">IF(ISNUMBER($J56),INDIRECT("M"&amp;($J56+4)),"")</f>
        <v/>
      </c>
      <c r="C56" s="296" t="str">
        <f aca="true">IF(ISNUMBER($J56),INDIRECT("N"&amp;($J56+4)),"")</f>
        <v/>
      </c>
      <c r="D56" s="291" t="str">
        <f aca="true">IF(ISNUMBER($J56),INDIRECT("O"&amp;($J56+4)),"")</f>
        <v/>
      </c>
      <c r="E56" s="291" t="str">
        <f aca="true">IF(ISNUMBER($J56),INDIRECT("P"&amp;($J56+4)),"")</f>
        <v/>
      </c>
      <c r="F56" s="300" t="str">
        <f aca="true">IF(ISNUMBER($J56),INDIRECT("Q"&amp;($J56+4)),"")</f>
        <v/>
      </c>
      <c r="G56" s="298" t="str">
        <f aca="true">IF(ISNUMBER($J56),INDIRECT("R"&amp;($J56+4)),"")</f>
        <v/>
      </c>
      <c r="H56" s="298" t="str">
        <f aca="true">IF(ISNUMBER($J56),INDIRECT("S"&amp;($J56+4)),"")</f>
        <v/>
      </c>
      <c r="J56" s="292" t="str">
        <f aca="true">IF(52&lt;=$K$1,MATCH(51.5,INDIRECT("$K$4:$K$1374"),1),"")</f>
        <v/>
      </c>
      <c r="K56" s="292" t="n">
        <f aca="false">COUNTIF($Q$5:Q56,"&gt;0")</f>
        <v>0</v>
      </c>
      <c r="L56" s="292" t="str">
        <f aca="false">"Кабели"</f>
        <v>Кабели</v>
      </c>
      <c r="M56" s="292" t="str">
        <f aca="false">IF(ISBLANK(Кабели!$A$57),"",Кабели!$A$57)</f>
        <v>BX83 iP Famous силиконовый зарядный дата кабель</v>
      </c>
      <c r="N56" s="292" t="str">
        <f aca="false">IF(ISBLANK(Кабели!$D$58),"",Кабели!$D$58)</f>
        <v>6974443386363</v>
      </c>
      <c r="O56" s="292" t="str">
        <f aca="false">IF(ISBLANK(Кабели!$E$58),"",Кабели!$E$58)</f>
        <v>белый</v>
      </c>
      <c r="P56" s="292" t="str">
        <f aca="false">"ед."</f>
        <v>ед.</v>
      </c>
      <c r="Q56" s="292" t="n">
        <f aca="false">N(Кабели!$G$58)</f>
        <v>0</v>
      </c>
      <c r="R56" s="299" t="n">
        <f aca="false">IF(ISBLANK(Кабели!$F$58),"",Кабели!$F$58)</f>
        <v>110.9</v>
      </c>
      <c r="S56" s="292" t="str">
        <f aca="false">IF(ISBLANK(Кабели!$H$58),"",Кабели!$H$58)</f>
        <v/>
      </c>
    </row>
    <row r="57" customFormat="false" ht="66" hidden="false" customHeight="true" outlineLevel="0" collapsed="false">
      <c r="A57" s="291" t="str">
        <f aca="true">IF(ISNUMBER($J57),INDIRECT("L"&amp;($J57+4)),"")</f>
        <v/>
      </c>
      <c r="B57" s="291" t="str">
        <f aca="true">IF(ISNUMBER($J57),INDIRECT("M"&amp;($J57+4)),"")</f>
        <v/>
      </c>
      <c r="C57" s="296" t="str">
        <f aca="true">IF(ISNUMBER($J57),INDIRECT("N"&amp;($J57+4)),"")</f>
        <v/>
      </c>
      <c r="D57" s="291" t="str">
        <f aca="true">IF(ISNUMBER($J57),INDIRECT("O"&amp;($J57+4)),"")</f>
        <v/>
      </c>
      <c r="E57" s="291" t="str">
        <f aca="true">IF(ISNUMBER($J57),INDIRECT("P"&amp;($J57+4)),"")</f>
        <v/>
      </c>
      <c r="F57" s="300" t="str">
        <f aca="true">IF(ISNUMBER($J57),INDIRECT("Q"&amp;($J57+4)),"")</f>
        <v/>
      </c>
      <c r="G57" s="298" t="str">
        <f aca="true">IF(ISNUMBER($J57),INDIRECT("R"&amp;($J57+4)),"")</f>
        <v/>
      </c>
      <c r="H57" s="298" t="str">
        <f aca="true">IF(ISNUMBER($J57),INDIRECT("S"&amp;($J57+4)),"")</f>
        <v/>
      </c>
      <c r="J57" s="292" t="str">
        <f aca="true">IF(53&lt;=$K$1,MATCH(52.5,INDIRECT("$K$4:$K$1374"),1),"")</f>
        <v/>
      </c>
      <c r="K57" s="292" t="n">
        <f aca="false">COUNTIF($Q$5:Q57,"&gt;0")</f>
        <v>0</v>
      </c>
      <c r="L57" s="292" t="str">
        <f aca="false">"Кабели"</f>
        <v>Кабели</v>
      </c>
      <c r="M57" s="292" t="str">
        <f aca="false">IF(ISBLANK(Кабели!$A$59),"",Кабели!$A$59)</f>
        <v>BX83 Type-C Famous силиконовый зарядный дата кабель</v>
      </c>
      <c r="N57" s="292" t="str">
        <f aca="false">IF(ISBLANK(Кабели!$D$59),"",Кабели!$D$59)</f>
        <v>6974443386417</v>
      </c>
      <c r="O57" s="292" t="str">
        <f aca="false">IF(ISBLANK(Кабели!$E$59),"",Кабели!$E$59)</f>
        <v>черный</v>
      </c>
      <c r="P57" s="292" t="str">
        <f aca="false">"ед."</f>
        <v>ед.</v>
      </c>
      <c r="Q57" s="292" t="n">
        <f aca="false">N(Кабели!$G$59)</f>
        <v>0</v>
      </c>
      <c r="R57" s="299" t="n">
        <f aca="false">IF(ISBLANK(Кабели!$F$59),"",Кабели!$F$59)</f>
        <v>106.01</v>
      </c>
      <c r="S57" s="292" t="str">
        <f aca="false">IF(ISBLANK(Кабели!$H$59),"",Кабели!$H$59)</f>
        <v/>
      </c>
    </row>
    <row r="58" customFormat="false" ht="66" hidden="false" customHeight="true" outlineLevel="0" collapsed="false">
      <c r="A58" s="291" t="str">
        <f aca="true">IF(ISNUMBER($J58),INDIRECT("L"&amp;($J58+4)),"")</f>
        <v/>
      </c>
      <c r="B58" s="291" t="str">
        <f aca="true">IF(ISNUMBER($J58),INDIRECT("M"&amp;($J58+4)),"")</f>
        <v/>
      </c>
      <c r="C58" s="296" t="str">
        <f aca="true">IF(ISNUMBER($J58),INDIRECT("N"&amp;($J58+4)),"")</f>
        <v/>
      </c>
      <c r="D58" s="291" t="str">
        <f aca="true">IF(ISNUMBER($J58),INDIRECT("O"&amp;($J58+4)),"")</f>
        <v/>
      </c>
      <c r="E58" s="291" t="str">
        <f aca="true">IF(ISNUMBER($J58),INDIRECT("P"&amp;($J58+4)),"")</f>
        <v/>
      </c>
      <c r="F58" s="300" t="str">
        <f aca="true">IF(ISNUMBER($J58),INDIRECT("Q"&amp;($J58+4)),"")</f>
        <v/>
      </c>
      <c r="G58" s="298" t="str">
        <f aca="true">IF(ISNUMBER($J58),INDIRECT("R"&amp;($J58+4)),"")</f>
        <v/>
      </c>
      <c r="H58" s="298" t="str">
        <f aca="true">IF(ISNUMBER($J58),INDIRECT("S"&amp;($J58+4)),"")</f>
        <v/>
      </c>
      <c r="J58" s="292" t="str">
        <f aca="true">IF(54&lt;=$K$1,MATCH(53.5,INDIRECT("$K$4:$K$1374"),1),"")</f>
        <v/>
      </c>
      <c r="K58" s="292" t="n">
        <f aca="false">COUNTIF($Q$5:Q58,"&gt;0")</f>
        <v>0</v>
      </c>
      <c r="L58" s="292" t="str">
        <f aca="false">"Кабели"</f>
        <v>Кабели</v>
      </c>
      <c r="M58" s="292" t="str">
        <f aca="false">IF(ISBLANK(Кабели!$A$59),"",Кабели!$A$59)</f>
        <v>BX83 Type-C Famous силиконовый зарядный дата кабель</v>
      </c>
      <c r="N58" s="292" t="str">
        <f aca="false">IF(ISBLANK(Кабели!$D$60),"",Кабели!$D$60)</f>
        <v>6974443386424</v>
      </c>
      <c r="O58" s="292" t="str">
        <f aca="false">IF(ISBLANK(Кабели!$E$60),"",Кабели!$E$60)</f>
        <v>белый</v>
      </c>
      <c r="P58" s="292" t="str">
        <f aca="false">"ед."</f>
        <v>ед.</v>
      </c>
      <c r="Q58" s="292" t="n">
        <f aca="false">N(Кабели!$G$60)</f>
        <v>0</v>
      </c>
      <c r="R58" s="299" t="n">
        <f aca="false">IF(ISBLANK(Кабели!$F$60),"",Кабели!$F$60)</f>
        <v>106.01</v>
      </c>
      <c r="S58" s="292" t="str">
        <f aca="false">IF(ISBLANK(Кабели!$H$60),"",Кабели!$H$60)</f>
        <v/>
      </c>
    </row>
    <row r="59" customFormat="false" ht="66" hidden="false" customHeight="true" outlineLevel="0" collapsed="false">
      <c r="A59" s="291" t="str">
        <f aca="true">IF(ISNUMBER($J59),INDIRECT("L"&amp;($J59+4)),"")</f>
        <v/>
      </c>
      <c r="B59" s="291" t="str">
        <f aca="true">IF(ISNUMBER($J59),INDIRECT("M"&amp;($J59+4)),"")</f>
        <v/>
      </c>
      <c r="C59" s="296" t="str">
        <f aca="true">IF(ISNUMBER($J59),INDIRECT("N"&amp;($J59+4)),"")</f>
        <v/>
      </c>
      <c r="D59" s="291" t="str">
        <f aca="true">IF(ISNUMBER($J59),INDIRECT("O"&amp;($J59+4)),"")</f>
        <v/>
      </c>
      <c r="E59" s="291" t="str">
        <f aca="true">IF(ISNUMBER($J59),INDIRECT("P"&amp;($J59+4)),"")</f>
        <v/>
      </c>
      <c r="F59" s="300" t="str">
        <f aca="true">IF(ISNUMBER($J59),INDIRECT("Q"&amp;($J59+4)),"")</f>
        <v/>
      </c>
      <c r="G59" s="298" t="str">
        <f aca="true">IF(ISNUMBER($J59),INDIRECT("R"&amp;($J59+4)),"")</f>
        <v/>
      </c>
      <c r="H59" s="298" t="str">
        <f aca="true">IF(ISNUMBER($J59),INDIRECT("S"&amp;($J59+4)),"")</f>
        <v/>
      </c>
      <c r="J59" s="292" t="str">
        <f aca="true">IF(55&lt;=$K$1,MATCH(54.5,INDIRECT("$K$4:$K$1374"),1),"")</f>
        <v/>
      </c>
      <c r="K59" s="292" t="n">
        <f aca="false">COUNTIF($Q$5:Q59,"&gt;0")</f>
        <v>0</v>
      </c>
      <c r="L59" s="292" t="str">
        <f aca="false">"Кабели"</f>
        <v>Кабели</v>
      </c>
      <c r="M59" s="292" t="str">
        <f aca="false">IF(ISBLANK(Кабели!$A$61),"",Кабели!$A$61)</f>
        <v>BX79 PD силиконовый зарядный кабель для передачи данных  iP</v>
      </c>
      <c r="N59" s="292" t="str">
        <f aca="false">IF(ISBLANK(Кабели!$D$61),"",Кабели!$D$61)</f>
        <v>6974443384727</v>
      </c>
      <c r="O59" s="292" t="str">
        <f aca="false">IF(ISBLANK(Кабели!$E$61),"",Кабели!$E$61)</f>
        <v>черный</v>
      </c>
      <c r="P59" s="292" t="str">
        <f aca="false">"ед."</f>
        <v>ед.</v>
      </c>
      <c r="Q59" s="292" t="n">
        <f aca="false">N(Кабели!$G$61)</f>
        <v>0</v>
      </c>
      <c r="R59" s="299" t="n">
        <f aca="false">IF(ISBLANK(Кабели!$F$61),"",Кабели!$F$61)</f>
        <v>163.09</v>
      </c>
      <c r="S59" s="292" t="str">
        <f aca="false">IF(ISBLANK(Кабели!$H$61),"",Кабели!$H$61)</f>
        <v/>
      </c>
    </row>
    <row r="60" customFormat="false" ht="66" hidden="false" customHeight="true" outlineLevel="0" collapsed="false">
      <c r="A60" s="291" t="str">
        <f aca="true">IF(ISNUMBER($J60),INDIRECT("L"&amp;($J60+4)),"")</f>
        <v/>
      </c>
      <c r="B60" s="291" t="str">
        <f aca="true">IF(ISNUMBER($J60),INDIRECT("M"&amp;($J60+4)),"")</f>
        <v/>
      </c>
      <c r="C60" s="296" t="str">
        <f aca="true">IF(ISNUMBER($J60),INDIRECT("N"&amp;($J60+4)),"")</f>
        <v/>
      </c>
      <c r="D60" s="291" t="str">
        <f aca="true">IF(ISNUMBER($J60),INDIRECT("O"&amp;($J60+4)),"")</f>
        <v/>
      </c>
      <c r="E60" s="291" t="str">
        <f aca="true">IF(ISNUMBER($J60),INDIRECT("P"&amp;($J60+4)),"")</f>
        <v/>
      </c>
      <c r="F60" s="300" t="str">
        <f aca="true">IF(ISNUMBER($J60),INDIRECT("Q"&amp;($J60+4)),"")</f>
        <v/>
      </c>
      <c r="G60" s="298" t="str">
        <f aca="true">IF(ISNUMBER($J60),INDIRECT("R"&amp;($J60+4)),"")</f>
        <v/>
      </c>
      <c r="H60" s="298" t="str">
        <f aca="true">IF(ISNUMBER($J60),INDIRECT("S"&amp;($J60+4)),"")</f>
        <v/>
      </c>
      <c r="J60" s="292" t="str">
        <f aca="true">IF(56&lt;=$K$1,MATCH(55.5,INDIRECT("$K$4:$K$1374"),1),"")</f>
        <v/>
      </c>
      <c r="K60" s="292" t="n">
        <f aca="false">COUNTIF($Q$5:Q60,"&gt;0")</f>
        <v>0</v>
      </c>
      <c r="L60" s="292" t="str">
        <f aca="false">"Кабели"</f>
        <v>Кабели</v>
      </c>
      <c r="M60" s="292" t="str">
        <f aca="false">IF(ISBLANK(Кабели!$A$61),"",Кабели!$A$61)</f>
        <v>BX79 PD силиконовый зарядный кабель для передачи данных  iP</v>
      </c>
      <c r="N60" s="292" t="str">
        <f aca="false">IF(ISBLANK(Кабели!$D$62),"",Кабели!$D$62)</f>
        <v>6974443384734</v>
      </c>
      <c r="O60" s="292" t="str">
        <f aca="false">IF(ISBLANK(Кабели!$E$62),"",Кабели!$E$62)</f>
        <v>белый</v>
      </c>
      <c r="P60" s="292" t="str">
        <f aca="false">"ед."</f>
        <v>ед.</v>
      </c>
      <c r="Q60" s="292" t="n">
        <f aca="false">N(Кабели!$G$62)</f>
        <v>0</v>
      </c>
      <c r="R60" s="299" t="n">
        <f aca="false">IF(ISBLANK(Кабели!$F$62),"",Кабели!$F$62)</f>
        <v>163.09</v>
      </c>
      <c r="S60" s="292" t="str">
        <f aca="false">IF(ISBLANK(Кабели!$H$62),"",Кабели!$H$62)</f>
        <v/>
      </c>
    </row>
    <row r="61" customFormat="false" ht="66" hidden="false" customHeight="true" outlineLevel="0" collapsed="false">
      <c r="A61" s="291" t="str">
        <f aca="true">IF(ISNUMBER($J61),INDIRECT("L"&amp;($J61+4)),"")</f>
        <v/>
      </c>
      <c r="B61" s="291" t="str">
        <f aca="true">IF(ISNUMBER($J61),INDIRECT("M"&amp;($J61+4)),"")</f>
        <v/>
      </c>
      <c r="C61" s="296" t="str">
        <f aca="true">IF(ISNUMBER($J61),INDIRECT("N"&amp;($J61+4)),"")</f>
        <v/>
      </c>
      <c r="D61" s="291" t="str">
        <f aca="true">IF(ISNUMBER($J61),INDIRECT("O"&amp;($J61+4)),"")</f>
        <v/>
      </c>
      <c r="E61" s="291" t="str">
        <f aca="true">IF(ISNUMBER($J61),INDIRECT("P"&amp;($J61+4)),"")</f>
        <v/>
      </c>
      <c r="F61" s="300" t="str">
        <f aca="true">IF(ISNUMBER($J61),INDIRECT("Q"&amp;($J61+4)),"")</f>
        <v/>
      </c>
      <c r="G61" s="298" t="str">
        <f aca="true">IF(ISNUMBER($J61),INDIRECT("R"&amp;($J61+4)),"")</f>
        <v/>
      </c>
      <c r="H61" s="298" t="str">
        <f aca="true">IF(ISNUMBER($J61),INDIRECT("S"&amp;($J61+4)),"")</f>
        <v/>
      </c>
      <c r="J61" s="292" t="str">
        <f aca="true">IF(57&lt;=$K$1,MATCH(56.5,INDIRECT("$K$4:$K$1374"),1),"")</f>
        <v/>
      </c>
      <c r="K61" s="292" t="n">
        <f aca="false">COUNTIF($Q$5:Q61,"&gt;0")</f>
        <v>0</v>
      </c>
      <c r="L61" s="292" t="str">
        <f aca="false">"Кабели"</f>
        <v>Кабели</v>
      </c>
      <c r="M61" s="292" t="str">
        <f aca="false">IF(ISBLANK(Кабели!$A$63),"",Кабели!$A$63)</f>
        <v>BX79  60 Вт силиконовый кабель для зарядки и передачи данных Type-C на Type-C</v>
      </c>
      <c r="N61" s="292" t="str">
        <f aca="false">IF(ISBLANK(Кабели!$D$63),"",Кабели!$D$63)</f>
        <v>6974443384802</v>
      </c>
      <c r="O61" s="292" t="str">
        <f aca="false">IF(ISBLANK(Кабели!$E$63),"",Кабели!$E$63)</f>
        <v>черный</v>
      </c>
      <c r="P61" s="292" t="str">
        <f aca="false">"ед."</f>
        <v>ед.</v>
      </c>
      <c r="Q61" s="292" t="n">
        <f aca="false">N(Кабели!$G$63)</f>
        <v>0</v>
      </c>
      <c r="R61" s="299" t="n">
        <f aca="false">IF(ISBLANK(Кабели!$F$63),"",Кабели!$F$63)</f>
        <v>128.44</v>
      </c>
      <c r="S61" s="292" t="str">
        <f aca="false">IF(ISBLANK(Кабели!$H$63),"",Кабели!$H$63)</f>
        <v/>
      </c>
    </row>
    <row r="62" customFormat="false" ht="66" hidden="false" customHeight="true" outlineLevel="0" collapsed="false">
      <c r="A62" s="291" t="str">
        <f aca="true">IF(ISNUMBER($J62),INDIRECT("L"&amp;($J62+4)),"")</f>
        <v/>
      </c>
      <c r="B62" s="291" t="str">
        <f aca="true">IF(ISNUMBER($J62),INDIRECT("M"&amp;($J62+4)),"")</f>
        <v/>
      </c>
      <c r="C62" s="296" t="str">
        <f aca="true">IF(ISNUMBER($J62),INDIRECT("N"&amp;($J62+4)),"")</f>
        <v/>
      </c>
      <c r="D62" s="291" t="str">
        <f aca="true">IF(ISNUMBER($J62),INDIRECT("O"&amp;($J62+4)),"")</f>
        <v/>
      </c>
      <c r="E62" s="291" t="str">
        <f aca="true">IF(ISNUMBER($J62),INDIRECT("P"&amp;($J62+4)),"")</f>
        <v/>
      </c>
      <c r="F62" s="300" t="str">
        <f aca="true">IF(ISNUMBER($J62),INDIRECT("Q"&amp;($J62+4)),"")</f>
        <v/>
      </c>
      <c r="G62" s="298" t="str">
        <f aca="true">IF(ISNUMBER($J62),INDIRECT("R"&amp;($J62+4)),"")</f>
        <v/>
      </c>
      <c r="H62" s="298" t="str">
        <f aca="true">IF(ISNUMBER($J62),INDIRECT("S"&amp;($J62+4)),"")</f>
        <v/>
      </c>
      <c r="J62" s="292" t="str">
        <f aca="true">IF(58&lt;=$K$1,MATCH(57.5,INDIRECT("$K$4:$K$1374"),1),"")</f>
        <v/>
      </c>
      <c r="K62" s="292" t="n">
        <f aca="false">COUNTIF($Q$5:Q62,"&gt;0")</f>
        <v>0</v>
      </c>
      <c r="L62" s="292" t="str">
        <f aca="false">"Кабели"</f>
        <v>Кабели</v>
      </c>
      <c r="M62" s="292" t="str">
        <f aca="false">IF(ISBLANK(Кабели!$A$63),"",Кабели!$A$63)</f>
        <v>BX79  60 Вт силиконовый кабель для зарядки и передачи данных Type-C на Type-C</v>
      </c>
      <c r="N62" s="292" t="str">
        <f aca="false">IF(ISBLANK(Кабели!$D$64),"",Кабели!$D$64)</f>
        <v>6974443384819</v>
      </c>
      <c r="O62" s="292" t="str">
        <f aca="false">IF(ISBLANK(Кабели!$E$64),"",Кабели!$E$64)</f>
        <v>белый</v>
      </c>
      <c r="P62" s="292" t="str">
        <f aca="false">"ед."</f>
        <v>ед.</v>
      </c>
      <c r="Q62" s="292" t="n">
        <f aca="false">N(Кабели!$G$64)</f>
        <v>0</v>
      </c>
      <c r="R62" s="299" t="n">
        <f aca="false">IF(ISBLANK(Кабели!$F$64),"",Кабели!$F$64)</f>
        <v>128.44</v>
      </c>
      <c r="S62" s="292" t="str">
        <f aca="false">IF(ISBLANK(Кабели!$H$64),"",Кабели!$H$64)</f>
        <v/>
      </c>
    </row>
    <row r="63" customFormat="false" ht="66" hidden="false" customHeight="true" outlineLevel="0" collapsed="false">
      <c r="A63" s="291" t="str">
        <f aca="true">IF(ISNUMBER($J63),INDIRECT("L"&amp;($J63+4)),"")</f>
        <v/>
      </c>
      <c r="B63" s="291" t="str">
        <f aca="true">IF(ISNUMBER($J63),INDIRECT("M"&amp;($J63+4)),"")</f>
        <v/>
      </c>
      <c r="C63" s="296" t="str">
        <f aca="true">IF(ISNUMBER($J63),INDIRECT("N"&amp;($J63+4)),"")</f>
        <v/>
      </c>
      <c r="D63" s="291" t="str">
        <f aca="true">IF(ISNUMBER($J63),INDIRECT("O"&amp;($J63+4)),"")</f>
        <v/>
      </c>
      <c r="E63" s="291" t="str">
        <f aca="true">IF(ISNUMBER($J63),INDIRECT("P"&amp;($J63+4)),"")</f>
        <v/>
      </c>
      <c r="F63" s="300" t="str">
        <f aca="true">IF(ISNUMBER($J63),INDIRECT("Q"&amp;($J63+4)),"")</f>
        <v/>
      </c>
      <c r="G63" s="298" t="str">
        <f aca="true">IF(ISNUMBER($J63),INDIRECT("R"&amp;($J63+4)),"")</f>
        <v/>
      </c>
      <c r="H63" s="298" t="str">
        <f aca="true">IF(ISNUMBER($J63),INDIRECT("S"&amp;($J63+4)),"")</f>
        <v/>
      </c>
      <c r="J63" s="292" t="str">
        <f aca="true">IF(59&lt;=$K$1,MATCH(58.5,INDIRECT("$K$4:$K$1374"),1),"")</f>
        <v/>
      </c>
      <c r="K63" s="292" t="n">
        <f aca="false">COUNTIF($Q$5:Q63,"&gt;0")</f>
        <v>0</v>
      </c>
      <c r="L63" s="292" t="str">
        <f aca="false">"Кабели"</f>
        <v>Кабели</v>
      </c>
      <c r="M63" s="292" t="str">
        <f aca="false">IF(ISBLANK(Кабели!$A$65),"",Кабели!$A$65)</f>
        <v>BX79  силиконовый зарядный кабель для передачи данных IP</v>
      </c>
      <c r="N63" s="292" t="str">
        <f aca="false">IF(ISBLANK(Кабели!$D$65),"",Кабели!$D$65)</f>
        <v>6974443384741</v>
      </c>
      <c r="O63" s="292" t="str">
        <f aca="false">IF(ISBLANK(Кабели!$E$65),"",Кабели!$E$65)</f>
        <v>черный</v>
      </c>
      <c r="P63" s="292" t="str">
        <f aca="false">"ед."</f>
        <v>ед.</v>
      </c>
      <c r="Q63" s="292" t="n">
        <f aca="false">N(Кабели!$G$65)</f>
        <v>0</v>
      </c>
      <c r="R63" s="299" t="n">
        <f aca="false">IF(ISBLANK(Кабели!$F$65),"",Кабели!$F$65)</f>
        <v>87.66</v>
      </c>
      <c r="S63" s="292" t="str">
        <f aca="false">IF(ISBLANK(Кабели!$H$65),"",Кабели!$H$65)</f>
        <v/>
      </c>
    </row>
    <row r="64" customFormat="false" ht="66" hidden="false" customHeight="true" outlineLevel="0" collapsed="false">
      <c r="A64" s="291" t="str">
        <f aca="true">IF(ISNUMBER($J64),INDIRECT("L"&amp;($J64+4)),"")</f>
        <v/>
      </c>
      <c r="B64" s="291" t="str">
        <f aca="true">IF(ISNUMBER($J64),INDIRECT("M"&amp;($J64+4)),"")</f>
        <v/>
      </c>
      <c r="C64" s="296" t="str">
        <f aca="true">IF(ISNUMBER($J64),INDIRECT("N"&amp;($J64+4)),"")</f>
        <v/>
      </c>
      <c r="D64" s="291" t="str">
        <f aca="true">IF(ISNUMBER($J64),INDIRECT("O"&amp;($J64+4)),"")</f>
        <v/>
      </c>
      <c r="E64" s="291" t="str">
        <f aca="true">IF(ISNUMBER($J64),INDIRECT("P"&amp;($J64+4)),"")</f>
        <v/>
      </c>
      <c r="F64" s="300" t="str">
        <f aca="true">IF(ISNUMBER($J64),INDIRECT("Q"&amp;($J64+4)),"")</f>
        <v/>
      </c>
      <c r="G64" s="298" t="str">
        <f aca="true">IF(ISNUMBER($J64),INDIRECT("R"&amp;($J64+4)),"")</f>
        <v/>
      </c>
      <c r="H64" s="298" t="str">
        <f aca="true">IF(ISNUMBER($J64),INDIRECT("S"&amp;($J64+4)),"")</f>
        <v/>
      </c>
      <c r="J64" s="292" t="str">
        <f aca="true">IF(60&lt;=$K$1,MATCH(59.5,INDIRECT("$K$4:$K$1374"),1),"")</f>
        <v/>
      </c>
      <c r="K64" s="292" t="n">
        <f aca="false">COUNTIF($Q$5:Q64,"&gt;0")</f>
        <v>0</v>
      </c>
      <c r="L64" s="292" t="str">
        <f aca="false">"Кабели"</f>
        <v>Кабели</v>
      </c>
      <c r="M64" s="292" t="str">
        <f aca="false">IF(ISBLANK(Кабели!$A$65),"",Кабели!$A$65)</f>
        <v>BX79  силиконовый зарядный кабель для передачи данных IP</v>
      </c>
      <c r="N64" s="292" t="str">
        <f aca="false">IF(ISBLANK(Кабели!$D$66),"",Кабели!$D$66)</f>
        <v>6974443384758</v>
      </c>
      <c r="O64" s="292" t="str">
        <f aca="false">IF(ISBLANK(Кабели!$E$66),"",Кабели!$E$66)</f>
        <v>белый</v>
      </c>
      <c r="P64" s="292" t="str">
        <f aca="false">"ед."</f>
        <v>ед.</v>
      </c>
      <c r="Q64" s="292" t="n">
        <f aca="false">N(Кабели!$G$66)</f>
        <v>0</v>
      </c>
      <c r="R64" s="299" t="n">
        <f aca="false">IF(ISBLANK(Кабели!$F$66),"",Кабели!$F$66)</f>
        <v>87.66</v>
      </c>
      <c r="S64" s="292" t="str">
        <f aca="false">IF(ISBLANK(Кабели!$H$66),"",Кабели!$H$66)</f>
        <v/>
      </c>
    </row>
    <row r="65" customFormat="false" ht="66" hidden="false" customHeight="true" outlineLevel="0" collapsed="false">
      <c r="A65" s="291" t="str">
        <f aca="true">IF(ISNUMBER($J65),INDIRECT("L"&amp;($J65+4)),"")</f>
        <v/>
      </c>
      <c r="B65" s="291" t="str">
        <f aca="true">IF(ISNUMBER($J65),INDIRECT("M"&amp;($J65+4)),"")</f>
        <v/>
      </c>
      <c r="C65" s="296" t="str">
        <f aca="true">IF(ISNUMBER($J65),INDIRECT("N"&amp;($J65+4)),"")</f>
        <v/>
      </c>
      <c r="D65" s="291" t="str">
        <f aca="true">IF(ISNUMBER($J65),INDIRECT("O"&amp;($J65+4)),"")</f>
        <v/>
      </c>
      <c r="E65" s="291" t="str">
        <f aca="true">IF(ISNUMBER($J65),INDIRECT("P"&amp;($J65+4)),"")</f>
        <v/>
      </c>
      <c r="F65" s="300" t="str">
        <f aca="true">IF(ISNUMBER($J65),INDIRECT("Q"&amp;($J65+4)),"")</f>
        <v/>
      </c>
      <c r="G65" s="298" t="str">
        <f aca="true">IF(ISNUMBER($J65),INDIRECT("R"&amp;($J65+4)),"")</f>
        <v/>
      </c>
      <c r="H65" s="298" t="str">
        <f aca="true">IF(ISNUMBER($J65),INDIRECT("S"&amp;($J65+4)),"")</f>
        <v/>
      </c>
      <c r="J65" s="292" t="str">
        <f aca="true">IF(61&lt;=$K$1,MATCH(60.5,INDIRECT("$K$4:$K$1374"),1),"")</f>
        <v/>
      </c>
      <c r="K65" s="292" t="n">
        <f aca="false">COUNTIF($Q$5:Q65,"&gt;0")</f>
        <v>0</v>
      </c>
      <c r="L65" s="292" t="str">
        <f aca="false">"Кабели"</f>
        <v>Кабели</v>
      </c>
      <c r="M65" s="292" t="str">
        <f aca="false">IF(ISBLANK(Кабели!$A$67),"",Кабели!$A$67)</f>
        <v>BX79 силиконовый зарядный кабель для передачи данных Micro</v>
      </c>
      <c r="N65" s="292" t="str">
        <f aca="false">IF(ISBLANK(Кабели!$D$67),"",Кабели!$D$67)</f>
        <v>6974443384765</v>
      </c>
      <c r="O65" s="292" t="str">
        <f aca="false">IF(ISBLANK(Кабели!$E$67),"",Кабели!$E$67)</f>
        <v>черный</v>
      </c>
      <c r="P65" s="292" t="str">
        <f aca="false">"ед."</f>
        <v>ед.</v>
      </c>
      <c r="Q65" s="292" t="n">
        <f aca="false">N(Кабели!$G$67)</f>
        <v>0</v>
      </c>
      <c r="R65" s="299" t="n">
        <f aca="false">IF(ISBLANK(Кабели!$F$67),"",Кабели!$F$67)</f>
        <v>73.39</v>
      </c>
      <c r="S65" s="292" t="str">
        <f aca="false">IF(ISBLANK(Кабели!$H$67),"",Кабели!$H$67)</f>
        <v/>
      </c>
    </row>
    <row r="66" customFormat="false" ht="66" hidden="false" customHeight="true" outlineLevel="0" collapsed="false">
      <c r="A66" s="291" t="str">
        <f aca="true">IF(ISNUMBER($J66),INDIRECT("L"&amp;($J66+4)),"")</f>
        <v/>
      </c>
      <c r="B66" s="291" t="str">
        <f aca="true">IF(ISNUMBER($J66),INDIRECT("M"&amp;($J66+4)),"")</f>
        <v/>
      </c>
      <c r="C66" s="296" t="str">
        <f aca="true">IF(ISNUMBER($J66),INDIRECT("N"&amp;($J66+4)),"")</f>
        <v/>
      </c>
      <c r="D66" s="291" t="str">
        <f aca="true">IF(ISNUMBER($J66),INDIRECT("O"&amp;($J66+4)),"")</f>
        <v/>
      </c>
      <c r="E66" s="291" t="str">
        <f aca="true">IF(ISNUMBER($J66),INDIRECT("P"&amp;($J66+4)),"")</f>
        <v/>
      </c>
      <c r="F66" s="300" t="str">
        <f aca="true">IF(ISNUMBER($J66),INDIRECT("Q"&amp;($J66+4)),"")</f>
        <v/>
      </c>
      <c r="G66" s="298" t="str">
        <f aca="true">IF(ISNUMBER($J66),INDIRECT("R"&amp;($J66+4)),"")</f>
        <v/>
      </c>
      <c r="H66" s="298" t="str">
        <f aca="true">IF(ISNUMBER($J66),INDIRECT("S"&amp;($J66+4)),"")</f>
        <v/>
      </c>
      <c r="J66" s="292" t="str">
        <f aca="true">IF(62&lt;=$K$1,MATCH(61.5,INDIRECT("$K$4:$K$1374"),1),"")</f>
        <v/>
      </c>
      <c r="K66" s="292" t="n">
        <f aca="false">COUNTIF($Q$5:Q66,"&gt;0")</f>
        <v>0</v>
      </c>
      <c r="L66" s="292" t="str">
        <f aca="false">"Кабели"</f>
        <v>Кабели</v>
      </c>
      <c r="M66" s="292" t="str">
        <f aca="false">IF(ISBLANK(Кабели!$A$67),"",Кабели!$A$67)</f>
        <v>BX79 силиконовый зарядный кабель для передачи данных Micro</v>
      </c>
      <c r="N66" s="292" t="str">
        <f aca="false">IF(ISBLANK(Кабели!$D$68),"",Кабели!$D$68)</f>
        <v>6974443384772</v>
      </c>
      <c r="O66" s="292" t="str">
        <f aca="false">IF(ISBLANK(Кабели!$E$68),"",Кабели!$E$68)</f>
        <v>белый</v>
      </c>
      <c r="P66" s="292" t="str">
        <f aca="false">"ед."</f>
        <v>ед.</v>
      </c>
      <c r="Q66" s="292" t="n">
        <f aca="false">N(Кабели!$G$68)</f>
        <v>0</v>
      </c>
      <c r="R66" s="299" t="n">
        <f aca="false">IF(ISBLANK(Кабели!$F$68),"",Кабели!$F$68)</f>
        <v>73.39</v>
      </c>
      <c r="S66" s="292" t="str">
        <f aca="false">IF(ISBLANK(Кабели!$H$68),"",Кабели!$H$68)</f>
        <v/>
      </c>
    </row>
    <row r="67" customFormat="false" ht="66" hidden="false" customHeight="true" outlineLevel="0" collapsed="false">
      <c r="A67" s="291" t="str">
        <f aca="true">IF(ISNUMBER($J67),INDIRECT("L"&amp;($J67+4)),"")</f>
        <v/>
      </c>
      <c r="B67" s="291" t="str">
        <f aca="true">IF(ISNUMBER($J67),INDIRECT("M"&amp;($J67+4)),"")</f>
        <v/>
      </c>
      <c r="C67" s="296" t="str">
        <f aca="true">IF(ISNUMBER($J67),INDIRECT("N"&amp;($J67+4)),"")</f>
        <v/>
      </c>
      <c r="D67" s="291" t="str">
        <f aca="true">IF(ISNUMBER($J67),INDIRECT("O"&amp;($J67+4)),"")</f>
        <v/>
      </c>
      <c r="E67" s="291" t="str">
        <f aca="true">IF(ISNUMBER($J67),INDIRECT("P"&amp;($J67+4)),"")</f>
        <v/>
      </c>
      <c r="F67" s="300" t="str">
        <f aca="true">IF(ISNUMBER($J67),INDIRECT("Q"&amp;($J67+4)),"")</f>
        <v/>
      </c>
      <c r="G67" s="298" t="str">
        <f aca="true">IF(ISNUMBER($J67),INDIRECT("R"&amp;($J67+4)),"")</f>
        <v/>
      </c>
      <c r="H67" s="298" t="str">
        <f aca="true">IF(ISNUMBER($J67),INDIRECT("S"&amp;($J67+4)),"")</f>
        <v/>
      </c>
      <c r="J67" s="292" t="str">
        <f aca="true">IF(63&lt;=$K$1,MATCH(62.5,INDIRECT("$K$4:$K$1374"),1),"")</f>
        <v/>
      </c>
      <c r="K67" s="292" t="n">
        <f aca="false">COUNTIF($Q$5:Q67,"&gt;0")</f>
        <v>0</v>
      </c>
      <c r="L67" s="292" t="str">
        <f aca="false">"Кабели"</f>
        <v>Кабели</v>
      </c>
      <c r="M67" s="292" t="str">
        <f aca="false">IF(ISBLANK(Кабели!$A$69),"",Кабели!$A$69)</f>
        <v>BX79  силиконовый зарядный кабель для передачи данных Type-C</v>
      </c>
      <c r="N67" s="292" t="str">
        <f aca="false">IF(ISBLANK(Кабели!$D$69),"",Кабели!$D$69)</f>
        <v>6974443384789</v>
      </c>
      <c r="O67" s="292" t="str">
        <f aca="false">IF(ISBLANK(Кабели!$E$69),"",Кабели!$E$69)</f>
        <v>черный</v>
      </c>
      <c r="P67" s="292" t="str">
        <f aca="false">"ед."</f>
        <v>ед.</v>
      </c>
      <c r="Q67" s="292" t="n">
        <f aca="false">N(Кабели!$G$69)</f>
        <v>0</v>
      </c>
      <c r="R67" s="299" t="n">
        <f aca="false">IF(ISBLANK(Кабели!$F$69),"",Кабели!$F$69)</f>
        <v>83.59</v>
      </c>
      <c r="S67" s="292" t="str">
        <f aca="false">IF(ISBLANK(Кабели!$H$69),"",Кабели!$H$69)</f>
        <v/>
      </c>
    </row>
    <row r="68" customFormat="false" ht="66" hidden="false" customHeight="true" outlineLevel="0" collapsed="false">
      <c r="A68" s="291" t="str">
        <f aca="true">IF(ISNUMBER($J68),INDIRECT("L"&amp;($J68+4)),"")</f>
        <v/>
      </c>
      <c r="B68" s="291" t="str">
        <f aca="true">IF(ISNUMBER($J68),INDIRECT("M"&amp;($J68+4)),"")</f>
        <v/>
      </c>
      <c r="C68" s="296" t="str">
        <f aca="true">IF(ISNUMBER($J68),INDIRECT("N"&amp;($J68+4)),"")</f>
        <v/>
      </c>
      <c r="D68" s="291" t="str">
        <f aca="true">IF(ISNUMBER($J68),INDIRECT("O"&amp;($J68+4)),"")</f>
        <v/>
      </c>
      <c r="E68" s="291" t="str">
        <f aca="true">IF(ISNUMBER($J68),INDIRECT("P"&amp;($J68+4)),"")</f>
        <v/>
      </c>
      <c r="F68" s="300" t="str">
        <f aca="true">IF(ISNUMBER($J68),INDIRECT("Q"&amp;($J68+4)),"")</f>
        <v/>
      </c>
      <c r="G68" s="298" t="str">
        <f aca="true">IF(ISNUMBER($J68),INDIRECT("R"&amp;($J68+4)),"")</f>
        <v/>
      </c>
      <c r="H68" s="298" t="str">
        <f aca="true">IF(ISNUMBER($J68),INDIRECT("S"&amp;($J68+4)),"")</f>
        <v/>
      </c>
      <c r="J68" s="292" t="str">
        <f aca="true">IF(64&lt;=$K$1,MATCH(63.5,INDIRECT("$K$4:$K$1374"),1),"")</f>
        <v/>
      </c>
      <c r="K68" s="292" t="n">
        <f aca="false">COUNTIF($Q$5:Q68,"&gt;0")</f>
        <v>0</v>
      </c>
      <c r="L68" s="292" t="str">
        <f aca="false">"Кабели"</f>
        <v>Кабели</v>
      </c>
      <c r="M68" s="292" t="str">
        <f aca="false">IF(ISBLANK(Кабели!$A$69),"",Кабели!$A$69)</f>
        <v>BX79  силиконовый зарядный кабель для передачи данных Type-C</v>
      </c>
      <c r="N68" s="292" t="str">
        <f aca="false">IF(ISBLANK(Кабели!$D$70),"",Кабели!$D$70)</f>
        <v>6974443384796</v>
      </c>
      <c r="O68" s="292" t="str">
        <f aca="false">IF(ISBLANK(Кабели!$E$70),"",Кабели!$E$70)</f>
        <v>белый</v>
      </c>
      <c r="P68" s="292" t="str">
        <f aca="false">"ед."</f>
        <v>ед.</v>
      </c>
      <c r="Q68" s="292" t="n">
        <f aca="false">N(Кабели!$G$70)</f>
        <v>0</v>
      </c>
      <c r="R68" s="299" t="n">
        <f aca="false">IF(ISBLANK(Кабели!$F$70),"",Кабели!$F$70)</f>
        <v>83.59</v>
      </c>
      <c r="S68" s="292" t="str">
        <f aca="false">IF(ISBLANK(Кабели!$H$70),"",Кабели!$H$70)</f>
        <v/>
      </c>
    </row>
    <row r="69" customFormat="false" ht="66" hidden="false" customHeight="true" outlineLevel="0" collapsed="false">
      <c r="A69" s="291" t="str">
        <f aca="true">IF(ISNUMBER($J69),INDIRECT("L"&amp;($J69+4)),"")</f>
        <v/>
      </c>
      <c r="B69" s="291" t="str">
        <f aca="true">IF(ISNUMBER($J69),INDIRECT("M"&amp;($J69+4)),"")</f>
        <v/>
      </c>
      <c r="C69" s="296" t="str">
        <f aca="true">IF(ISNUMBER($J69),INDIRECT("N"&amp;($J69+4)),"")</f>
        <v/>
      </c>
      <c r="D69" s="291" t="str">
        <f aca="true">IF(ISNUMBER($J69),INDIRECT("O"&amp;($J69+4)),"")</f>
        <v/>
      </c>
      <c r="E69" s="291" t="str">
        <f aca="true">IF(ISNUMBER($J69),INDIRECT("P"&amp;($J69+4)),"")</f>
        <v/>
      </c>
      <c r="F69" s="300" t="str">
        <f aca="true">IF(ISNUMBER($J69),INDIRECT("Q"&amp;($J69+4)),"")</f>
        <v/>
      </c>
      <c r="G69" s="298" t="str">
        <f aca="true">IF(ISNUMBER($J69),INDIRECT("R"&amp;($J69+4)),"")</f>
        <v/>
      </c>
      <c r="H69" s="298" t="str">
        <f aca="true">IF(ISNUMBER($J69),INDIRECT("S"&amp;($J69+4)),"")</f>
        <v/>
      </c>
      <c r="J69" s="292" t="str">
        <f aca="true">IF(65&lt;=$K$1,MATCH(64.5,INDIRECT("$K$4:$K$1374"),1),"")</f>
        <v/>
      </c>
      <c r="K69" s="292" t="n">
        <f aca="false">COUNTIF($Q$5:Q69,"&gt;0")</f>
        <v>0</v>
      </c>
      <c r="L69" s="292" t="str">
        <f aca="false">"Кабели"</f>
        <v>Кабели</v>
      </c>
      <c r="M69" s="292" t="str">
        <f aca="false">IF(ISBLANK(Кабели!$A$71),"",Кабели!$A$71)</f>
        <v>BX31 Soft silicone силиконовый зарядный дата кабель для iP</v>
      </c>
      <c r="N69" s="292" t="str">
        <f aca="false">IF(ISBLANK(Кабели!$D$71),"",Кабели!$D$71)</f>
        <v>6931474710352</v>
      </c>
      <c r="O69" s="292" t="str">
        <f aca="false">IF(ISBLANK(Кабели!$E$71),"",Кабели!$E$71)</f>
        <v>черный</v>
      </c>
      <c r="P69" s="292" t="str">
        <f aca="false">"ед."</f>
        <v>ед.</v>
      </c>
      <c r="Q69" s="292" t="n">
        <f aca="false">N(Кабели!$G$71)</f>
        <v>0</v>
      </c>
      <c r="R69" s="299" t="n">
        <f aca="false">IF(ISBLANK(Кабели!$F$71),"",Кабели!$F$71)</f>
        <v>146.78</v>
      </c>
      <c r="S69" s="292" t="str">
        <f aca="false">IF(ISBLANK(Кабели!$H$71),"",Кабели!$H$71)</f>
        <v/>
      </c>
    </row>
    <row r="70" customFormat="false" ht="66" hidden="false" customHeight="true" outlineLevel="0" collapsed="false">
      <c r="A70" s="291" t="str">
        <f aca="true">IF(ISNUMBER($J70),INDIRECT("L"&amp;($J70+4)),"")</f>
        <v/>
      </c>
      <c r="B70" s="291" t="str">
        <f aca="true">IF(ISNUMBER($J70),INDIRECT("M"&amp;($J70+4)),"")</f>
        <v/>
      </c>
      <c r="C70" s="296" t="str">
        <f aca="true">IF(ISNUMBER($J70),INDIRECT("N"&amp;($J70+4)),"")</f>
        <v/>
      </c>
      <c r="D70" s="291" t="str">
        <f aca="true">IF(ISNUMBER($J70),INDIRECT("O"&amp;($J70+4)),"")</f>
        <v/>
      </c>
      <c r="E70" s="291" t="str">
        <f aca="true">IF(ISNUMBER($J70),INDIRECT("P"&amp;($J70+4)),"")</f>
        <v/>
      </c>
      <c r="F70" s="300" t="str">
        <f aca="true">IF(ISNUMBER($J70),INDIRECT("Q"&amp;($J70+4)),"")</f>
        <v/>
      </c>
      <c r="G70" s="298" t="str">
        <f aca="true">IF(ISNUMBER($J70),INDIRECT("R"&amp;($J70+4)),"")</f>
        <v/>
      </c>
      <c r="H70" s="298" t="str">
        <f aca="true">IF(ISNUMBER($J70),INDIRECT("S"&amp;($J70+4)),"")</f>
        <v/>
      </c>
      <c r="J70" s="292" t="str">
        <f aca="true">IF(66&lt;=$K$1,MATCH(65.5,INDIRECT("$K$4:$K$1374"),1),"")</f>
        <v/>
      </c>
      <c r="K70" s="292" t="n">
        <f aca="false">COUNTIF($Q$5:Q70,"&gt;0")</f>
        <v>0</v>
      </c>
      <c r="L70" s="292" t="str">
        <f aca="false">"Кабели"</f>
        <v>Кабели</v>
      </c>
      <c r="M70" s="292" t="str">
        <f aca="false">IF(ISBLANK(Кабели!$A$71),"",Кабели!$A$71)</f>
        <v>BX31 Soft silicone силиконовый зарядный дата кабель для iP</v>
      </c>
      <c r="N70" s="292" t="str">
        <f aca="false">IF(ISBLANK(Кабели!$D$72),"",Кабели!$D$72)</f>
        <v>6931474710369</v>
      </c>
      <c r="O70" s="292" t="str">
        <f aca="false">IF(ISBLANK(Кабели!$E$72),"",Кабели!$E$72)</f>
        <v>белый</v>
      </c>
      <c r="P70" s="292" t="str">
        <f aca="false">"ед."</f>
        <v>ед.</v>
      </c>
      <c r="Q70" s="292" t="n">
        <f aca="false">N(Кабели!$G$72)</f>
        <v>0</v>
      </c>
      <c r="R70" s="299" t="n">
        <f aca="false">IF(ISBLANK(Кабели!$F$72),"",Кабели!$F$72)</f>
        <v>146.78</v>
      </c>
      <c r="S70" s="292" t="str">
        <f aca="false">IF(ISBLANK(Кабели!$H$72),"",Кабели!$H$72)</f>
        <v/>
      </c>
    </row>
    <row r="71" customFormat="false" ht="66" hidden="false" customHeight="true" outlineLevel="0" collapsed="false">
      <c r="A71" s="291" t="str">
        <f aca="true">IF(ISNUMBER($J71),INDIRECT("L"&amp;($J71+4)),"")</f>
        <v/>
      </c>
      <c r="B71" s="291" t="str">
        <f aca="true">IF(ISNUMBER($J71),INDIRECT("M"&amp;($J71+4)),"")</f>
        <v/>
      </c>
      <c r="C71" s="296" t="str">
        <f aca="true">IF(ISNUMBER($J71),INDIRECT("N"&amp;($J71+4)),"")</f>
        <v/>
      </c>
      <c r="D71" s="291" t="str">
        <f aca="true">IF(ISNUMBER($J71),INDIRECT("O"&amp;($J71+4)),"")</f>
        <v/>
      </c>
      <c r="E71" s="291" t="str">
        <f aca="true">IF(ISNUMBER($J71),INDIRECT("P"&amp;($J71+4)),"")</f>
        <v/>
      </c>
      <c r="F71" s="300" t="str">
        <f aca="true">IF(ISNUMBER($J71),INDIRECT("Q"&amp;($J71+4)),"")</f>
        <v/>
      </c>
      <c r="G71" s="298" t="str">
        <f aca="true">IF(ISNUMBER($J71),INDIRECT("R"&amp;($J71+4)),"")</f>
        <v/>
      </c>
      <c r="H71" s="298" t="str">
        <f aca="true">IF(ISNUMBER($J71),INDIRECT("S"&amp;($J71+4)),"")</f>
        <v/>
      </c>
      <c r="J71" s="292" t="str">
        <f aca="true">IF(67&lt;=$K$1,MATCH(66.5,INDIRECT("$K$4:$K$1374"),1),"")</f>
        <v/>
      </c>
      <c r="K71" s="292" t="n">
        <f aca="false">COUNTIF($Q$5:Q71,"&gt;0")</f>
        <v>0</v>
      </c>
      <c r="L71" s="292" t="str">
        <f aca="false">"Кабели"</f>
        <v>Кабели</v>
      </c>
      <c r="M71" s="292" t="str">
        <f aca="false">IF(ISBLANK(Кабели!$A$73),"",Кабели!$A$73)</f>
        <v>BX31 Soft silicone силиконовый зарядный дата кабель для Micro-USB</v>
      </c>
      <c r="N71" s="292" t="str">
        <f aca="false">IF(ISBLANK(Кабели!$D$73),"",Кабели!$D$73)</f>
        <v>6931474710383</v>
      </c>
      <c r="O71" s="292" t="str">
        <f aca="false">IF(ISBLANK(Кабели!$E$73),"",Кабели!$E$73)</f>
        <v>белый</v>
      </c>
      <c r="P71" s="292" t="str">
        <f aca="false">"ед."</f>
        <v>ед.</v>
      </c>
      <c r="Q71" s="292" t="n">
        <f aca="false">N(Кабели!$G$73)</f>
        <v>0</v>
      </c>
      <c r="R71" s="299" t="n">
        <f aca="false">IF(ISBLANK(Кабели!$F$73),"",Кабели!$F$73)</f>
        <v>138.63</v>
      </c>
      <c r="S71" s="292" t="str">
        <f aca="false">IF(ISBLANK(Кабели!$H$73),"",Кабели!$H$73)</f>
        <v/>
      </c>
    </row>
    <row r="72" customFormat="false" ht="66" hidden="false" customHeight="true" outlineLevel="0" collapsed="false">
      <c r="A72" s="291" t="str">
        <f aca="true">IF(ISNUMBER($J72),INDIRECT("L"&amp;($J72+4)),"")</f>
        <v/>
      </c>
      <c r="B72" s="291" t="str">
        <f aca="true">IF(ISNUMBER($J72),INDIRECT("M"&amp;($J72+4)),"")</f>
        <v/>
      </c>
      <c r="C72" s="296" t="str">
        <f aca="true">IF(ISNUMBER($J72),INDIRECT("N"&amp;($J72+4)),"")</f>
        <v/>
      </c>
      <c r="D72" s="291" t="str">
        <f aca="true">IF(ISNUMBER($J72),INDIRECT("O"&amp;($J72+4)),"")</f>
        <v/>
      </c>
      <c r="E72" s="291" t="str">
        <f aca="true">IF(ISNUMBER($J72),INDIRECT("P"&amp;($J72+4)),"")</f>
        <v/>
      </c>
      <c r="F72" s="300" t="str">
        <f aca="true">IF(ISNUMBER($J72),INDIRECT("Q"&amp;($J72+4)),"")</f>
        <v/>
      </c>
      <c r="G72" s="298" t="str">
        <f aca="true">IF(ISNUMBER($J72),INDIRECT("R"&amp;($J72+4)),"")</f>
        <v/>
      </c>
      <c r="H72" s="298" t="str">
        <f aca="true">IF(ISNUMBER($J72),INDIRECT("S"&amp;($J72+4)),"")</f>
        <v/>
      </c>
      <c r="J72" s="292" t="str">
        <f aca="true">IF(68&lt;=$K$1,MATCH(67.5,INDIRECT("$K$4:$K$1374"),1),"")</f>
        <v/>
      </c>
      <c r="K72" s="292" t="n">
        <f aca="false">COUNTIF($Q$5:Q72,"&gt;0")</f>
        <v>0</v>
      </c>
      <c r="L72" s="292" t="str">
        <f aca="false">"Кабели"</f>
        <v>Кабели</v>
      </c>
      <c r="M72" s="292" t="str">
        <f aca="false">IF(ISBLANK(Кабели!$A$74),"",Кабели!$A$74)</f>
        <v>BX31 Soft silicone силиконовый зарядный дата кабель для Type-C</v>
      </c>
      <c r="N72" s="292" t="str">
        <f aca="false">IF(ISBLANK(Кабели!$D$74),"",Кабели!$D$74)</f>
        <v>6931474710390</v>
      </c>
      <c r="O72" s="292" t="str">
        <f aca="false">IF(ISBLANK(Кабели!$E$74),"",Кабели!$E$74)</f>
        <v>черный</v>
      </c>
      <c r="P72" s="292" t="str">
        <f aca="false">"ед."</f>
        <v>ед.</v>
      </c>
      <c r="Q72" s="292" t="n">
        <f aca="false">N(Кабели!$G$74)</f>
        <v>0</v>
      </c>
      <c r="R72" s="299" t="n">
        <f aca="false">IF(ISBLANK(Кабели!$F$74),"",Кабели!$F$74)</f>
        <v>146.78</v>
      </c>
      <c r="S72" s="292" t="str">
        <f aca="false">IF(ISBLANK(Кабели!$H$74),"",Кабели!$H$74)</f>
        <v/>
      </c>
    </row>
    <row r="73" customFormat="false" ht="66" hidden="false" customHeight="true" outlineLevel="0" collapsed="false">
      <c r="A73" s="291" t="str">
        <f aca="true">IF(ISNUMBER($J73),INDIRECT("L"&amp;($J73+4)),"")</f>
        <v/>
      </c>
      <c r="B73" s="291" t="str">
        <f aca="true">IF(ISNUMBER($J73),INDIRECT("M"&amp;($J73+4)),"")</f>
        <v/>
      </c>
      <c r="C73" s="296" t="str">
        <f aca="true">IF(ISNUMBER($J73),INDIRECT("N"&amp;($J73+4)),"")</f>
        <v/>
      </c>
      <c r="D73" s="291" t="str">
        <f aca="true">IF(ISNUMBER($J73),INDIRECT("O"&amp;($J73+4)),"")</f>
        <v/>
      </c>
      <c r="E73" s="291" t="str">
        <f aca="true">IF(ISNUMBER($J73),INDIRECT("P"&amp;($J73+4)),"")</f>
        <v/>
      </c>
      <c r="F73" s="300" t="str">
        <f aca="true">IF(ISNUMBER($J73),INDIRECT("Q"&amp;($J73+4)),"")</f>
        <v/>
      </c>
      <c r="G73" s="298" t="str">
        <f aca="true">IF(ISNUMBER($J73),INDIRECT("R"&amp;($J73+4)),"")</f>
        <v/>
      </c>
      <c r="H73" s="298" t="str">
        <f aca="true">IF(ISNUMBER($J73),INDIRECT("S"&amp;($J73+4)),"")</f>
        <v/>
      </c>
      <c r="J73" s="292" t="str">
        <f aca="true">IF(69&lt;=$K$1,MATCH(68.5,INDIRECT("$K$4:$K$1374"),1),"")</f>
        <v/>
      </c>
      <c r="K73" s="292" t="n">
        <f aca="false">COUNTIF($Q$5:Q73,"&gt;0")</f>
        <v>0</v>
      </c>
      <c r="L73" s="292" t="str">
        <f aca="false">"Кабели"</f>
        <v>Кабели</v>
      </c>
      <c r="M73" s="292" t="str">
        <f aca="false">IF(ISBLANK(Кабели!$A$74),"",Кабели!$A$74)</f>
        <v>BX31 Soft silicone силиконовый зарядный дата кабель для Type-C</v>
      </c>
      <c r="N73" s="292" t="str">
        <f aca="false">IF(ISBLANK(Кабели!$D$75),"",Кабели!$D$75)</f>
        <v>6931474710406</v>
      </c>
      <c r="O73" s="292" t="str">
        <f aca="false">IF(ISBLANK(Кабели!$E$75),"",Кабели!$E$75)</f>
        <v>белый</v>
      </c>
      <c r="P73" s="292" t="str">
        <f aca="false">"ед."</f>
        <v>ед.</v>
      </c>
      <c r="Q73" s="292" t="n">
        <f aca="false">N(Кабели!$G$75)</f>
        <v>0</v>
      </c>
      <c r="R73" s="299" t="n">
        <f aca="false">IF(ISBLANK(Кабели!$F$75),"",Кабели!$F$75)</f>
        <v>146.78</v>
      </c>
      <c r="S73" s="292" t="str">
        <f aca="false">IF(ISBLANK(Кабели!$H$75),"",Кабели!$H$75)</f>
        <v/>
      </c>
    </row>
    <row r="74" customFormat="false" ht="66" hidden="false" customHeight="true" outlineLevel="0" collapsed="false">
      <c r="A74" s="291" t="str">
        <f aca="true">IF(ISNUMBER($J74),INDIRECT("L"&amp;($J74+4)),"")</f>
        <v/>
      </c>
      <c r="B74" s="291" t="str">
        <f aca="true">IF(ISNUMBER($J74),INDIRECT("M"&amp;($J74+4)),"")</f>
        <v/>
      </c>
      <c r="C74" s="296" t="str">
        <f aca="true">IF(ISNUMBER($J74),INDIRECT("N"&amp;($J74+4)),"")</f>
        <v/>
      </c>
      <c r="D74" s="291" t="str">
        <f aca="true">IF(ISNUMBER($J74),INDIRECT("O"&amp;($J74+4)),"")</f>
        <v/>
      </c>
      <c r="E74" s="291" t="str">
        <f aca="true">IF(ISNUMBER($J74),INDIRECT("P"&amp;($J74+4)),"")</f>
        <v/>
      </c>
      <c r="F74" s="300" t="str">
        <f aca="true">IF(ISNUMBER($J74),INDIRECT("Q"&amp;($J74+4)),"")</f>
        <v/>
      </c>
      <c r="G74" s="298" t="str">
        <f aca="true">IF(ISNUMBER($J74),INDIRECT("R"&amp;($J74+4)),"")</f>
        <v/>
      </c>
      <c r="H74" s="298" t="str">
        <f aca="true">IF(ISNUMBER($J74),INDIRECT("S"&amp;($J74+4)),"")</f>
        <v/>
      </c>
      <c r="J74" s="292" t="str">
        <f aca="true">IF(70&lt;=$K$1,MATCH(69.5,INDIRECT("$K$4:$K$1374"),1),"")</f>
        <v/>
      </c>
      <c r="K74" s="292" t="n">
        <f aca="false">COUNTIF($Q$5:Q74,"&gt;0")</f>
        <v>0</v>
      </c>
      <c r="L74" s="292" t="str">
        <f aca="false">"Кабели"</f>
        <v>Кабели</v>
      </c>
      <c r="M74" s="292" t="str">
        <f aca="false">IF(ISBLANK(Кабели!$A$78),"",Кабели!$A$78)</f>
        <v>BX127 iP Regalo PD30W зарядный дата кабель (20шт/банка)</v>
      </c>
      <c r="N74" s="292" t="str">
        <f aca="false">IF(ISBLANK(Кабели!$D$78),"",Кабели!$D$78)</f>
        <v>6941991129766</v>
      </c>
      <c r="O74" s="292" t="str">
        <f aca="false">IF(ISBLANK(Кабели!$E$78),"",Кабели!$E$78)</f>
        <v>белый</v>
      </c>
      <c r="P74" s="292" t="str">
        <f aca="false">"ед."</f>
        <v>ед.</v>
      </c>
      <c r="Q74" s="292" t="n">
        <f aca="false">N(Кабели!$G$78)</f>
        <v>0</v>
      </c>
      <c r="R74" s="299" t="n">
        <f aca="false">IF(ISBLANK(Кабели!$F$78),"",Кабели!$F$78)</f>
        <v>43.22</v>
      </c>
      <c r="S74" s="292" t="str">
        <f aca="false">IF(ISBLANK(Кабели!$H$78),"",Кабели!$H$78)</f>
        <v/>
      </c>
    </row>
    <row r="75" customFormat="false" ht="66" hidden="false" customHeight="true" outlineLevel="0" collapsed="false">
      <c r="A75" s="291" t="str">
        <f aca="true">IF(ISNUMBER($J75),INDIRECT("L"&amp;($J75+4)),"")</f>
        <v/>
      </c>
      <c r="B75" s="291" t="str">
        <f aca="true">IF(ISNUMBER($J75),INDIRECT("M"&amp;($J75+4)),"")</f>
        <v/>
      </c>
      <c r="C75" s="296" t="str">
        <f aca="true">IF(ISNUMBER($J75),INDIRECT("N"&amp;($J75+4)),"")</f>
        <v/>
      </c>
      <c r="D75" s="291" t="str">
        <f aca="true">IF(ISNUMBER($J75),INDIRECT("O"&amp;($J75+4)),"")</f>
        <v/>
      </c>
      <c r="E75" s="291" t="str">
        <f aca="true">IF(ISNUMBER($J75),INDIRECT("P"&amp;($J75+4)),"")</f>
        <v/>
      </c>
      <c r="F75" s="300" t="str">
        <f aca="true">IF(ISNUMBER($J75),INDIRECT("Q"&amp;($J75+4)),"")</f>
        <v/>
      </c>
      <c r="G75" s="298" t="str">
        <f aca="true">IF(ISNUMBER($J75),INDIRECT("R"&amp;($J75+4)),"")</f>
        <v/>
      </c>
      <c r="H75" s="298" t="str">
        <f aca="true">IF(ISNUMBER($J75),INDIRECT("S"&amp;($J75+4)),"")</f>
        <v/>
      </c>
      <c r="J75" s="292" t="str">
        <f aca="true">IF(71&lt;=$K$1,MATCH(70.5,INDIRECT("$K$4:$K$1374"),1),"")</f>
        <v/>
      </c>
      <c r="K75" s="292" t="n">
        <f aca="false">COUNTIF($Q$5:Q75,"&gt;0")</f>
        <v>0</v>
      </c>
      <c r="L75" s="292" t="str">
        <f aca="false">"Кабели"</f>
        <v>Кабели</v>
      </c>
      <c r="M75" s="292" t="str">
        <f aca="false">IF(ISBLANK(Кабели!$A$79),"",Кабели!$A$79)</f>
        <v>BX127 C на C Regalo 60W зарядный дата кабель (20шт/банка)</v>
      </c>
      <c r="N75" s="292" t="str">
        <f aca="false">IF(ISBLANK(Кабели!$D$79),"",Кабели!$D$79)</f>
        <v>6941991129803</v>
      </c>
      <c r="O75" s="292" t="str">
        <f aca="false">IF(ISBLANK(Кабели!$E$79),"",Кабели!$E$79)</f>
        <v>белый</v>
      </c>
      <c r="P75" s="292" t="str">
        <f aca="false">"ед."</f>
        <v>ед.</v>
      </c>
      <c r="Q75" s="292" t="n">
        <f aca="false">N(Кабели!$G$79)</f>
        <v>0</v>
      </c>
      <c r="R75" s="299" t="n">
        <f aca="false">IF(ISBLANK(Кабели!$F$79),"",Кабели!$F$79)</f>
        <v>31.4</v>
      </c>
      <c r="S75" s="292" t="str">
        <f aca="false">IF(ISBLANK(Кабели!$H$79),"",Кабели!$H$79)</f>
        <v/>
      </c>
    </row>
    <row r="76" customFormat="false" ht="66" hidden="false" customHeight="true" outlineLevel="0" collapsed="false">
      <c r="A76" s="291" t="str">
        <f aca="true">IF(ISNUMBER($J76),INDIRECT("L"&amp;($J76+4)),"")</f>
        <v/>
      </c>
      <c r="B76" s="291" t="str">
        <f aca="true">IF(ISNUMBER($J76),INDIRECT("M"&amp;($J76+4)),"")</f>
        <v/>
      </c>
      <c r="C76" s="296" t="str">
        <f aca="true">IF(ISNUMBER($J76),INDIRECT("N"&amp;($J76+4)),"")</f>
        <v/>
      </c>
      <c r="D76" s="291" t="str">
        <f aca="true">IF(ISNUMBER($J76),INDIRECT("O"&amp;($J76+4)),"")</f>
        <v/>
      </c>
      <c r="E76" s="291" t="str">
        <f aca="true">IF(ISNUMBER($J76),INDIRECT("P"&amp;($J76+4)),"")</f>
        <v/>
      </c>
      <c r="F76" s="300" t="str">
        <f aca="true">IF(ISNUMBER($J76),INDIRECT("Q"&amp;($J76+4)),"")</f>
        <v/>
      </c>
      <c r="G76" s="298" t="str">
        <f aca="true">IF(ISNUMBER($J76),INDIRECT("R"&amp;($J76+4)),"")</f>
        <v/>
      </c>
      <c r="H76" s="298" t="str">
        <f aca="true">IF(ISNUMBER($J76),INDIRECT("S"&amp;($J76+4)),"")</f>
        <v/>
      </c>
      <c r="J76" s="292" t="str">
        <f aca="true">IF(72&lt;=$K$1,MATCH(71.5,INDIRECT("$K$4:$K$1374"),1),"")</f>
        <v/>
      </c>
      <c r="K76" s="292" t="n">
        <f aca="false">COUNTIF($Q$5:Q76,"&gt;0")</f>
        <v>0</v>
      </c>
      <c r="L76" s="292" t="str">
        <f aca="false">"Кабели"</f>
        <v>Кабели</v>
      </c>
      <c r="M76" s="292" t="str">
        <f aca="false">IF(ISBLANK(Кабели!$A$80),"",Кабели!$A$80)</f>
        <v>BX127 iP Regalo зарядный дата кабель (20шт/банка)</v>
      </c>
      <c r="N76" s="292" t="str">
        <f aca="false">IF(ISBLANK(Кабели!$D$80),"",Кабели!$D$80)</f>
        <v>6941991129773</v>
      </c>
      <c r="O76" s="292" t="str">
        <f aca="false">IF(ISBLANK(Кабели!$E$80),"",Кабели!$E$80)</f>
        <v>белый</v>
      </c>
      <c r="P76" s="292" t="str">
        <f aca="false">"ед."</f>
        <v>ед.</v>
      </c>
      <c r="Q76" s="292" t="n">
        <f aca="false">N(Кабели!$G$80)</f>
        <v>0</v>
      </c>
      <c r="R76" s="299" t="n">
        <f aca="false">IF(ISBLANK(Кабели!$F$80),"",Кабели!$F$80)</f>
        <v>31.4</v>
      </c>
      <c r="S76" s="292" t="str">
        <f aca="false">IF(ISBLANK(Кабели!$H$80),"",Кабели!$H$80)</f>
        <v/>
      </c>
    </row>
    <row r="77" customFormat="false" ht="66" hidden="false" customHeight="true" outlineLevel="0" collapsed="false">
      <c r="A77" s="291" t="str">
        <f aca="true">IF(ISNUMBER($J77),INDIRECT("L"&amp;($J77+4)),"")</f>
        <v/>
      </c>
      <c r="B77" s="291" t="str">
        <f aca="true">IF(ISNUMBER($J77),INDIRECT("M"&amp;($J77+4)),"")</f>
        <v/>
      </c>
      <c r="C77" s="296" t="str">
        <f aca="true">IF(ISNUMBER($J77),INDIRECT("N"&amp;($J77+4)),"")</f>
        <v/>
      </c>
      <c r="D77" s="291" t="str">
        <f aca="true">IF(ISNUMBER($J77),INDIRECT("O"&amp;($J77+4)),"")</f>
        <v/>
      </c>
      <c r="E77" s="291" t="str">
        <f aca="true">IF(ISNUMBER($J77),INDIRECT("P"&amp;($J77+4)),"")</f>
        <v/>
      </c>
      <c r="F77" s="300" t="str">
        <f aca="true">IF(ISNUMBER($J77),INDIRECT("Q"&amp;($J77+4)),"")</f>
        <v/>
      </c>
      <c r="G77" s="298" t="str">
        <f aca="true">IF(ISNUMBER($J77),INDIRECT("R"&amp;($J77+4)),"")</f>
        <v/>
      </c>
      <c r="H77" s="298" t="str">
        <f aca="true">IF(ISNUMBER($J77),INDIRECT("S"&amp;($J77+4)),"")</f>
        <v/>
      </c>
      <c r="J77" s="292" t="str">
        <f aca="true">IF(73&lt;=$K$1,MATCH(72.5,INDIRECT("$K$4:$K$1374"),1),"")</f>
        <v/>
      </c>
      <c r="K77" s="292" t="n">
        <f aca="false">COUNTIF($Q$5:Q77,"&gt;0")</f>
        <v>0</v>
      </c>
      <c r="L77" s="292" t="str">
        <f aca="false">"Кабели"</f>
        <v>Кабели</v>
      </c>
      <c r="M77" s="292" t="str">
        <f aca="false">IF(ISBLANK(Кабели!$A$81),"",Кабели!$A$81)</f>
        <v>BX127 Micro-USB Regalo зарядный дата кабель (20шт/банка)</v>
      </c>
      <c r="N77" s="292" t="str">
        <f aca="false">IF(ISBLANK(Кабели!$D$81),"",Кабели!$D$81)</f>
        <v>6941991129780</v>
      </c>
      <c r="O77" s="292" t="str">
        <f aca="false">IF(ISBLANK(Кабели!$E$81),"",Кабели!$E$81)</f>
        <v>белый</v>
      </c>
      <c r="P77" s="292" t="str">
        <f aca="false">"ед."</f>
        <v>ед.</v>
      </c>
      <c r="Q77" s="292" t="n">
        <f aca="false">N(Кабели!$G$81)</f>
        <v>0</v>
      </c>
      <c r="R77" s="299" t="n">
        <f aca="false">IF(ISBLANK(Кабели!$F$81),"",Кабели!$F$81)</f>
        <v>22.02</v>
      </c>
      <c r="S77" s="292" t="str">
        <f aca="false">IF(ISBLANK(Кабели!$H$81),"",Кабели!$H$81)</f>
        <v/>
      </c>
    </row>
    <row r="78" customFormat="false" ht="66" hidden="false" customHeight="true" outlineLevel="0" collapsed="false">
      <c r="A78" s="291" t="str">
        <f aca="true">IF(ISNUMBER($J78),INDIRECT("L"&amp;($J78+4)),"")</f>
        <v/>
      </c>
      <c r="B78" s="291" t="str">
        <f aca="true">IF(ISNUMBER($J78),INDIRECT("M"&amp;($J78+4)),"")</f>
        <v/>
      </c>
      <c r="C78" s="296" t="str">
        <f aca="true">IF(ISNUMBER($J78),INDIRECT("N"&amp;($J78+4)),"")</f>
        <v/>
      </c>
      <c r="D78" s="291" t="str">
        <f aca="true">IF(ISNUMBER($J78),INDIRECT("O"&amp;($J78+4)),"")</f>
        <v/>
      </c>
      <c r="E78" s="291" t="str">
        <f aca="true">IF(ISNUMBER($J78),INDIRECT("P"&amp;($J78+4)),"")</f>
        <v/>
      </c>
      <c r="F78" s="300" t="str">
        <f aca="true">IF(ISNUMBER($J78),INDIRECT("Q"&amp;($J78+4)),"")</f>
        <v/>
      </c>
      <c r="G78" s="298" t="str">
        <f aca="true">IF(ISNUMBER($J78),INDIRECT("R"&amp;($J78+4)),"")</f>
        <v/>
      </c>
      <c r="H78" s="298" t="str">
        <f aca="true">IF(ISNUMBER($J78),INDIRECT("S"&amp;($J78+4)),"")</f>
        <v/>
      </c>
      <c r="J78" s="292" t="str">
        <f aca="true">IF(74&lt;=$K$1,MATCH(73.5,INDIRECT("$K$4:$K$1374"),1),"")</f>
        <v/>
      </c>
      <c r="K78" s="292" t="n">
        <f aca="false">COUNTIF($Q$5:Q78,"&gt;0")</f>
        <v>0</v>
      </c>
      <c r="L78" s="292" t="str">
        <f aca="false">"Кабели"</f>
        <v>Кабели</v>
      </c>
      <c r="M78" s="292" t="str">
        <f aca="false">IF(ISBLANK(Кабели!$A$82),"",Кабели!$A$82)</f>
        <v>BX127 Type-C Regalo зарядный дата кабель (20шт/банка)</v>
      </c>
      <c r="N78" s="292" t="str">
        <f aca="false">IF(ISBLANK(Кабели!$D$82),"",Кабели!$D$82)</f>
        <v>6941991129797</v>
      </c>
      <c r="O78" s="292" t="str">
        <f aca="false">IF(ISBLANK(Кабели!$E$82),"",Кабели!$E$82)</f>
        <v>белый</v>
      </c>
      <c r="P78" s="292" t="str">
        <f aca="false">"ед."</f>
        <v>ед.</v>
      </c>
      <c r="Q78" s="292" t="n">
        <f aca="false">N(Кабели!$G$82)</f>
        <v>0</v>
      </c>
      <c r="R78" s="299" t="n">
        <f aca="false">IF(ISBLANK(Кабели!$F$82),"",Кабели!$F$82)</f>
        <v>25.28</v>
      </c>
      <c r="S78" s="292" t="str">
        <f aca="false">IF(ISBLANK(Кабели!$H$82),"",Кабели!$H$82)</f>
        <v/>
      </c>
    </row>
    <row r="79" customFormat="false" ht="66" hidden="false" customHeight="true" outlineLevel="0" collapsed="false">
      <c r="A79" s="291" t="str">
        <f aca="true">IF(ISNUMBER($J79),INDIRECT("L"&amp;($J79+4)),"")</f>
        <v/>
      </c>
      <c r="B79" s="291" t="str">
        <f aca="true">IF(ISNUMBER($J79),INDIRECT("M"&amp;($J79+4)),"")</f>
        <v/>
      </c>
      <c r="C79" s="296" t="str">
        <f aca="true">IF(ISNUMBER($J79),INDIRECT("N"&amp;($J79+4)),"")</f>
        <v/>
      </c>
      <c r="D79" s="291" t="str">
        <f aca="true">IF(ISNUMBER($J79),INDIRECT("O"&amp;($J79+4)),"")</f>
        <v/>
      </c>
      <c r="E79" s="291" t="str">
        <f aca="true">IF(ISNUMBER($J79),INDIRECT("P"&amp;($J79+4)),"")</f>
        <v/>
      </c>
      <c r="F79" s="300" t="str">
        <f aca="true">IF(ISNUMBER($J79),INDIRECT("Q"&amp;($J79+4)),"")</f>
        <v/>
      </c>
      <c r="G79" s="298" t="str">
        <f aca="true">IF(ISNUMBER($J79),INDIRECT("R"&amp;($J79+4)),"")</f>
        <v/>
      </c>
      <c r="H79" s="298" t="str">
        <f aca="true">IF(ISNUMBER($J79),INDIRECT("S"&amp;($J79+4)),"")</f>
        <v/>
      </c>
      <c r="J79" s="292" t="str">
        <f aca="true">IF(75&lt;=$K$1,MATCH(74.5,INDIRECT("$K$4:$K$1374"),1),"")</f>
        <v/>
      </c>
      <c r="K79" s="292" t="n">
        <f aca="false">COUNTIF($Q$5:Q79,"&gt;0")</f>
        <v>0</v>
      </c>
      <c r="L79" s="292" t="str">
        <f aca="false">"Кабели"</f>
        <v>Кабели</v>
      </c>
      <c r="M79" s="292" t="str">
        <f aca="false">IF(ISBLANK(Кабели!$A$83),"",Кабели!$A$83)</f>
        <v>BX126 iP Skillful PD30W зарядный дата кабель</v>
      </c>
      <c r="N79" s="292" t="str">
        <f aca="false">IF(ISBLANK(Кабели!$D$83),"",Кабели!$D$83)</f>
        <v>6941991129438</v>
      </c>
      <c r="O79" s="292" t="str">
        <f aca="false">IF(ISBLANK(Кабели!$E$83),"",Кабели!$E$83)</f>
        <v>черный</v>
      </c>
      <c r="P79" s="292" t="str">
        <f aca="false">"ед."</f>
        <v>ед.</v>
      </c>
      <c r="Q79" s="292" t="n">
        <f aca="false">N(Кабели!$G$83)</f>
        <v>0</v>
      </c>
      <c r="R79" s="299" t="n">
        <f aca="false">IF(ISBLANK(Кабели!$F$83),"",Кабели!$F$83)</f>
        <v>122.32</v>
      </c>
      <c r="S79" s="292" t="str">
        <f aca="false">IF(ISBLANK(Кабели!$H$83),"",Кабели!$H$83)</f>
        <v/>
      </c>
    </row>
    <row r="80" customFormat="false" ht="66" hidden="false" customHeight="true" outlineLevel="0" collapsed="false">
      <c r="A80" s="291" t="str">
        <f aca="true">IF(ISNUMBER($J80),INDIRECT("L"&amp;($J80+4)),"")</f>
        <v/>
      </c>
      <c r="B80" s="291" t="str">
        <f aca="true">IF(ISNUMBER($J80),INDIRECT("M"&amp;($J80+4)),"")</f>
        <v/>
      </c>
      <c r="C80" s="296" t="str">
        <f aca="true">IF(ISNUMBER($J80),INDIRECT("N"&amp;($J80+4)),"")</f>
        <v/>
      </c>
      <c r="D80" s="291" t="str">
        <f aca="true">IF(ISNUMBER($J80),INDIRECT("O"&amp;($J80+4)),"")</f>
        <v/>
      </c>
      <c r="E80" s="291" t="str">
        <f aca="true">IF(ISNUMBER($J80),INDIRECT("P"&amp;($J80+4)),"")</f>
        <v/>
      </c>
      <c r="F80" s="300" t="str">
        <f aca="true">IF(ISNUMBER($J80),INDIRECT("Q"&amp;($J80+4)),"")</f>
        <v/>
      </c>
      <c r="G80" s="298" t="str">
        <f aca="true">IF(ISNUMBER($J80),INDIRECT("R"&amp;($J80+4)),"")</f>
        <v/>
      </c>
      <c r="H80" s="298" t="str">
        <f aca="true">IF(ISNUMBER($J80),INDIRECT("S"&amp;($J80+4)),"")</f>
        <v/>
      </c>
      <c r="J80" s="292" t="str">
        <f aca="true">IF(76&lt;=$K$1,MATCH(75.5,INDIRECT("$K$4:$K$1374"),1),"")</f>
        <v/>
      </c>
      <c r="K80" s="292" t="n">
        <f aca="false">COUNTIF($Q$5:Q80,"&gt;0")</f>
        <v>0</v>
      </c>
      <c r="L80" s="292" t="str">
        <f aca="false">"Кабели"</f>
        <v>Кабели</v>
      </c>
      <c r="M80" s="292" t="str">
        <f aca="false">IF(ISBLANK(Кабели!$A$84),"",Кабели!$A$84)</f>
        <v>BX126 C на C Skillful 60W зарядный дата кабель</v>
      </c>
      <c r="N80" s="292" t="str">
        <f aca="false">IF(ISBLANK(Кабели!$D$84),"",Кабели!$D$84)</f>
        <v>6941991129445</v>
      </c>
      <c r="O80" s="292" t="str">
        <f aca="false">IF(ISBLANK(Кабели!$E$84),"",Кабели!$E$84)</f>
        <v>черный</v>
      </c>
      <c r="P80" s="292" t="str">
        <f aca="false">"ед."</f>
        <v>ед.</v>
      </c>
      <c r="Q80" s="292" t="n">
        <f aca="false">N(Кабели!$G$84)</f>
        <v>0</v>
      </c>
      <c r="R80" s="299" t="n">
        <f aca="false">IF(ISBLANK(Кабели!$F$84),"",Кабели!$F$84)</f>
        <v>110.9</v>
      </c>
      <c r="S80" s="292" t="str">
        <f aca="false">IF(ISBLANK(Кабели!$H$84),"",Кабели!$H$84)</f>
        <v/>
      </c>
    </row>
    <row r="81" customFormat="false" ht="66" hidden="false" customHeight="true" outlineLevel="0" collapsed="false">
      <c r="A81" s="291" t="str">
        <f aca="true">IF(ISNUMBER($J81),INDIRECT("L"&amp;($J81+4)),"")</f>
        <v/>
      </c>
      <c r="B81" s="291" t="str">
        <f aca="true">IF(ISNUMBER($J81),INDIRECT("M"&amp;($J81+4)),"")</f>
        <v/>
      </c>
      <c r="C81" s="296" t="str">
        <f aca="true">IF(ISNUMBER($J81),INDIRECT("N"&amp;($J81+4)),"")</f>
        <v/>
      </c>
      <c r="D81" s="291" t="str">
        <f aca="true">IF(ISNUMBER($J81),INDIRECT("O"&amp;($J81+4)),"")</f>
        <v/>
      </c>
      <c r="E81" s="291" t="str">
        <f aca="true">IF(ISNUMBER($J81),INDIRECT("P"&amp;($J81+4)),"")</f>
        <v/>
      </c>
      <c r="F81" s="300" t="str">
        <f aca="true">IF(ISNUMBER($J81),INDIRECT("Q"&amp;($J81+4)),"")</f>
        <v/>
      </c>
      <c r="G81" s="298" t="str">
        <f aca="true">IF(ISNUMBER($J81),INDIRECT("R"&amp;($J81+4)),"")</f>
        <v/>
      </c>
      <c r="H81" s="298" t="str">
        <f aca="true">IF(ISNUMBER($J81),INDIRECT("S"&amp;($J81+4)),"")</f>
        <v/>
      </c>
      <c r="J81" s="292" t="str">
        <f aca="true">IF(77&lt;=$K$1,MATCH(76.5,INDIRECT("$K$4:$K$1374"),1),"")</f>
        <v/>
      </c>
      <c r="K81" s="292" t="n">
        <f aca="false">COUNTIF($Q$5:Q81,"&gt;0")</f>
        <v>0</v>
      </c>
      <c r="L81" s="292" t="str">
        <f aca="false">"Кабели"</f>
        <v>Кабели</v>
      </c>
      <c r="M81" s="292" t="str">
        <f aca="false">IF(ISBLANK(Кабели!$A$85),"",Кабели!$A$85)</f>
        <v>BX125 Pacifico PD30W зарядный дата кабель iP</v>
      </c>
      <c r="N81" s="292" t="str">
        <f aca="false">IF(ISBLANK(Кабели!$D$85),"",Кабели!$D$85)</f>
        <v>6941991127748</v>
      </c>
      <c r="O81" s="292" t="str">
        <f aca="false">IF(ISBLANK(Кабели!$E$85),"",Кабели!$E$85)</f>
        <v>черный</v>
      </c>
      <c r="P81" s="292" t="str">
        <f aca="false">"ед."</f>
        <v>ед.</v>
      </c>
      <c r="Q81" s="292" t="n">
        <f aca="false">N(Кабели!$G$85)</f>
        <v>0</v>
      </c>
      <c r="R81" s="299" t="n">
        <f aca="false">IF(ISBLANK(Кабели!$F$85),"",Кабели!$F$85)</f>
        <v>163.09</v>
      </c>
      <c r="S81" s="292" t="str">
        <f aca="false">IF(ISBLANK(Кабели!$H$85),"",Кабели!$H$85)</f>
        <v/>
      </c>
    </row>
    <row r="82" customFormat="false" ht="66" hidden="false" customHeight="true" outlineLevel="0" collapsed="false">
      <c r="A82" s="291" t="str">
        <f aca="true">IF(ISNUMBER($J82),INDIRECT("L"&amp;($J82+4)),"")</f>
        <v/>
      </c>
      <c r="B82" s="291" t="str">
        <f aca="true">IF(ISNUMBER($J82),INDIRECT("M"&amp;($J82+4)),"")</f>
        <v/>
      </c>
      <c r="C82" s="296" t="str">
        <f aca="true">IF(ISNUMBER($J82),INDIRECT("N"&amp;($J82+4)),"")</f>
        <v/>
      </c>
      <c r="D82" s="291" t="str">
        <f aca="true">IF(ISNUMBER($J82),INDIRECT("O"&amp;($J82+4)),"")</f>
        <v/>
      </c>
      <c r="E82" s="291" t="str">
        <f aca="true">IF(ISNUMBER($J82),INDIRECT("P"&amp;($J82+4)),"")</f>
        <v/>
      </c>
      <c r="F82" s="300" t="str">
        <f aca="true">IF(ISNUMBER($J82),INDIRECT("Q"&amp;($J82+4)),"")</f>
        <v/>
      </c>
      <c r="G82" s="298" t="str">
        <f aca="true">IF(ISNUMBER($J82),INDIRECT("R"&amp;($J82+4)),"")</f>
        <v/>
      </c>
      <c r="H82" s="298" t="str">
        <f aca="true">IF(ISNUMBER($J82),INDIRECT("S"&amp;($J82+4)),"")</f>
        <v/>
      </c>
      <c r="J82" s="292" t="str">
        <f aca="true">IF(78&lt;=$K$1,MATCH(77.5,INDIRECT("$K$4:$K$1374"),1),"")</f>
        <v/>
      </c>
      <c r="K82" s="292" t="n">
        <f aca="false">COUNTIF($Q$5:Q82,"&gt;0")</f>
        <v>0</v>
      </c>
      <c r="L82" s="292" t="str">
        <f aca="false">"Кабели"</f>
        <v>Кабели</v>
      </c>
      <c r="M82" s="292" t="str">
        <f aca="false">IF(ISBLANK(Кабели!$A$86),"",Кабели!$A$86)</f>
        <v>BX125 Pacifico 60W зарядный дата кабель C на C</v>
      </c>
      <c r="N82" s="292" t="str">
        <f aca="false">IF(ISBLANK(Кабели!$D$86),"",Кабели!$D$86)</f>
        <v>6941991127755</v>
      </c>
      <c r="O82" s="292" t="str">
        <f aca="false">IF(ISBLANK(Кабели!$E$86),"",Кабели!$E$86)</f>
        <v>черный</v>
      </c>
      <c r="P82" s="292" t="str">
        <f aca="false">"ед."</f>
        <v>ед.</v>
      </c>
      <c r="Q82" s="292" t="n">
        <f aca="false">N(Кабели!$G$86)</f>
        <v>0</v>
      </c>
      <c r="R82" s="299" t="n">
        <f aca="false">IF(ISBLANK(Кабели!$F$86),"",Кабели!$F$86)</f>
        <v>154.94</v>
      </c>
      <c r="S82" s="292" t="str">
        <f aca="false">IF(ISBLANK(Кабели!$H$86),"",Кабели!$H$86)</f>
        <v/>
      </c>
    </row>
    <row r="83" customFormat="false" ht="66" hidden="false" customHeight="true" outlineLevel="0" collapsed="false">
      <c r="A83" s="291" t="str">
        <f aca="true">IF(ISNUMBER($J83),INDIRECT("L"&amp;($J83+4)),"")</f>
        <v/>
      </c>
      <c r="B83" s="291" t="str">
        <f aca="true">IF(ISNUMBER($J83),INDIRECT("M"&amp;($J83+4)),"")</f>
        <v/>
      </c>
      <c r="C83" s="296" t="str">
        <f aca="true">IF(ISNUMBER($J83),INDIRECT("N"&amp;($J83+4)),"")</f>
        <v/>
      </c>
      <c r="D83" s="291" t="str">
        <f aca="true">IF(ISNUMBER($J83),INDIRECT("O"&amp;($J83+4)),"")</f>
        <v/>
      </c>
      <c r="E83" s="291" t="str">
        <f aca="true">IF(ISNUMBER($J83),INDIRECT("P"&amp;($J83+4)),"")</f>
        <v/>
      </c>
      <c r="F83" s="300" t="str">
        <f aca="true">IF(ISNUMBER($J83),INDIRECT("Q"&amp;($J83+4)),"")</f>
        <v/>
      </c>
      <c r="G83" s="298" t="str">
        <f aca="true">IF(ISNUMBER($J83),INDIRECT("R"&amp;($J83+4)),"")</f>
        <v/>
      </c>
      <c r="H83" s="298" t="str">
        <f aca="true">IF(ISNUMBER($J83),INDIRECT("S"&amp;($J83+4)),"")</f>
        <v/>
      </c>
      <c r="J83" s="292" t="str">
        <f aca="true">IF(79&lt;=$K$1,MATCH(78.5,INDIRECT("$K$4:$K$1374"),1),"")</f>
        <v/>
      </c>
      <c r="K83" s="292" t="n">
        <f aca="false">COUNTIF($Q$5:Q83,"&gt;0")</f>
        <v>0</v>
      </c>
      <c r="L83" s="292" t="str">
        <f aca="false">"Кабели"</f>
        <v>Кабели</v>
      </c>
      <c r="M83" s="292" t="str">
        <f aca="false">IF(ISBLANK(Кабели!$A$87),"",Кабели!$A$87)</f>
        <v>BX124 Peace PD30W зарядный дата кабель iP</v>
      </c>
      <c r="N83" s="292" t="str">
        <f aca="false">IF(ISBLANK(Кабели!$D$87),"",Кабели!$D$87)</f>
        <v>6941991127724</v>
      </c>
      <c r="O83" s="292" t="str">
        <f aca="false">IF(ISBLANK(Кабели!$E$87),"",Кабели!$E$87)</f>
        <v>черный</v>
      </c>
      <c r="P83" s="292" t="str">
        <f aca="false">"ед."</f>
        <v>ед.</v>
      </c>
      <c r="Q83" s="292" t="n">
        <f aca="false">N(Кабели!$G$87)</f>
        <v>0</v>
      </c>
      <c r="R83" s="299" t="n">
        <f aca="false">IF(ISBLANK(Кабели!$F$87),"",Кабели!$F$87)</f>
        <v>97.86</v>
      </c>
      <c r="S83" s="292" t="str">
        <f aca="false">IF(ISBLANK(Кабели!$H$87),"",Кабели!$H$87)</f>
        <v/>
      </c>
    </row>
    <row r="84" customFormat="false" ht="66" hidden="false" customHeight="true" outlineLevel="0" collapsed="false">
      <c r="A84" s="291" t="str">
        <f aca="true">IF(ISNUMBER($J84),INDIRECT("L"&amp;($J84+4)),"")</f>
        <v/>
      </c>
      <c r="B84" s="291" t="str">
        <f aca="true">IF(ISNUMBER($J84),INDIRECT("M"&amp;($J84+4)),"")</f>
        <v/>
      </c>
      <c r="C84" s="296" t="str">
        <f aca="true">IF(ISNUMBER($J84),INDIRECT("N"&amp;($J84+4)),"")</f>
        <v/>
      </c>
      <c r="D84" s="291" t="str">
        <f aca="true">IF(ISNUMBER($J84),INDIRECT("O"&amp;($J84+4)),"")</f>
        <v/>
      </c>
      <c r="E84" s="291" t="str">
        <f aca="true">IF(ISNUMBER($J84),INDIRECT("P"&amp;($J84+4)),"")</f>
        <v/>
      </c>
      <c r="F84" s="300" t="str">
        <f aca="true">IF(ISNUMBER($J84),INDIRECT("Q"&amp;($J84+4)),"")</f>
        <v/>
      </c>
      <c r="G84" s="298" t="str">
        <f aca="true">IF(ISNUMBER($J84),INDIRECT("R"&amp;($J84+4)),"")</f>
        <v/>
      </c>
      <c r="H84" s="298" t="str">
        <f aca="true">IF(ISNUMBER($J84),INDIRECT("S"&amp;($J84+4)),"")</f>
        <v/>
      </c>
      <c r="J84" s="292" t="str">
        <f aca="true">IF(80&lt;=$K$1,MATCH(79.5,INDIRECT("$K$4:$K$1374"),1),"")</f>
        <v/>
      </c>
      <c r="K84" s="292" t="n">
        <f aca="false">COUNTIF($Q$5:Q84,"&gt;0")</f>
        <v>0</v>
      </c>
      <c r="L84" s="292" t="str">
        <f aca="false">"Кабели"</f>
        <v>Кабели</v>
      </c>
      <c r="M84" s="292" t="str">
        <f aca="false">IF(ISBLANK(Кабели!$A$88),"",Кабели!$A$88)</f>
        <v>BX124 Peace 60W зарядный дата кабель C на C</v>
      </c>
      <c r="N84" s="292" t="str">
        <f aca="false">IF(ISBLANK(Кабели!$D$88),"",Кабели!$D$88)</f>
        <v>6941991127731</v>
      </c>
      <c r="O84" s="292" t="str">
        <f aca="false">IF(ISBLANK(Кабели!$E$88),"",Кабели!$E$88)</f>
        <v>черный</v>
      </c>
      <c r="P84" s="292" t="str">
        <f aca="false">"ед."</f>
        <v>ед.</v>
      </c>
      <c r="Q84" s="292" t="n">
        <f aca="false">N(Кабели!$G$88)</f>
        <v>0</v>
      </c>
      <c r="R84" s="299" t="n">
        <f aca="false">IF(ISBLANK(Кабели!$F$88),"",Кабели!$F$88)</f>
        <v>78.29</v>
      </c>
      <c r="S84" s="292" t="str">
        <f aca="false">IF(ISBLANK(Кабели!$H$88),"",Кабели!$H$88)</f>
        <v/>
      </c>
    </row>
    <row r="85" customFormat="false" ht="66" hidden="false" customHeight="true" outlineLevel="0" collapsed="false">
      <c r="A85" s="291" t="str">
        <f aca="true">IF(ISNUMBER($J85),INDIRECT("L"&amp;($J85+4)),"")</f>
        <v/>
      </c>
      <c r="B85" s="291" t="str">
        <f aca="true">IF(ISNUMBER($J85),INDIRECT("M"&amp;($J85+4)),"")</f>
        <v/>
      </c>
      <c r="C85" s="296" t="str">
        <f aca="true">IF(ISNUMBER($J85),INDIRECT("N"&amp;($J85+4)),"")</f>
        <v/>
      </c>
      <c r="D85" s="291" t="str">
        <f aca="true">IF(ISNUMBER($J85),INDIRECT("O"&amp;($J85+4)),"")</f>
        <v/>
      </c>
      <c r="E85" s="291" t="str">
        <f aca="true">IF(ISNUMBER($J85),INDIRECT("P"&amp;($J85+4)),"")</f>
        <v/>
      </c>
      <c r="F85" s="300" t="str">
        <f aca="true">IF(ISNUMBER($J85),INDIRECT("Q"&amp;($J85+4)),"")</f>
        <v/>
      </c>
      <c r="G85" s="298" t="str">
        <f aca="true">IF(ISNUMBER($J85),INDIRECT("R"&amp;($J85+4)),"")</f>
        <v/>
      </c>
      <c r="H85" s="298" t="str">
        <f aca="true">IF(ISNUMBER($J85),INDIRECT("S"&amp;($J85+4)),"")</f>
        <v/>
      </c>
      <c r="J85" s="292" t="str">
        <f aca="true">IF(81&lt;=$K$1,MATCH(80.5,INDIRECT("$K$4:$K$1374"),1),"")</f>
        <v/>
      </c>
      <c r="K85" s="292" t="n">
        <f aca="false">COUNTIF($Q$5:Q85,"&gt;0")</f>
        <v>0</v>
      </c>
      <c r="L85" s="292" t="str">
        <f aca="false">"Кабели"</f>
        <v>Кабели</v>
      </c>
      <c r="M85" s="292" t="str">
        <f aca="false">IF(ISBLANK(Кабели!$A$89),"",Кабели!$A$89)</f>
        <v>BX121 Energy PD27W зарядный дата кабель iP (без упаковки)</v>
      </c>
      <c r="N85" s="292" t="str">
        <f aca="false">IF(ISBLANK(Кабели!$D$89),"",Кабели!$D$89)</f>
        <v>6941991123009</v>
      </c>
      <c r="O85" s="292" t="str">
        <f aca="false">IF(ISBLANK(Кабели!$E$89),"",Кабели!$E$89)</f>
        <v>черный</v>
      </c>
      <c r="P85" s="292" t="str">
        <f aca="false">"ед."</f>
        <v>ед.</v>
      </c>
      <c r="Q85" s="292" t="n">
        <f aca="false">N(Кабели!$G$89)</f>
        <v>0</v>
      </c>
      <c r="R85" s="299" t="n">
        <f aca="false">IF(ISBLANK(Кабели!$F$89),"",Кабели!$F$89)</f>
        <v>52.19</v>
      </c>
      <c r="S85" s="292" t="str">
        <f aca="false">IF(ISBLANK(Кабели!$H$89),"",Кабели!$H$89)</f>
        <v/>
      </c>
    </row>
    <row r="86" customFormat="false" ht="66" hidden="false" customHeight="true" outlineLevel="0" collapsed="false">
      <c r="A86" s="291" t="str">
        <f aca="true">IF(ISNUMBER($J86),INDIRECT("L"&amp;($J86+4)),"")</f>
        <v/>
      </c>
      <c r="B86" s="291" t="str">
        <f aca="true">IF(ISNUMBER($J86),INDIRECT("M"&amp;($J86+4)),"")</f>
        <v/>
      </c>
      <c r="C86" s="296" t="str">
        <f aca="true">IF(ISNUMBER($J86),INDIRECT("N"&amp;($J86+4)),"")</f>
        <v/>
      </c>
      <c r="D86" s="291" t="str">
        <f aca="true">IF(ISNUMBER($J86),INDIRECT("O"&amp;($J86+4)),"")</f>
        <v/>
      </c>
      <c r="E86" s="291" t="str">
        <f aca="true">IF(ISNUMBER($J86),INDIRECT("P"&amp;($J86+4)),"")</f>
        <v/>
      </c>
      <c r="F86" s="300" t="str">
        <f aca="true">IF(ISNUMBER($J86),INDIRECT("Q"&amp;($J86+4)),"")</f>
        <v/>
      </c>
      <c r="G86" s="298" t="str">
        <f aca="true">IF(ISNUMBER($J86),INDIRECT("R"&amp;($J86+4)),"")</f>
        <v/>
      </c>
      <c r="H86" s="298" t="str">
        <f aca="true">IF(ISNUMBER($J86),INDIRECT("S"&amp;($J86+4)),"")</f>
        <v/>
      </c>
      <c r="J86" s="292" t="str">
        <f aca="true">IF(82&lt;=$K$1,MATCH(81.5,INDIRECT("$K$4:$K$1374"),1),"")</f>
        <v/>
      </c>
      <c r="K86" s="292" t="n">
        <f aca="false">COUNTIF($Q$5:Q86,"&gt;0")</f>
        <v>0</v>
      </c>
      <c r="L86" s="292" t="str">
        <f aca="false">"Кабели"</f>
        <v>Кабели</v>
      </c>
      <c r="M86" s="292" t="str">
        <f aca="false">IF(ISBLANK(Кабели!$A$89),"",Кабели!$A$89)</f>
        <v>BX121 Energy PD27W зарядный дата кабель iP (без упаковки)</v>
      </c>
      <c r="N86" s="292" t="str">
        <f aca="false">IF(ISBLANK(Кабели!$D$90),"",Кабели!$D$90)</f>
        <v>6941991123016</v>
      </c>
      <c r="O86" s="292" t="str">
        <f aca="false">IF(ISBLANK(Кабели!$E$90),"",Кабели!$E$90)</f>
        <v>белый</v>
      </c>
      <c r="P86" s="292" t="str">
        <f aca="false">"ед."</f>
        <v>ед.</v>
      </c>
      <c r="Q86" s="292" t="n">
        <f aca="false">N(Кабели!$G$90)</f>
        <v>0</v>
      </c>
      <c r="R86" s="299" t="n">
        <f aca="false">IF(ISBLANK(Кабели!$F$90),"",Кабели!$F$90)</f>
        <v>52.19</v>
      </c>
      <c r="S86" s="292" t="str">
        <f aca="false">IF(ISBLANK(Кабели!$H$90),"",Кабели!$H$90)</f>
        <v/>
      </c>
    </row>
    <row r="87" customFormat="false" ht="66" hidden="false" customHeight="true" outlineLevel="0" collapsed="false">
      <c r="A87" s="291" t="str">
        <f aca="true">IF(ISNUMBER($J87),INDIRECT("L"&amp;($J87+4)),"")</f>
        <v/>
      </c>
      <c r="B87" s="291" t="str">
        <f aca="true">IF(ISNUMBER($J87),INDIRECT("M"&amp;($J87+4)),"")</f>
        <v/>
      </c>
      <c r="C87" s="296" t="str">
        <f aca="true">IF(ISNUMBER($J87),INDIRECT("N"&amp;($J87+4)),"")</f>
        <v/>
      </c>
      <c r="D87" s="291" t="str">
        <f aca="true">IF(ISNUMBER($J87),INDIRECT("O"&amp;($J87+4)),"")</f>
        <v/>
      </c>
      <c r="E87" s="291" t="str">
        <f aca="true">IF(ISNUMBER($J87),INDIRECT("P"&amp;($J87+4)),"")</f>
        <v/>
      </c>
      <c r="F87" s="300" t="str">
        <f aca="true">IF(ISNUMBER($J87),INDIRECT("Q"&amp;($J87+4)),"")</f>
        <v/>
      </c>
      <c r="G87" s="298" t="str">
        <f aca="true">IF(ISNUMBER($J87),INDIRECT("R"&amp;($J87+4)),"")</f>
        <v/>
      </c>
      <c r="H87" s="298" t="str">
        <f aca="true">IF(ISNUMBER($J87),INDIRECT("S"&amp;($J87+4)),"")</f>
        <v/>
      </c>
      <c r="J87" s="292" t="str">
        <f aca="true">IF(83&lt;=$K$1,MATCH(82.5,INDIRECT("$K$4:$K$1374"),1),"")</f>
        <v/>
      </c>
      <c r="K87" s="292" t="n">
        <f aca="false">COUNTIF($Q$5:Q87,"&gt;0")</f>
        <v>0</v>
      </c>
      <c r="L87" s="292" t="str">
        <f aca="false">"Кабели"</f>
        <v>Кабели</v>
      </c>
      <c r="M87" s="292" t="str">
        <f aca="false">IF(ISBLANK(Кабели!$A$91),"",Кабели!$A$91)</f>
        <v>BX121 Energy 60W зарядный дата кабель  C на C (без упаковки)</v>
      </c>
      <c r="N87" s="292" t="str">
        <f aca="false">IF(ISBLANK(Кабели!$D$91),"",Кабели!$D$91)</f>
        <v>6941991123085</v>
      </c>
      <c r="O87" s="292" t="str">
        <f aca="false">IF(ISBLANK(Кабели!$E$91),"",Кабели!$E$91)</f>
        <v>черный</v>
      </c>
      <c r="P87" s="292" t="str">
        <f aca="false">"ед."</f>
        <v>ед.</v>
      </c>
      <c r="Q87" s="292" t="n">
        <f aca="false">N(Кабели!$G$91)</f>
        <v>0</v>
      </c>
      <c r="R87" s="299" t="n">
        <f aca="false">IF(ISBLANK(Кабели!$F$91),"",Кабели!$F$91)</f>
        <v>35.88</v>
      </c>
      <c r="S87" s="292" t="str">
        <f aca="false">IF(ISBLANK(Кабели!$H$91),"",Кабели!$H$91)</f>
        <v/>
      </c>
    </row>
    <row r="88" customFormat="false" ht="66" hidden="false" customHeight="true" outlineLevel="0" collapsed="false">
      <c r="A88" s="291" t="str">
        <f aca="true">IF(ISNUMBER($J88),INDIRECT("L"&amp;($J88+4)),"")</f>
        <v/>
      </c>
      <c r="B88" s="291" t="str">
        <f aca="true">IF(ISNUMBER($J88),INDIRECT("M"&amp;($J88+4)),"")</f>
        <v/>
      </c>
      <c r="C88" s="296" t="str">
        <f aca="true">IF(ISNUMBER($J88),INDIRECT("N"&amp;($J88+4)),"")</f>
        <v/>
      </c>
      <c r="D88" s="291" t="str">
        <f aca="true">IF(ISNUMBER($J88),INDIRECT("O"&amp;($J88+4)),"")</f>
        <v/>
      </c>
      <c r="E88" s="291" t="str">
        <f aca="true">IF(ISNUMBER($J88),INDIRECT("P"&amp;($J88+4)),"")</f>
        <v/>
      </c>
      <c r="F88" s="300" t="str">
        <f aca="true">IF(ISNUMBER($J88),INDIRECT("Q"&amp;($J88+4)),"")</f>
        <v/>
      </c>
      <c r="G88" s="298" t="str">
        <f aca="true">IF(ISNUMBER($J88),INDIRECT("R"&amp;($J88+4)),"")</f>
        <v/>
      </c>
      <c r="H88" s="298" t="str">
        <f aca="true">IF(ISNUMBER($J88),INDIRECT("S"&amp;($J88+4)),"")</f>
        <v/>
      </c>
      <c r="J88" s="292" t="str">
        <f aca="true">IF(84&lt;=$K$1,MATCH(83.5,INDIRECT("$K$4:$K$1374"),1),"")</f>
        <v/>
      </c>
      <c r="K88" s="292" t="n">
        <f aca="false">COUNTIF($Q$5:Q88,"&gt;0")</f>
        <v>0</v>
      </c>
      <c r="L88" s="292" t="str">
        <f aca="false">"Кабели"</f>
        <v>Кабели</v>
      </c>
      <c r="M88" s="292" t="str">
        <f aca="false">IF(ISBLANK(Кабели!$A$91),"",Кабели!$A$91)</f>
        <v>BX121 Energy 60W зарядный дата кабель  C на C (без упаковки)</v>
      </c>
      <c r="N88" s="292" t="str">
        <f aca="false">IF(ISBLANK(Кабели!$D$92),"",Кабели!$D$92)</f>
        <v>6941991123092</v>
      </c>
      <c r="O88" s="292" t="str">
        <f aca="false">IF(ISBLANK(Кабели!$E$92),"",Кабели!$E$92)</f>
        <v>белый</v>
      </c>
      <c r="P88" s="292" t="str">
        <f aca="false">"ед."</f>
        <v>ед.</v>
      </c>
      <c r="Q88" s="292" t="n">
        <f aca="false">N(Кабели!$G$92)</f>
        <v>0</v>
      </c>
      <c r="R88" s="299" t="n">
        <f aca="false">IF(ISBLANK(Кабели!$F$92),"",Кабели!$F$92)</f>
        <v>35.88</v>
      </c>
      <c r="S88" s="292" t="str">
        <f aca="false">IF(ISBLANK(Кабели!$H$92),"",Кабели!$H$92)</f>
        <v/>
      </c>
    </row>
    <row r="89" customFormat="false" ht="66" hidden="false" customHeight="true" outlineLevel="0" collapsed="false">
      <c r="A89" s="291" t="str">
        <f aca="true">IF(ISNUMBER($J89),INDIRECT("L"&amp;($J89+4)),"")</f>
        <v/>
      </c>
      <c r="B89" s="291" t="str">
        <f aca="true">IF(ISNUMBER($J89),INDIRECT("M"&amp;($J89+4)),"")</f>
        <v/>
      </c>
      <c r="C89" s="296" t="str">
        <f aca="true">IF(ISNUMBER($J89),INDIRECT("N"&amp;($J89+4)),"")</f>
        <v/>
      </c>
      <c r="D89" s="291" t="str">
        <f aca="true">IF(ISNUMBER($J89),INDIRECT("O"&amp;($J89+4)),"")</f>
        <v/>
      </c>
      <c r="E89" s="291" t="str">
        <f aca="true">IF(ISNUMBER($J89),INDIRECT("P"&amp;($J89+4)),"")</f>
        <v/>
      </c>
      <c r="F89" s="300" t="str">
        <f aca="true">IF(ISNUMBER($J89),INDIRECT("Q"&amp;($J89+4)),"")</f>
        <v/>
      </c>
      <c r="G89" s="298" t="str">
        <f aca="true">IF(ISNUMBER($J89),INDIRECT("R"&amp;($J89+4)),"")</f>
        <v/>
      </c>
      <c r="H89" s="298" t="str">
        <f aca="true">IF(ISNUMBER($J89),INDIRECT("S"&amp;($J89+4)),"")</f>
        <v/>
      </c>
      <c r="J89" s="292" t="str">
        <f aca="true">IF(85&lt;=$K$1,MATCH(84.5,INDIRECT("$K$4:$K$1374"),1),"")</f>
        <v/>
      </c>
      <c r="K89" s="292" t="n">
        <f aca="false">COUNTIF($Q$5:Q89,"&gt;0")</f>
        <v>0</v>
      </c>
      <c r="L89" s="292" t="str">
        <f aca="false">"Кабели"</f>
        <v>Кабели</v>
      </c>
      <c r="M89" s="292" t="str">
        <f aca="false">IF(ISBLANK(Кабели!$A$93),"",Кабели!$A$93)</f>
        <v>BX121 Energy зарядный дата кабель  iP (без упаковки)</v>
      </c>
      <c r="N89" s="292" t="str">
        <f aca="false">IF(ISBLANK(Кабели!$D$93),"",Кабели!$D$93)</f>
        <v>6941991123023</v>
      </c>
      <c r="O89" s="292" t="str">
        <f aca="false">IF(ISBLANK(Кабели!$E$93),"",Кабели!$E$93)</f>
        <v>черный</v>
      </c>
      <c r="P89" s="292" t="str">
        <f aca="false">"ед."</f>
        <v>ед.</v>
      </c>
      <c r="Q89" s="292" t="n">
        <f aca="false">N(Кабели!$G$93)</f>
        <v>0</v>
      </c>
      <c r="R89" s="299" t="n">
        <f aca="false">IF(ISBLANK(Кабели!$F$93),"",Кабели!$F$93)</f>
        <v>30.99</v>
      </c>
      <c r="S89" s="292" t="str">
        <f aca="false">IF(ISBLANK(Кабели!$H$93),"",Кабели!$H$93)</f>
        <v/>
      </c>
    </row>
    <row r="90" customFormat="false" ht="66" hidden="false" customHeight="true" outlineLevel="0" collapsed="false">
      <c r="A90" s="291" t="str">
        <f aca="true">IF(ISNUMBER($J90),INDIRECT("L"&amp;($J90+4)),"")</f>
        <v/>
      </c>
      <c r="B90" s="291" t="str">
        <f aca="true">IF(ISNUMBER($J90),INDIRECT("M"&amp;($J90+4)),"")</f>
        <v/>
      </c>
      <c r="C90" s="296" t="str">
        <f aca="true">IF(ISNUMBER($J90),INDIRECT("N"&amp;($J90+4)),"")</f>
        <v/>
      </c>
      <c r="D90" s="291" t="str">
        <f aca="true">IF(ISNUMBER($J90),INDIRECT("O"&amp;($J90+4)),"")</f>
        <v/>
      </c>
      <c r="E90" s="291" t="str">
        <f aca="true">IF(ISNUMBER($J90),INDIRECT("P"&amp;($J90+4)),"")</f>
        <v/>
      </c>
      <c r="F90" s="300" t="str">
        <f aca="true">IF(ISNUMBER($J90),INDIRECT("Q"&amp;($J90+4)),"")</f>
        <v/>
      </c>
      <c r="G90" s="298" t="str">
        <f aca="true">IF(ISNUMBER($J90),INDIRECT("R"&amp;($J90+4)),"")</f>
        <v/>
      </c>
      <c r="H90" s="298" t="str">
        <f aca="true">IF(ISNUMBER($J90),INDIRECT("S"&amp;($J90+4)),"")</f>
        <v/>
      </c>
      <c r="J90" s="292" t="str">
        <f aca="true">IF(86&lt;=$K$1,MATCH(85.5,INDIRECT("$K$4:$K$1374"),1),"")</f>
        <v/>
      </c>
      <c r="K90" s="292" t="n">
        <f aca="false">COUNTIF($Q$5:Q90,"&gt;0")</f>
        <v>0</v>
      </c>
      <c r="L90" s="292" t="str">
        <f aca="false">"Кабели"</f>
        <v>Кабели</v>
      </c>
      <c r="M90" s="292" t="str">
        <f aca="false">IF(ISBLANK(Кабели!$A$93),"",Кабели!$A$93)</f>
        <v>BX121 Energy зарядный дата кабель  iP (без упаковки)</v>
      </c>
      <c r="N90" s="292" t="str">
        <f aca="false">IF(ISBLANK(Кабели!$D$94),"",Кабели!$D$94)</f>
        <v>6941991123030</v>
      </c>
      <c r="O90" s="292" t="str">
        <f aca="false">IF(ISBLANK(Кабели!$E$94),"",Кабели!$E$94)</f>
        <v>белый</v>
      </c>
      <c r="P90" s="292" t="str">
        <f aca="false">"ед."</f>
        <v>ед.</v>
      </c>
      <c r="Q90" s="292" t="n">
        <f aca="false">N(Кабели!$G$94)</f>
        <v>0</v>
      </c>
      <c r="R90" s="299" t="n">
        <f aca="false">IF(ISBLANK(Кабели!$F$94),"",Кабели!$F$94)</f>
        <v>30.99</v>
      </c>
      <c r="S90" s="292" t="str">
        <f aca="false">IF(ISBLANK(Кабели!$H$94),"",Кабели!$H$94)</f>
        <v/>
      </c>
    </row>
    <row r="91" customFormat="false" ht="66" hidden="false" customHeight="true" outlineLevel="0" collapsed="false">
      <c r="A91" s="291" t="str">
        <f aca="true">IF(ISNUMBER($J91),INDIRECT("L"&amp;($J91+4)),"")</f>
        <v/>
      </c>
      <c r="B91" s="291" t="str">
        <f aca="true">IF(ISNUMBER($J91),INDIRECT("M"&amp;($J91+4)),"")</f>
        <v/>
      </c>
      <c r="C91" s="296" t="str">
        <f aca="true">IF(ISNUMBER($J91),INDIRECT("N"&amp;($J91+4)),"")</f>
        <v/>
      </c>
      <c r="D91" s="291" t="str">
        <f aca="true">IF(ISNUMBER($J91),INDIRECT("O"&amp;($J91+4)),"")</f>
        <v/>
      </c>
      <c r="E91" s="291" t="str">
        <f aca="true">IF(ISNUMBER($J91),INDIRECT("P"&amp;($J91+4)),"")</f>
        <v/>
      </c>
      <c r="F91" s="300" t="str">
        <f aca="true">IF(ISNUMBER($J91),INDIRECT("Q"&amp;($J91+4)),"")</f>
        <v/>
      </c>
      <c r="G91" s="298" t="str">
        <f aca="true">IF(ISNUMBER($J91),INDIRECT("R"&amp;($J91+4)),"")</f>
        <v/>
      </c>
      <c r="H91" s="298" t="str">
        <f aca="true">IF(ISNUMBER($J91),INDIRECT("S"&amp;($J91+4)),"")</f>
        <v/>
      </c>
      <c r="J91" s="292" t="str">
        <f aca="true">IF(87&lt;=$K$1,MATCH(86.5,INDIRECT("$K$4:$K$1374"),1),"")</f>
        <v/>
      </c>
      <c r="K91" s="292" t="n">
        <f aca="false">COUNTIF($Q$5:Q91,"&gt;0")</f>
        <v>0</v>
      </c>
      <c r="L91" s="292" t="str">
        <f aca="false">"Кабели"</f>
        <v>Кабели</v>
      </c>
      <c r="M91" s="292" t="str">
        <f aca="false">IF(ISBLANK(Кабели!$A$95),"",Кабели!$A$95)</f>
        <v>BX121 Energy зарядный дата кабель  Micro (без упаковки)</v>
      </c>
      <c r="N91" s="292" t="str">
        <f aca="false">IF(ISBLANK(Кабели!$D$95),"",Кабели!$D$95)</f>
        <v>6941991123047</v>
      </c>
      <c r="O91" s="292" t="str">
        <f aca="false">IF(ISBLANK(Кабели!$E$95),"",Кабели!$E$95)</f>
        <v>черный</v>
      </c>
      <c r="P91" s="292" t="str">
        <f aca="false">"ед."</f>
        <v>ед.</v>
      </c>
      <c r="Q91" s="292" t="n">
        <f aca="false">N(Кабели!$G$95)</f>
        <v>0</v>
      </c>
      <c r="R91" s="299" t="n">
        <f aca="false">IF(ISBLANK(Кабели!$F$95),"",Кабели!$F$95)</f>
        <v>22.83</v>
      </c>
      <c r="S91" s="292" t="str">
        <f aca="false">IF(ISBLANK(Кабели!$H$95),"",Кабели!$H$95)</f>
        <v/>
      </c>
    </row>
    <row r="92" customFormat="false" ht="66" hidden="false" customHeight="true" outlineLevel="0" collapsed="false">
      <c r="A92" s="291" t="str">
        <f aca="true">IF(ISNUMBER($J92),INDIRECT("L"&amp;($J92+4)),"")</f>
        <v/>
      </c>
      <c r="B92" s="291" t="str">
        <f aca="true">IF(ISNUMBER($J92),INDIRECT("M"&amp;($J92+4)),"")</f>
        <v/>
      </c>
      <c r="C92" s="296" t="str">
        <f aca="true">IF(ISNUMBER($J92),INDIRECT("N"&amp;($J92+4)),"")</f>
        <v/>
      </c>
      <c r="D92" s="291" t="str">
        <f aca="true">IF(ISNUMBER($J92),INDIRECT("O"&amp;($J92+4)),"")</f>
        <v/>
      </c>
      <c r="E92" s="291" t="str">
        <f aca="true">IF(ISNUMBER($J92),INDIRECT("P"&amp;($J92+4)),"")</f>
        <v/>
      </c>
      <c r="F92" s="300" t="str">
        <f aca="true">IF(ISNUMBER($J92),INDIRECT("Q"&amp;($J92+4)),"")</f>
        <v/>
      </c>
      <c r="G92" s="298" t="str">
        <f aca="true">IF(ISNUMBER($J92),INDIRECT("R"&amp;($J92+4)),"")</f>
        <v/>
      </c>
      <c r="H92" s="298" t="str">
        <f aca="true">IF(ISNUMBER($J92),INDIRECT("S"&amp;($J92+4)),"")</f>
        <v/>
      </c>
      <c r="J92" s="292" t="str">
        <f aca="true">IF(88&lt;=$K$1,MATCH(87.5,INDIRECT("$K$4:$K$1374"),1),"")</f>
        <v/>
      </c>
      <c r="K92" s="292" t="n">
        <f aca="false">COUNTIF($Q$5:Q92,"&gt;0")</f>
        <v>0</v>
      </c>
      <c r="L92" s="292" t="str">
        <f aca="false">"Кабели"</f>
        <v>Кабели</v>
      </c>
      <c r="M92" s="292" t="str">
        <f aca="false">IF(ISBLANK(Кабели!$A$95),"",Кабели!$A$95)</f>
        <v>BX121 Energy зарядный дата кабель  Micro (без упаковки)</v>
      </c>
      <c r="N92" s="292" t="str">
        <f aca="false">IF(ISBLANK(Кабели!$D$96),"",Кабели!$D$96)</f>
        <v>6941991123054</v>
      </c>
      <c r="O92" s="292" t="str">
        <f aca="false">IF(ISBLANK(Кабели!$E$96),"",Кабели!$E$96)</f>
        <v>белый</v>
      </c>
      <c r="P92" s="292" t="str">
        <f aca="false">"ед."</f>
        <v>ед.</v>
      </c>
      <c r="Q92" s="292" t="n">
        <f aca="false">N(Кабели!$G$96)</f>
        <v>0</v>
      </c>
      <c r="R92" s="299" t="n">
        <f aca="false">IF(ISBLANK(Кабели!$F$96),"",Кабели!$F$96)</f>
        <v>22.83</v>
      </c>
      <c r="S92" s="292" t="str">
        <f aca="false">IF(ISBLANK(Кабели!$H$96),"",Кабели!$H$96)</f>
        <v/>
      </c>
    </row>
    <row r="93" customFormat="false" ht="66" hidden="false" customHeight="true" outlineLevel="0" collapsed="false">
      <c r="A93" s="291" t="str">
        <f aca="true">IF(ISNUMBER($J93),INDIRECT("L"&amp;($J93+4)),"")</f>
        <v/>
      </c>
      <c r="B93" s="291" t="str">
        <f aca="true">IF(ISNUMBER($J93),INDIRECT("M"&amp;($J93+4)),"")</f>
        <v/>
      </c>
      <c r="C93" s="296" t="str">
        <f aca="true">IF(ISNUMBER($J93),INDIRECT("N"&amp;($J93+4)),"")</f>
        <v/>
      </c>
      <c r="D93" s="291" t="str">
        <f aca="true">IF(ISNUMBER($J93),INDIRECT("O"&amp;($J93+4)),"")</f>
        <v/>
      </c>
      <c r="E93" s="291" t="str">
        <f aca="true">IF(ISNUMBER($J93),INDIRECT("P"&amp;($J93+4)),"")</f>
        <v/>
      </c>
      <c r="F93" s="300" t="str">
        <f aca="true">IF(ISNUMBER($J93),INDIRECT("Q"&amp;($J93+4)),"")</f>
        <v/>
      </c>
      <c r="G93" s="298" t="str">
        <f aca="true">IF(ISNUMBER($J93),INDIRECT("R"&amp;($J93+4)),"")</f>
        <v/>
      </c>
      <c r="H93" s="298" t="str">
        <f aca="true">IF(ISNUMBER($J93),INDIRECT("S"&amp;($J93+4)),"")</f>
        <v/>
      </c>
      <c r="J93" s="292" t="str">
        <f aca="true">IF(89&lt;=$K$1,MATCH(88.5,INDIRECT("$K$4:$K$1374"),1),"")</f>
        <v/>
      </c>
      <c r="K93" s="292" t="n">
        <f aca="false">COUNTIF($Q$5:Q93,"&gt;0")</f>
        <v>0</v>
      </c>
      <c r="L93" s="292" t="str">
        <f aca="false">"Кабели"</f>
        <v>Кабели</v>
      </c>
      <c r="M93" s="292" t="str">
        <f aca="false">IF(ISBLANK(Кабели!$A$97),"",Кабели!$A$97)</f>
        <v>BX121 Energy зарядный дата кабель  Type-C (без упаковки)</v>
      </c>
      <c r="N93" s="292" t="str">
        <f aca="false">IF(ISBLANK(Кабели!$D$97),"",Кабели!$D$97)</f>
        <v>6941991123061</v>
      </c>
      <c r="O93" s="292" t="str">
        <f aca="false">IF(ISBLANK(Кабели!$E$97),"",Кабели!$E$97)</f>
        <v>черный</v>
      </c>
      <c r="P93" s="292" t="str">
        <f aca="false">"ед."</f>
        <v>ед.</v>
      </c>
      <c r="Q93" s="292" t="n">
        <f aca="false">N(Кабели!$G$97)</f>
        <v>0</v>
      </c>
      <c r="R93" s="299" t="n">
        <f aca="false">IF(ISBLANK(Кабели!$F$97),"",Кабели!$F$97)</f>
        <v>28.54</v>
      </c>
      <c r="S93" s="292" t="str">
        <f aca="false">IF(ISBLANK(Кабели!$H$97),"",Кабели!$H$97)</f>
        <v/>
      </c>
    </row>
    <row r="94" customFormat="false" ht="66" hidden="false" customHeight="true" outlineLevel="0" collapsed="false">
      <c r="A94" s="291" t="str">
        <f aca="true">IF(ISNUMBER($J94),INDIRECT("L"&amp;($J94+4)),"")</f>
        <v/>
      </c>
      <c r="B94" s="291" t="str">
        <f aca="true">IF(ISNUMBER($J94),INDIRECT("M"&amp;($J94+4)),"")</f>
        <v/>
      </c>
      <c r="C94" s="296" t="str">
        <f aca="true">IF(ISNUMBER($J94),INDIRECT("N"&amp;($J94+4)),"")</f>
        <v/>
      </c>
      <c r="D94" s="291" t="str">
        <f aca="true">IF(ISNUMBER($J94),INDIRECT("O"&amp;($J94+4)),"")</f>
        <v/>
      </c>
      <c r="E94" s="291" t="str">
        <f aca="true">IF(ISNUMBER($J94),INDIRECT("P"&amp;($J94+4)),"")</f>
        <v/>
      </c>
      <c r="F94" s="300" t="str">
        <f aca="true">IF(ISNUMBER($J94),INDIRECT("Q"&amp;($J94+4)),"")</f>
        <v/>
      </c>
      <c r="G94" s="298" t="str">
        <f aca="true">IF(ISNUMBER($J94),INDIRECT("R"&amp;($J94+4)),"")</f>
        <v/>
      </c>
      <c r="H94" s="298" t="str">
        <f aca="true">IF(ISNUMBER($J94),INDIRECT("S"&amp;($J94+4)),"")</f>
        <v/>
      </c>
      <c r="J94" s="292" t="str">
        <f aca="true">IF(90&lt;=$K$1,MATCH(89.5,INDIRECT("$K$4:$K$1374"),1),"")</f>
        <v/>
      </c>
      <c r="K94" s="292" t="n">
        <f aca="false">COUNTIF($Q$5:Q94,"&gt;0")</f>
        <v>0</v>
      </c>
      <c r="L94" s="292" t="str">
        <f aca="false">"Кабели"</f>
        <v>Кабели</v>
      </c>
      <c r="M94" s="292" t="str">
        <f aca="false">IF(ISBLANK(Кабели!$A$97),"",Кабели!$A$97)</f>
        <v>BX121 Energy зарядный дата кабель  Type-C (без упаковки)</v>
      </c>
      <c r="N94" s="292" t="str">
        <f aca="false">IF(ISBLANK(Кабели!$D$98),"",Кабели!$D$98)</f>
        <v>6941991123078</v>
      </c>
      <c r="O94" s="292" t="str">
        <f aca="false">IF(ISBLANK(Кабели!$E$98),"",Кабели!$E$98)</f>
        <v>белый</v>
      </c>
      <c r="P94" s="292" t="str">
        <f aca="false">"ед."</f>
        <v>ед.</v>
      </c>
      <c r="Q94" s="292" t="n">
        <f aca="false">N(Кабели!$G$98)</f>
        <v>0</v>
      </c>
      <c r="R94" s="299" t="n">
        <f aca="false">IF(ISBLANK(Кабели!$F$98),"",Кабели!$F$98)</f>
        <v>28.54</v>
      </c>
      <c r="S94" s="292" t="str">
        <f aca="false">IF(ISBLANK(Кабели!$H$98),"",Кабели!$H$98)</f>
        <v/>
      </c>
    </row>
    <row r="95" customFormat="false" ht="66" hidden="false" customHeight="true" outlineLevel="0" collapsed="false">
      <c r="A95" s="291" t="str">
        <f aca="true">IF(ISNUMBER($J95),INDIRECT("L"&amp;($J95+4)),"")</f>
        <v/>
      </c>
      <c r="B95" s="291" t="str">
        <f aca="true">IF(ISNUMBER($J95),INDIRECT("M"&amp;($J95+4)),"")</f>
        <v/>
      </c>
      <c r="C95" s="296" t="str">
        <f aca="true">IF(ISNUMBER($J95),INDIRECT("N"&amp;($J95+4)),"")</f>
        <v/>
      </c>
      <c r="D95" s="291" t="str">
        <f aca="true">IF(ISNUMBER($J95),INDIRECT("O"&amp;($J95+4)),"")</f>
        <v/>
      </c>
      <c r="E95" s="291" t="str">
        <f aca="true">IF(ISNUMBER($J95),INDIRECT("P"&amp;($J95+4)),"")</f>
        <v/>
      </c>
      <c r="F95" s="300" t="str">
        <f aca="true">IF(ISNUMBER($J95),INDIRECT("Q"&amp;($J95+4)),"")</f>
        <v/>
      </c>
      <c r="G95" s="298" t="str">
        <f aca="true">IF(ISNUMBER($J95),INDIRECT("R"&amp;($J95+4)),"")</f>
        <v/>
      </c>
      <c r="H95" s="298" t="str">
        <f aca="true">IF(ISNUMBER($J95),INDIRECT("S"&amp;($J95+4)),"")</f>
        <v/>
      </c>
      <c r="J95" s="292" t="str">
        <f aca="true">IF(91&lt;=$K$1,MATCH(90.5,INDIRECT("$K$4:$K$1374"),1),"")</f>
        <v/>
      </c>
      <c r="K95" s="292" t="n">
        <f aca="false">COUNTIF($Q$5:Q95,"&gt;0")</f>
        <v>0</v>
      </c>
      <c r="L95" s="292" t="str">
        <f aca="false">"Кабели"</f>
        <v>Кабели</v>
      </c>
      <c r="M95" s="292" t="str">
        <f aca="false">IF(ISBLANK(Кабели!$A$99),"",Кабели!$A$99)</f>
        <v>BX121 Energy PD27W зарядный дата кабель  iP (в упаковке)</v>
      </c>
      <c r="N95" s="292" t="str">
        <f aca="false">IF(ISBLANK(Кабели!$D$99),"",Кабели!$D$99)</f>
        <v>6941991123009</v>
      </c>
      <c r="O95" s="292" t="str">
        <f aca="false">IF(ISBLANK(Кабели!$E$99),"",Кабели!$E$99)</f>
        <v>черный</v>
      </c>
      <c r="P95" s="292" t="str">
        <f aca="false">"ед."</f>
        <v>ед.</v>
      </c>
      <c r="Q95" s="292" t="n">
        <f aca="false">N(Кабели!$G$99)</f>
        <v>0</v>
      </c>
      <c r="R95" s="299" t="n">
        <f aca="false">IF(ISBLANK(Кабели!$F$99),"",Кабели!$F$99)</f>
        <v>56.27</v>
      </c>
      <c r="S95" s="292" t="str">
        <f aca="false">IF(ISBLANK(Кабели!$H$99),"",Кабели!$H$99)</f>
        <v/>
      </c>
    </row>
    <row r="96" customFormat="false" ht="66" hidden="false" customHeight="true" outlineLevel="0" collapsed="false">
      <c r="A96" s="291" t="str">
        <f aca="true">IF(ISNUMBER($J96),INDIRECT("L"&amp;($J96+4)),"")</f>
        <v/>
      </c>
      <c r="B96" s="291" t="str">
        <f aca="true">IF(ISNUMBER($J96),INDIRECT("M"&amp;($J96+4)),"")</f>
        <v/>
      </c>
      <c r="C96" s="296" t="str">
        <f aca="true">IF(ISNUMBER($J96),INDIRECT("N"&amp;($J96+4)),"")</f>
        <v/>
      </c>
      <c r="D96" s="291" t="str">
        <f aca="true">IF(ISNUMBER($J96),INDIRECT("O"&amp;($J96+4)),"")</f>
        <v/>
      </c>
      <c r="E96" s="291" t="str">
        <f aca="true">IF(ISNUMBER($J96),INDIRECT("P"&amp;($J96+4)),"")</f>
        <v/>
      </c>
      <c r="F96" s="300" t="str">
        <f aca="true">IF(ISNUMBER($J96),INDIRECT("Q"&amp;($J96+4)),"")</f>
        <v/>
      </c>
      <c r="G96" s="298" t="str">
        <f aca="true">IF(ISNUMBER($J96),INDIRECT("R"&amp;($J96+4)),"")</f>
        <v/>
      </c>
      <c r="H96" s="298" t="str">
        <f aca="true">IF(ISNUMBER($J96),INDIRECT("S"&amp;($J96+4)),"")</f>
        <v/>
      </c>
      <c r="J96" s="292" t="str">
        <f aca="true">IF(92&lt;=$K$1,MATCH(91.5,INDIRECT("$K$4:$K$1374"),1),"")</f>
        <v/>
      </c>
      <c r="K96" s="292" t="n">
        <f aca="false">COUNTIF($Q$5:Q96,"&gt;0")</f>
        <v>0</v>
      </c>
      <c r="L96" s="292" t="str">
        <f aca="false">"Кабели"</f>
        <v>Кабели</v>
      </c>
      <c r="M96" s="292" t="str">
        <f aca="false">IF(ISBLANK(Кабели!$A$99),"",Кабели!$A$99)</f>
        <v>BX121 Energy PD27W зарядный дата кабель  iP (в упаковке)</v>
      </c>
      <c r="N96" s="292" t="str">
        <f aca="false">IF(ISBLANK(Кабели!$D$100),"",Кабели!$D$100)</f>
        <v>6941991123016</v>
      </c>
      <c r="O96" s="292" t="str">
        <f aca="false">IF(ISBLANK(Кабели!$E$100),"",Кабели!$E$100)</f>
        <v>белый</v>
      </c>
      <c r="P96" s="292" t="str">
        <f aca="false">"ед."</f>
        <v>ед.</v>
      </c>
      <c r="Q96" s="292" t="n">
        <f aca="false">N(Кабели!$G$100)</f>
        <v>0</v>
      </c>
      <c r="R96" s="299" t="n">
        <f aca="false">IF(ISBLANK(Кабели!$F$100),"",Кабели!$F$100)</f>
        <v>56.27</v>
      </c>
      <c r="S96" s="292" t="str">
        <f aca="false">IF(ISBLANK(Кабели!$H$100),"",Кабели!$H$100)</f>
        <v/>
      </c>
    </row>
    <row r="97" customFormat="false" ht="66" hidden="false" customHeight="true" outlineLevel="0" collapsed="false">
      <c r="A97" s="291" t="str">
        <f aca="true">IF(ISNUMBER($J97),INDIRECT("L"&amp;($J97+4)),"")</f>
        <v/>
      </c>
      <c r="B97" s="291" t="str">
        <f aca="true">IF(ISNUMBER($J97),INDIRECT("M"&amp;($J97+4)),"")</f>
        <v/>
      </c>
      <c r="C97" s="296" t="str">
        <f aca="true">IF(ISNUMBER($J97),INDIRECT("N"&amp;($J97+4)),"")</f>
        <v/>
      </c>
      <c r="D97" s="291" t="str">
        <f aca="true">IF(ISNUMBER($J97),INDIRECT("O"&amp;($J97+4)),"")</f>
        <v/>
      </c>
      <c r="E97" s="291" t="str">
        <f aca="true">IF(ISNUMBER($J97),INDIRECT("P"&amp;($J97+4)),"")</f>
        <v/>
      </c>
      <c r="F97" s="300" t="str">
        <f aca="true">IF(ISNUMBER($J97),INDIRECT("Q"&amp;($J97+4)),"")</f>
        <v/>
      </c>
      <c r="G97" s="298" t="str">
        <f aca="true">IF(ISNUMBER($J97),INDIRECT("R"&amp;($J97+4)),"")</f>
        <v/>
      </c>
      <c r="H97" s="298" t="str">
        <f aca="true">IF(ISNUMBER($J97),INDIRECT("S"&amp;($J97+4)),"")</f>
        <v/>
      </c>
      <c r="J97" s="292" t="str">
        <f aca="true">IF(93&lt;=$K$1,MATCH(92.5,INDIRECT("$K$4:$K$1374"),1),"")</f>
        <v/>
      </c>
      <c r="K97" s="292" t="n">
        <f aca="false">COUNTIF($Q$5:Q97,"&gt;0")</f>
        <v>0</v>
      </c>
      <c r="L97" s="292" t="str">
        <f aca="false">"Кабели"</f>
        <v>Кабели</v>
      </c>
      <c r="M97" s="292" t="str">
        <f aca="false">IF(ISBLANK(Кабели!$A$101),"",Кабели!$A$101)</f>
        <v>BX121 Energy 60W зарядный дата кабель  C на C (в упаковке)</v>
      </c>
      <c r="N97" s="292" t="str">
        <f aca="false">IF(ISBLANK(Кабели!$D$101),"",Кабели!$D$101)</f>
        <v>6941991123085</v>
      </c>
      <c r="O97" s="292" t="str">
        <f aca="false">IF(ISBLANK(Кабели!$E$101),"",Кабели!$E$101)</f>
        <v>черный</v>
      </c>
      <c r="P97" s="292" t="str">
        <f aca="false">"ед."</f>
        <v>ед.</v>
      </c>
      <c r="Q97" s="292" t="n">
        <f aca="false">N(Кабели!$G$101)</f>
        <v>0</v>
      </c>
      <c r="R97" s="299" t="n">
        <f aca="false">IF(ISBLANK(Кабели!$F$101),"",Кабели!$F$101)</f>
        <v>39.96</v>
      </c>
      <c r="S97" s="292" t="str">
        <f aca="false">IF(ISBLANK(Кабели!$H$101),"",Кабели!$H$101)</f>
        <v/>
      </c>
    </row>
    <row r="98" customFormat="false" ht="66" hidden="false" customHeight="true" outlineLevel="0" collapsed="false">
      <c r="A98" s="291" t="str">
        <f aca="true">IF(ISNUMBER($J98),INDIRECT("L"&amp;($J98+4)),"")</f>
        <v/>
      </c>
      <c r="B98" s="291" t="str">
        <f aca="true">IF(ISNUMBER($J98),INDIRECT("M"&amp;($J98+4)),"")</f>
        <v/>
      </c>
      <c r="C98" s="296" t="str">
        <f aca="true">IF(ISNUMBER($J98),INDIRECT("N"&amp;($J98+4)),"")</f>
        <v/>
      </c>
      <c r="D98" s="291" t="str">
        <f aca="true">IF(ISNUMBER($J98),INDIRECT("O"&amp;($J98+4)),"")</f>
        <v/>
      </c>
      <c r="E98" s="291" t="str">
        <f aca="true">IF(ISNUMBER($J98),INDIRECT("P"&amp;($J98+4)),"")</f>
        <v/>
      </c>
      <c r="F98" s="300" t="str">
        <f aca="true">IF(ISNUMBER($J98),INDIRECT("Q"&amp;($J98+4)),"")</f>
        <v/>
      </c>
      <c r="G98" s="298" t="str">
        <f aca="true">IF(ISNUMBER($J98),INDIRECT("R"&amp;($J98+4)),"")</f>
        <v/>
      </c>
      <c r="H98" s="298" t="str">
        <f aca="true">IF(ISNUMBER($J98),INDIRECT("S"&amp;($J98+4)),"")</f>
        <v/>
      </c>
      <c r="J98" s="292" t="str">
        <f aca="true">IF(94&lt;=$K$1,MATCH(93.5,INDIRECT("$K$4:$K$1374"),1),"")</f>
        <v/>
      </c>
      <c r="K98" s="292" t="n">
        <f aca="false">COUNTIF($Q$5:Q98,"&gt;0")</f>
        <v>0</v>
      </c>
      <c r="L98" s="292" t="str">
        <f aca="false">"Кабели"</f>
        <v>Кабели</v>
      </c>
      <c r="M98" s="292" t="str">
        <f aca="false">IF(ISBLANK(Кабели!$A$101),"",Кабели!$A$101)</f>
        <v>BX121 Energy 60W зарядный дата кабель  C на C (в упаковке)</v>
      </c>
      <c r="N98" s="292" t="str">
        <f aca="false">IF(ISBLANK(Кабели!$D$102),"",Кабели!$D$102)</f>
        <v>6941991123092</v>
      </c>
      <c r="O98" s="292" t="str">
        <f aca="false">IF(ISBLANK(Кабели!$E$102),"",Кабели!$E$102)</f>
        <v>белый</v>
      </c>
      <c r="P98" s="292" t="str">
        <f aca="false">"ед."</f>
        <v>ед.</v>
      </c>
      <c r="Q98" s="292" t="n">
        <f aca="false">N(Кабели!$G$102)</f>
        <v>0</v>
      </c>
      <c r="R98" s="299" t="n">
        <f aca="false">IF(ISBLANK(Кабели!$F$102),"",Кабели!$F$102)</f>
        <v>39.96</v>
      </c>
      <c r="S98" s="292" t="str">
        <f aca="false">IF(ISBLANK(Кабели!$H$102),"",Кабели!$H$102)</f>
        <v/>
      </c>
    </row>
    <row r="99" customFormat="false" ht="66" hidden="false" customHeight="true" outlineLevel="0" collapsed="false">
      <c r="A99" s="291" t="str">
        <f aca="true">IF(ISNUMBER($J99),INDIRECT("L"&amp;($J99+4)),"")</f>
        <v/>
      </c>
      <c r="B99" s="291" t="str">
        <f aca="true">IF(ISNUMBER($J99),INDIRECT("M"&amp;($J99+4)),"")</f>
        <v/>
      </c>
      <c r="C99" s="296" t="str">
        <f aca="true">IF(ISNUMBER($J99),INDIRECT("N"&amp;($J99+4)),"")</f>
        <v/>
      </c>
      <c r="D99" s="291" t="str">
        <f aca="true">IF(ISNUMBER($J99),INDIRECT("O"&amp;($J99+4)),"")</f>
        <v/>
      </c>
      <c r="E99" s="291" t="str">
        <f aca="true">IF(ISNUMBER($J99),INDIRECT("P"&amp;($J99+4)),"")</f>
        <v/>
      </c>
      <c r="F99" s="300" t="str">
        <f aca="true">IF(ISNUMBER($J99),INDIRECT("Q"&amp;($J99+4)),"")</f>
        <v/>
      </c>
      <c r="G99" s="298" t="str">
        <f aca="true">IF(ISNUMBER($J99),INDIRECT("R"&amp;($J99+4)),"")</f>
        <v/>
      </c>
      <c r="H99" s="298" t="str">
        <f aca="true">IF(ISNUMBER($J99),INDIRECT("S"&amp;($J99+4)),"")</f>
        <v/>
      </c>
      <c r="J99" s="292" t="str">
        <f aca="true">IF(95&lt;=$K$1,MATCH(94.5,INDIRECT("$K$4:$K$1374"),1),"")</f>
        <v/>
      </c>
      <c r="K99" s="292" t="n">
        <f aca="false">COUNTIF($Q$5:Q99,"&gt;0")</f>
        <v>0</v>
      </c>
      <c r="L99" s="292" t="str">
        <f aca="false">"Кабели"</f>
        <v>Кабели</v>
      </c>
      <c r="M99" s="292" t="str">
        <f aca="false">IF(ISBLANK(Кабели!$A$103),"",Кабели!$A$103)</f>
        <v>BX121 Energy зарядный дата кабель  iP (в упаковке)</v>
      </c>
      <c r="N99" s="292" t="str">
        <f aca="false">IF(ISBLANK(Кабели!$D$103),"",Кабели!$D$103)</f>
        <v>6941991123023</v>
      </c>
      <c r="O99" s="292" t="str">
        <f aca="false">IF(ISBLANK(Кабели!$E$103),"",Кабели!$E$103)</f>
        <v>черный</v>
      </c>
      <c r="P99" s="292" t="str">
        <f aca="false">"ед."</f>
        <v>ед.</v>
      </c>
      <c r="Q99" s="292" t="n">
        <f aca="false">N(Кабели!$G$103)</f>
        <v>0</v>
      </c>
      <c r="R99" s="299" t="n">
        <f aca="false">IF(ISBLANK(Кабели!$F$103),"",Кабели!$F$103)</f>
        <v>35.07</v>
      </c>
      <c r="S99" s="292" t="str">
        <f aca="false">IF(ISBLANK(Кабели!$H$103),"",Кабели!$H$103)</f>
        <v/>
      </c>
    </row>
    <row r="100" customFormat="false" ht="66" hidden="false" customHeight="true" outlineLevel="0" collapsed="false">
      <c r="A100" s="291" t="str">
        <f aca="true">IF(ISNUMBER($J100),INDIRECT("L"&amp;($J100+4)),"")</f>
        <v/>
      </c>
      <c r="B100" s="291" t="str">
        <f aca="true">IF(ISNUMBER($J100),INDIRECT("M"&amp;($J100+4)),"")</f>
        <v/>
      </c>
      <c r="C100" s="296" t="str">
        <f aca="true">IF(ISNUMBER($J100),INDIRECT("N"&amp;($J100+4)),"")</f>
        <v/>
      </c>
      <c r="D100" s="291" t="str">
        <f aca="true">IF(ISNUMBER($J100),INDIRECT("O"&amp;($J100+4)),"")</f>
        <v/>
      </c>
      <c r="E100" s="291" t="str">
        <f aca="true">IF(ISNUMBER($J100),INDIRECT("P"&amp;($J100+4)),"")</f>
        <v/>
      </c>
      <c r="F100" s="300" t="str">
        <f aca="true">IF(ISNUMBER($J100),INDIRECT("Q"&amp;($J100+4)),"")</f>
        <v/>
      </c>
      <c r="G100" s="298" t="str">
        <f aca="true">IF(ISNUMBER($J100),INDIRECT("R"&amp;($J100+4)),"")</f>
        <v/>
      </c>
      <c r="H100" s="298" t="str">
        <f aca="true">IF(ISNUMBER($J100),INDIRECT("S"&amp;($J100+4)),"")</f>
        <v/>
      </c>
      <c r="J100" s="292" t="str">
        <f aca="true">IF(96&lt;=$K$1,MATCH(95.5,INDIRECT("$K$4:$K$1374"),1),"")</f>
        <v/>
      </c>
      <c r="K100" s="292" t="n">
        <f aca="false">COUNTIF($Q$5:Q100,"&gt;0")</f>
        <v>0</v>
      </c>
      <c r="L100" s="292" t="str">
        <f aca="false">"Кабели"</f>
        <v>Кабели</v>
      </c>
      <c r="M100" s="292" t="str">
        <f aca="false">IF(ISBLANK(Кабели!$A$103),"",Кабели!$A$103)</f>
        <v>BX121 Energy зарядный дата кабель  iP (в упаковке)</v>
      </c>
      <c r="N100" s="292" t="str">
        <f aca="false">IF(ISBLANK(Кабели!$D$104),"",Кабели!$D$104)</f>
        <v>6941991123030</v>
      </c>
      <c r="O100" s="292" t="str">
        <f aca="false">IF(ISBLANK(Кабели!$E$104),"",Кабели!$E$104)</f>
        <v>белый</v>
      </c>
      <c r="P100" s="292" t="str">
        <f aca="false">"ед."</f>
        <v>ед.</v>
      </c>
      <c r="Q100" s="292" t="n">
        <f aca="false">N(Кабели!$G$104)</f>
        <v>0</v>
      </c>
      <c r="R100" s="299" t="n">
        <f aca="false">IF(ISBLANK(Кабели!$F$104),"",Кабели!$F$104)</f>
        <v>35.07</v>
      </c>
      <c r="S100" s="292" t="str">
        <f aca="false">IF(ISBLANK(Кабели!$H$104),"",Кабели!$H$104)</f>
        <v/>
      </c>
    </row>
    <row r="101" customFormat="false" ht="66" hidden="false" customHeight="true" outlineLevel="0" collapsed="false">
      <c r="A101" s="291" t="str">
        <f aca="true">IF(ISNUMBER($J101),INDIRECT("L"&amp;($J101+4)),"")</f>
        <v/>
      </c>
      <c r="B101" s="291" t="str">
        <f aca="true">IF(ISNUMBER($J101),INDIRECT("M"&amp;($J101+4)),"")</f>
        <v/>
      </c>
      <c r="C101" s="296" t="str">
        <f aca="true">IF(ISNUMBER($J101),INDIRECT("N"&amp;($J101+4)),"")</f>
        <v/>
      </c>
      <c r="D101" s="291" t="str">
        <f aca="true">IF(ISNUMBER($J101),INDIRECT("O"&amp;($J101+4)),"")</f>
        <v/>
      </c>
      <c r="E101" s="291" t="str">
        <f aca="true">IF(ISNUMBER($J101),INDIRECT("P"&amp;($J101+4)),"")</f>
        <v/>
      </c>
      <c r="F101" s="300" t="str">
        <f aca="true">IF(ISNUMBER($J101),INDIRECT("Q"&amp;($J101+4)),"")</f>
        <v/>
      </c>
      <c r="G101" s="298" t="str">
        <f aca="true">IF(ISNUMBER($J101),INDIRECT("R"&amp;($J101+4)),"")</f>
        <v/>
      </c>
      <c r="H101" s="298" t="str">
        <f aca="true">IF(ISNUMBER($J101),INDIRECT("S"&amp;($J101+4)),"")</f>
        <v/>
      </c>
      <c r="J101" s="292" t="str">
        <f aca="true">IF(97&lt;=$K$1,MATCH(96.5,INDIRECT("$K$4:$K$1374"),1),"")</f>
        <v/>
      </c>
      <c r="K101" s="292" t="n">
        <f aca="false">COUNTIF($Q$5:Q101,"&gt;0")</f>
        <v>0</v>
      </c>
      <c r="L101" s="292" t="str">
        <f aca="false">"Кабели"</f>
        <v>Кабели</v>
      </c>
      <c r="M101" s="292" t="str">
        <f aca="false">IF(ISBLANK(Кабели!$A$105),"",Кабели!$A$105)</f>
        <v>BX121 Energy зарядный дата кабель  Micro (в упаковке)</v>
      </c>
      <c r="N101" s="292" t="str">
        <f aca="false">IF(ISBLANK(Кабели!$D$105),"",Кабели!$D$105)</f>
        <v>6941991123047</v>
      </c>
      <c r="O101" s="292" t="str">
        <f aca="false">IF(ISBLANK(Кабели!$E$105),"",Кабели!$E$105)</f>
        <v>черный</v>
      </c>
      <c r="P101" s="292" t="str">
        <f aca="false">"ед."</f>
        <v>ед.</v>
      </c>
      <c r="Q101" s="292" t="n">
        <f aca="false">N(Кабели!$G$105)</f>
        <v>0</v>
      </c>
      <c r="R101" s="299" t="n">
        <f aca="false">IF(ISBLANK(Кабели!$F$105),"",Кабели!$F$105)</f>
        <v>26.91</v>
      </c>
      <c r="S101" s="292" t="str">
        <f aca="false">IF(ISBLANK(Кабели!$H$105),"",Кабели!$H$105)</f>
        <v/>
      </c>
    </row>
    <row r="102" customFormat="false" ht="66" hidden="false" customHeight="true" outlineLevel="0" collapsed="false">
      <c r="A102" s="291" t="str">
        <f aca="true">IF(ISNUMBER($J102),INDIRECT("L"&amp;($J102+4)),"")</f>
        <v/>
      </c>
      <c r="B102" s="291" t="str">
        <f aca="true">IF(ISNUMBER($J102),INDIRECT("M"&amp;($J102+4)),"")</f>
        <v/>
      </c>
      <c r="C102" s="296" t="str">
        <f aca="true">IF(ISNUMBER($J102),INDIRECT("N"&amp;($J102+4)),"")</f>
        <v/>
      </c>
      <c r="D102" s="291" t="str">
        <f aca="true">IF(ISNUMBER($J102),INDIRECT("O"&amp;($J102+4)),"")</f>
        <v/>
      </c>
      <c r="E102" s="291" t="str">
        <f aca="true">IF(ISNUMBER($J102),INDIRECT("P"&amp;($J102+4)),"")</f>
        <v/>
      </c>
      <c r="F102" s="300" t="str">
        <f aca="true">IF(ISNUMBER($J102),INDIRECT("Q"&amp;($J102+4)),"")</f>
        <v/>
      </c>
      <c r="G102" s="298" t="str">
        <f aca="true">IF(ISNUMBER($J102),INDIRECT("R"&amp;($J102+4)),"")</f>
        <v/>
      </c>
      <c r="H102" s="298" t="str">
        <f aca="true">IF(ISNUMBER($J102),INDIRECT("S"&amp;($J102+4)),"")</f>
        <v/>
      </c>
      <c r="J102" s="292" t="str">
        <f aca="true">IF(98&lt;=$K$1,MATCH(97.5,INDIRECT("$K$4:$K$1374"),1),"")</f>
        <v/>
      </c>
      <c r="K102" s="292" t="n">
        <f aca="false">COUNTIF($Q$5:Q102,"&gt;0")</f>
        <v>0</v>
      </c>
      <c r="L102" s="292" t="str">
        <f aca="false">"Кабели"</f>
        <v>Кабели</v>
      </c>
      <c r="M102" s="292" t="str">
        <f aca="false">IF(ISBLANK(Кабели!$A$105),"",Кабели!$A$105)</f>
        <v>BX121 Energy зарядный дата кабель  Micro (в упаковке)</v>
      </c>
      <c r="N102" s="292" t="str">
        <f aca="false">IF(ISBLANK(Кабели!$D$106),"",Кабели!$D$106)</f>
        <v>6941991123054</v>
      </c>
      <c r="O102" s="292" t="str">
        <f aca="false">IF(ISBLANK(Кабели!$E$106),"",Кабели!$E$106)</f>
        <v>белый</v>
      </c>
      <c r="P102" s="292" t="str">
        <f aca="false">"ед."</f>
        <v>ед.</v>
      </c>
      <c r="Q102" s="292" t="n">
        <f aca="false">N(Кабели!$G$106)</f>
        <v>0</v>
      </c>
      <c r="R102" s="299" t="n">
        <f aca="false">IF(ISBLANK(Кабели!$F$106),"",Кабели!$F$106)</f>
        <v>26.91</v>
      </c>
      <c r="S102" s="292" t="str">
        <f aca="false">IF(ISBLANK(Кабели!$H$106),"",Кабели!$H$106)</f>
        <v/>
      </c>
    </row>
    <row r="103" customFormat="false" ht="66" hidden="false" customHeight="true" outlineLevel="0" collapsed="false">
      <c r="A103" s="291" t="str">
        <f aca="true">IF(ISNUMBER($J103),INDIRECT("L"&amp;($J103+4)),"")</f>
        <v/>
      </c>
      <c r="B103" s="291" t="str">
        <f aca="true">IF(ISNUMBER($J103),INDIRECT("M"&amp;($J103+4)),"")</f>
        <v/>
      </c>
      <c r="C103" s="296" t="str">
        <f aca="true">IF(ISNUMBER($J103),INDIRECT("N"&amp;($J103+4)),"")</f>
        <v/>
      </c>
      <c r="D103" s="291" t="str">
        <f aca="true">IF(ISNUMBER($J103),INDIRECT("O"&amp;($J103+4)),"")</f>
        <v/>
      </c>
      <c r="E103" s="291" t="str">
        <f aca="true">IF(ISNUMBER($J103),INDIRECT("P"&amp;($J103+4)),"")</f>
        <v/>
      </c>
      <c r="F103" s="300" t="str">
        <f aca="true">IF(ISNUMBER($J103),INDIRECT("Q"&amp;($J103+4)),"")</f>
        <v/>
      </c>
      <c r="G103" s="298" t="str">
        <f aca="true">IF(ISNUMBER($J103),INDIRECT("R"&amp;($J103+4)),"")</f>
        <v/>
      </c>
      <c r="H103" s="298" t="str">
        <f aca="true">IF(ISNUMBER($J103),INDIRECT("S"&amp;($J103+4)),"")</f>
        <v/>
      </c>
      <c r="J103" s="292" t="str">
        <f aca="true">IF(99&lt;=$K$1,MATCH(98.5,INDIRECT("$K$4:$K$1374"),1),"")</f>
        <v/>
      </c>
      <c r="K103" s="292" t="n">
        <f aca="false">COUNTIF($Q$5:Q103,"&gt;0")</f>
        <v>0</v>
      </c>
      <c r="L103" s="292" t="str">
        <f aca="false">"Кабели"</f>
        <v>Кабели</v>
      </c>
      <c r="M103" s="292" t="str">
        <f aca="false">IF(ISBLANK(Кабели!$A$107),"",Кабели!$A$107)</f>
        <v>BX121 Energy зарядный дата кабель  Type-C (в упаковке)</v>
      </c>
      <c r="N103" s="292" t="str">
        <f aca="false">IF(ISBLANK(Кабели!$D$107),"",Кабели!$D$107)</f>
        <v>6941991123061</v>
      </c>
      <c r="O103" s="292" t="str">
        <f aca="false">IF(ISBLANK(Кабели!$E$107),"",Кабели!$E$107)</f>
        <v>черный</v>
      </c>
      <c r="P103" s="292" t="str">
        <f aca="false">"ед."</f>
        <v>ед.</v>
      </c>
      <c r="Q103" s="292" t="n">
        <f aca="false">N(Кабели!$G$107)</f>
        <v>0</v>
      </c>
      <c r="R103" s="299" t="n">
        <f aca="false">IF(ISBLANK(Кабели!$F$107),"",Кабели!$F$107)</f>
        <v>32.62</v>
      </c>
      <c r="S103" s="292" t="str">
        <f aca="false">IF(ISBLANK(Кабели!$H$107),"",Кабели!$H$107)</f>
        <v/>
      </c>
    </row>
    <row r="104" customFormat="false" ht="66" hidden="false" customHeight="true" outlineLevel="0" collapsed="false">
      <c r="A104" s="291" t="str">
        <f aca="true">IF(ISNUMBER($J104),INDIRECT("L"&amp;($J104+4)),"")</f>
        <v/>
      </c>
      <c r="B104" s="291" t="str">
        <f aca="true">IF(ISNUMBER($J104),INDIRECT("M"&amp;($J104+4)),"")</f>
        <v/>
      </c>
      <c r="C104" s="296" t="str">
        <f aca="true">IF(ISNUMBER($J104),INDIRECT("N"&amp;($J104+4)),"")</f>
        <v/>
      </c>
      <c r="D104" s="291" t="str">
        <f aca="true">IF(ISNUMBER($J104),INDIRECT("O"&amp;($J104+4)),"")</f>
        <v/>
      </c>
      <c r="E104" s="291" t="str">
        <f aca="true">IF(ISNUMBER($J104),INDIRECT("P"&amp;($J104+4)),"")</f>
        <v/>
      </c>
      <c r="F104" s="300" t="str">
        <f aca="true">IF(ISNUMBER($J104),INDIRECT("Q"&amp;($J104+4)),"")</f>
        <v/>
      </c>
      <c r="G104" s="298" t="str">
        <f aca="true">IF(ISNUMBER($J104),INDIRECT("R"&amp;($J104+4)),"")</f>
        <v/>
      </c>
      <c r="H104" s="298" t="str">
        <f aca="true">IF(ISNUMBER($J104),INDIRECT("S"&amp;($J104+4)),"")</f>
        <v/>
      </c>
      <c r="J104" s="292" t="str">
        <f aca="true">IF(100&lt;=$K$1,MATCH(99.5,INDIRECT("$K$4:$K$1374"),1),"")</f>
        <v/>
      </c>
      <c r="K104" s="292" t="n">
        <f aca="false">COUNTIF($Q$5:Q104,"&gt;0")</f>
        <v>0</v>
      </c>
      <c r="L104" s="292" t="str">
        <f aca="false">"Кабели"</f>
        <v>Кабели</v>
      </c>
      <c r="M104" s="292" t="str">
        <f aca="false">IF(ISBLANK(Кабели!$A$107),"",Кабели!$A$107)</f>
        <v>BX121 Energy зарядный дата кабель  Type-C (в упаковке)</v>
      </c>
      <c r="N104" s="292" t="str">
        <f aca="false">IF(ISBLANK(Кабели!$D$108),"",Кабели!$D$108)</f>
        <v>6941991123078</v>
      </c>
      <c r="O104" s="292" t="str">
        <f aca="false">IF(ISBLANK(Кабели!$E$108),"",Кабели!$E$108)</f>
        <v>белый</v>
      </c>
      <c r="P104" s="292" t="str">
        <f aca="false">"ед."</f>
        <v>ед.</v>
      </c>
      <c r="Q104" s="292" t="n">
        <f aca="false">N(Кабели!$G$108)</f>
        <v>0</v>
      </c>
      <c r="R104" s="299" t="n">
        <f aca="false">IF(ISBLANK(Кабели!$F$108),"",Кабели!$F$108)</f>
        <v>32.62</v>
      </c>
      <c r="S104" s="292" t="str">
        <f aca="false">IF(ISBLANK(Кабели!$H$108),"",Кабели!$H$108)</f>
        <v/>
      </c>
    </row>
    <row r="105" customFormat="false" ht="66" hidden="false" customHeight="true" outlineLevel="0" collapsed="false">
      <c r="A105" s="291" t="str">
        <f aca="true">IF(ISNUMBER($J105),INDIRECT("L"&amp;($J105+4)),"")</f>
        <v/>
      </c>
      <c r="B105" s="291" t="str">
        <f aca="true">IF(ISNUMBER($J105),INDIRECT("M"&amp;($J105+4)),"")</f>
        <v/>
      </c>
      <c r="C105" s="296" t="str">
        <f aca="true">IF(ISNUMBER($J105),INDIRECT("N"&amp;($J105+4)),"")</f>
        <v/>
      </c>
      <c r="D105" s="291" t="str">
        <f aca="true">IF(ISNUMBER($J105),INDIRECT("O"&amp;($J105+4)),"")</f>
        <v/>
      </c>
      <c r="E105" s="291" t="str">
        <f aca="true">IF(ISNUMBER($J105),INDIRECT("P"&amp;($J105+4)),"")</f>
        <v/>
      </c>
      <c r="F105" s="300" t="str">
        <f aca="true">IF(ISNUMBER($J105),INDIRECT("Q"&amp;($J105+4)),"")</f>
        <v/>
      </c>
      <c r="G105" s="298" t="str">
        <f aca="true">IF(ISNUMBER($J105),INDIRECT("R"&amp;($J105+4)),"")</f>
        <v/>
      </c>
      <c r="H105" s="298" t="str">
        <f aca="true">IF(ISNUMBER($J105),INDIRECT("S"&amp;($J105+4)),"")</f>
        <v/>
      </c>
      <c r="J105" s="292" t="str">
        <f aca="true">IF(101&lt;=$K$1,MATCH(100.5,INDIRECT("$K$4:$K$1374"),1),"")</f>
        <v/>
      </c>
      <c r="K105" s="292" t="n">
        <f aca="false">COUNTIF($Q$5:Q105,"&gt;0")</f>
        <v>0</v>
      </c>
      <c r="L105" s="292" t="str">
        <f aca="false">"Кабели"</f>
        <v>Кабели</v>
      </c>
      <c r="M105" s="292" t="str">
        <f aca="false">IF(ISBLANK(Кабели!$A$109),"",Кабели!$A$109)</f>
        <v>BX120 Placer PD27W зарядный дата кабель iP (без упаковки)</v>
      </c>
      <c r="N105" s="292" t="str">
        <f aca="false">IF(ISBLANK(Кабели!$D$109),"",Кабели!$D$109)</f>
        <v>6941991122064</v>
      </c>
      <c r="O105" s="292" t="str">
        <f aca="false">IF(ISBLANK(Кабели!$E$109),"",Кабели!$E$109)</f>
        <v>черный</v>
      </c>
      <c r="P105" s="292" t="str">
        <f aca="false">"ед."</f>
        <v>ед.</v>
      </c>
      <c r="Q105" s="292" t="n">
        <f aca="false">N(Кабели!$G$109)</f>
        <v>0</v>
      </c>
      <c r="R105" s="299" t="n">
        <f aca="false">IF(ISBLANK(Кабели!$F$109),"",Кабели!$F$109)</f>
        <v>68.5</v>
      </c>
      <c r="S105" s="292" t="str">
        <f aca="false">IF(ISBLANK(Кабели!$H$109),"",Кабели!$H$109)</f>
        <v/>
      </c>
    </row>
    <row r="106" customFormat="false" ht="66" hidden="false" customHeight="true" outlineLevel="0" collapsed="false">
      <c r="A106" s="291" t="str">
        <f aca="true">IF(ISNUMBER($J106),INDIRECT("L"&amp;($J106+4)),"")</f>
        <v/>
      </c>
      <c r="B106" s="291" t="str">
        <f aca="true">IF(ISNUMBER($J106),INDIRECT("M"&amp;($J106+4)),"")</f>
        <v/>
      </c>
      <c r="C106" s="296" t="str">
        <f aca="true">IF(ISNUMBER($J106),INDIRECT("N"&amp;($J106+4)),"")</f>
        <v/>
      </c>
      <c r="D106" s="291" t="str">
        <f aca="true">IF(ISNUMBER($J106),INDIRECT("O"&amp;($J106+4)),"")</f>
        <v/>
      </c>
      <c r="E106" s="291" t="str">
        <f aca="true">IF(ISNUMBER($J106),INDIRECT("P"&amp;($J106+4)),"")</f>
        <v/>
      </c>
      <c r="F106" s="300" t="str">
        <f aca="true">IF(ISNUMBER($J106),INDIRECT("Q"&amp;($J106+4)),"")</f>
        <v/>
      </c>
      <c r="G106" s="298" t="str">
        <f aca="true">IF(ISNUMBER($J106),INDIRECT("R"&amp;($J106+4)),"")</f>
        <v/>
      </c>
      <c r="H106" s="298" t="str">
        <f aca="true">IF(ISNUMBER($J106),INDIRECT("S"&amp;($J106+4)),"")</f>
        <v/>
      </c>
      <c r="J106" s="292" t="str">
        <f aca="true">IF(102&lt;=$K$1,MATCH(101.5,INDIRECT("$K$4:$K$1374"),1),"")</f>
        <v/>
      </c>
      <c r="K106" s="292" t="n">
        <f aca="false">COUNTIF($Q$5:Q106,"&gt;0")</f>
        <v>0</v>
      </c>
      <c r="L106" s="292" t="str">
        <f aca="false">"Кабели"</f>
        <v>Кабели</v>
      </c>
      <c r="M106" s="292" t="str">
        <f aca="false">IF(ISBLANK(Кабели!$A$110),"",Кабели!$A$110)</f>
        <v>BX120 Placer 60W зарядный дата кабель C на C (без упаковки)</v>
      </c>
      <c r="N106" s="292" t="str">
        <f aca="false">IF(ISBLANK(Кабели!$D$110),"",Кабели!$D$110)</f>
        <v>6941991122149</v>
      </c>
      <c r="O106" s="292" t="str">
        <f aca="false">IF(ISBLANK(Кабели!$E$110),"",Кабели!$E$110)</f>
        <v>черный</v>
      </c>
      <c r="P106" s="292" t="str">
        <f aca="false">"ед."</f>
        <v>ед.</v>
      </c>
      <c r="Q106" s="292" t="n">
        <f aca="false">N(Кабели!$G$110)</f>
        <v>0</v>
      </c>
      <c r="R106" s="299" t="n">
        <f aca="false">IF(ISBLANK(Кабели!$F$110),"",Кабели!$F$110)</f>
        <v>50.56</v>
      </c>
      <c r="S106" s="292" t="str">
        <f aca="false">IF(ISBLANK(Кабели!$H$110),"",Кабели!$H$110)</f>
        <v/>
      </c>
    </row>
    <row r="107" customFormat="false" ht="66" hidden="false" customHeight="true" outlineLevel="0" collapsed="false">
      <c r="A107" s="291" t="str">
        <f aca="true">IF(ISNUMBER($J107),INDIRECT("L"&amp;($J107+4)),"")</f>
        <v/>
      </c>
      <c r="B107" s="291" t="str">
        <f aca="true">IF(ISNUMBER($J107),INDIRECT("M"&amp;($J107+4)),"")</f>
        <v/>
      </c>
      <c r="C107" s="296" t="str">
        <f aca="true">IF(ISNUMBER($J107),INDIRECT("N"&amp;($J107+4)),"")</f>
        <v/>
      </c>
      <c r="D107" s="291" t="str">
        <f aca="true">IF(ISNUMBER($J107),INDIRECT("O"&amp;($J107+4)),"")</f>
        <v/>
      </c>
      <c r="E107" s="291" t="str">
        <f aca="true">IF(ISNUMBER($J107),INDIRECT("P"&amp;($J107+4)),"")</f>
        <v/>
      </c>
      <c r="F107" s="300" t="str">
        <f aca="true">IF(ISNUMBER($J107),INDIRECT("Q"&amp;($J107+4)),"")</f>
        <v/>
      </c>
      <c r="G107" s="298" t="str">
        <f aca="true">IF(ISNUMBER($J107),INDIRECT("R"&amp;($J107+4)),"")</f>
        <v/>
      </c>
      <c r="H107" s="298" t="str">
        <f aca="true">IF(ISNUMBER($J107),INDIRECT("S"&amp;($J107+4)),"")</f>
        <v/>
      </c>
      <c r="J107" s="292" t="str">
        <f aca="true">IF(103&lt;=$K$1,MATCH(102.5,INDIRECT("$K$4:$K$1374"),1),"")</f>
        <v/>
      </c>
      <c r="K107" s="292" t="n">
        <f aca="false">COUNTIF($Q$5:Q107,"&gt;0")</f>
        <v>0</v>
      </c>
      <c r="L107" s="292" t="str">
        <f aca="false">"Кабели"</f>
        <v>Кабели</v>
      </c>
      <c r="M107" s="292" t="str">
        <f aca="false">IF(ISBLANK(Кабели!$A$111),"",Кабели!$A$111)</f>
        <v>BX120 Placer зарядный дата кабель iP (без упаковки)</v>
      </c>
      <c r="N107" s="292" t="str">
        <f aca="false">IF(ISBLANK(Кабели!$D$111),"",Кабели!$D$111)</f>
        <v>6941991122088</v>
      </c>
      <c r="O107" s="292" t="str">
        <f aca="false">IF(ISBLANK(Кабели!$E$111),"",Кабели!$E$111)</f>
        <v>черный</v>
      </c>
      <c r="P107" s="292" t="str">
        <f aca="false">"ед."</f>
        <v>ед.</v>
      </c>
      <c r="Q107" s="292" t="n">
        <f aca="false">N(Кабели!$G$111)</f>
        <v>0</v>
      </c>
      <c r="R107" s="299" t="n">
        <f aca="false">IF(ISBLANK(Кабели!$F$111),"",Кабели!$F$111)</f>
        <v>44.04</v>
      </c>
      <c r="S107" s="292" t="str">
        <f aca="false">IF(ISBLANK(Кабели!$H$111),"",Кабели!$H$111)</f>
        <v/>
      </c>
    </row>
    <row r="108" customFormat="false" ht="66" hidden="false" customHeight="true" outlineLevel="0" collapsed="false">
      <c r="A108" s="291" t="str">
        <f aca="true">IF(ISNUMBER($J108),INDIRECT("L"&amp;($J108+4)),"")</f>
        <v/>
      </c>
      <c r="B108" s="291" t="str">
        <f aca="true">IF(ISNUMBER($J108),INDIRECT("M"&amp;($J108+4)),"")</f>
        <v/>
      </c>
      <c r="C108" s="296" t="str">
        <f aca="true">IF(ISNUMBER($J108),INDIRECT("N"&amp;($J108+4)),"")</f>
        <v/>
      </c>
      <c r="D108" s="291" t="str">
        <f aca="true">IF(ISNUMBER($J108),INDIRECT("O"&amp;($J108+4)),"")</f>
        <v/>
      </c>
      <c r="E108" s="291" t="str">
        <f aca="true">IF(ISNUMBER($J108),INDIRECT("P"&amp;($J108+4)),"")</f>
        <v/>
      </c>
      <c r="F108" s="300" t="str">
        <f aca="true">IF(ISNUMBER($J108),INDIRECT("Q"&amp;($J108+4)),"")</f>
        <v/>
      </c>
      <c r="G108" s="298" t="str">
        <f aca="true">IF(ISNUMBER($J108),INDIRECT("R"&amp;($J108+4)),"")</f>
        <v/>
      </c>
      <c r="H108" s="298" t="str">
        <f aca="true">IF(ISNUMBER($J108),INDIRECT("S"&amp;($J108+4)),"")</f>
        <v/>
      </c>
      <c r="J108" s="292" t="str">
        <f aca="true">IF(104&lt;=$K$1,MATCH(103.5,INDIRECT("$K$4:$K$1374"),1),"")</f>
        <v/>
      </c>
      <c r="K108" s="292" t="n">
        <f aca="false">COUNTIF($Q$5:Q108,"&gt;0")</f>
        <v>0</v>
      </c>
      <c r="L108" s="292" t="str">
        <f aca="false">"Кабели"</f>
        <v>Кабели</v>
      </c>
      <c r="M108" s="292" t="str">
        <f aca="false">IF(ISBLANK(Кабели!$A$112),"",Кабели!$A$112)</f>
        <v>BX120 Placer зарядный дата кабель Micro (без упаковки)</v>
      </c>
      <c r="N108" s="292" t="str">
        <f aca="false">IF(ISBLANK(Кабели!$D$112),"",Кабели!$D$112)</f>
        <v>6941991122101</v>
      </c>
      <c r="O108" s="292" t="str">
        <f aca="false">IF(ISBLANK(Кабели!$E$112),"",Кабели!$E$112)</f>
        <v>черный</v>
      </c>
      <c r="P108" s="292" t="str">
        <f aca="false">"ед."</f>
        <v>ед.</v>
      </c>
      <c r="Q108" s="292" t="n">
        <f aca="false">N(Кабели!$G$112)</f>
        <v>0</v>
      </c>
      <c r="R108" s="299" t="n">
        <f aca="false">IF(ISBLANK(Кабели!$F$112),"",Кабели!$F$112)</f>
        <v>33.43</v>
      </c>
      <c r="S108" s="292" t="str">
        <f aca="false">IF(ISBLANK(Кабели!$H$112),"",Кабели!$H$112)</f>
        <v/>
      </c>
    </row>
    <row r="109" customFormat="false" ht="66" hidden="false" customHeight="true" outlineLevel="0" collapsed="false">
      <c r="A109" s="291" t="str">
        <f aca="true">IF(ISNUMBER($J109),INDIRECT("L"&amp;($J109+4)),"")</f>
        <v/>
      </c>
      <c r="B109" s="291" t="str">
        <f aca="true">IF(ISNUMBER($J109),INDIRECT("M"&amp;($J109+4)),"")</f>
        <v/>
      </c>
      <c r="C109" s="296" t="str">
        <f aca="true">IF(ISNUMBER($J109),INDIRECT("N"&amp;($J109+4)),"")</f>
        <v/>
      </c>
      <c r="D109" s="291" t="str">
        <f aca="true">IF(ISNUMBER($J109),INDIRECT("O"&amp;($J109+4)),"")</f>
        <v/>
      </c>
      <c r="E109" s="291" t="str">
        <f aca="true">IF(ISNUMBER($J109),INDIRECT("P"&amp;($J109+4)),"")</f>
        <v/>
      </c>
      <c r="F109" s="300" t="str">
        <f aca="true">IF(ISNUMBER($J109),INDIRECT("Q"&amp;($J109+4)),"")</f>
        <v/>
      </c>
      <c r="G109" s="298" t="str">
        <f aca="true">IF(ISNUMBER($J109),INDIRECT("R"&amp;($J109+4)),"")</f>
        <v/>
      </c>
      <c r="H109" s="298" t="str">
        <f aca="true">IF(ISNUMBER($J109),INDIRECT("S"&amp;($J109+4)),"")</f>
        <v/>
      </c>
      <c r="J109" s="292" t="str">
        <f aca="true">IF(105&lt;=$K$1,MATCH(104.5,INDIRECT("$K$4:$K$1374"),1),"")</f>
        <v/>
      </c>
      <c r="K109" s="292" t="n">
        <f aca="false">COUNTIF($Q$5:Q109,"&gt;0")</f>
        <v>0</v>
      </c>
      <c r="L109" s="292" t="str">
        <f aca="false">"Кабели"</f>
        <v>Кабели</v>
      </c>
      <c r="M109" s="292" t="str">
        <f aca="false">IF(ISBLANK(Кабели!$A$113),"",Кабели!$A$113)</f>
        <v>BX120 Placer зарядный дата кабель Type-C (без упаковки)</v>
      </c>
      <c r="N109" s="292" t="str">
        <f aca="false">IF(ISBLANK(Кабели!$D$113),"",Кабели!$D$113)</f>
        <v>6941991122125</v>
      </c>
      <c r="O109" s="292" t="str">
        <f aca="false">IF(ISBLANK(Кабели!$E$113),"",Кабели!$E$113)</f>
        <v>черный</v>
      </c>
      <c r="P109" s="292" t="str">
        <f aca="false">"ед."</f>
        <v>ед.</v>
      </c>
      <c r="Q109" s="292" t="n">
        <f aca="false">N(Кабели!$G$113)</f>
        <v>0</v>
      </c>
      <c r="R109" s="299" t="n">
        <f aca="false">IF(ISBLANK(Кабели!$F$113),"",Кабели!$F$113)</f>
        <v>37.51</v>
      </c>
      <c r="S109" s="292" t="str">
        <f aca="false">IF(ISBLANK(Кабели!$H$113),"",Кабели!$H$113)</f>
        <v/>
      </c>
    </row>
    <row r="110" customFormat="false" ht="66" hidden="false" customHeight="true" outlineLevel="0" collapsed="false">
      <c r="A110" s="291" t="str">
        <f aca="true">IF(ISNUMBER($J110),INDIRECT("L"&amp;($J110+4)),"")</f>
        <v/>
      </c>
      <c r="B110" s="291" t="str">
        <f aca="true">IF(ISNUMBER($J110),INDIRECT("M"&amp;($J110+4)),"")</f>
        <v/>
      </c>
      <c r="C110" s="296" t="str">
        <f aca="true">IF(ISNUMBER($J110),INDIRECT("N"&amp;($J110+4)),"")</f>
        <v/>
      </c>
      <c r="D110" s="291" t="str">
        <f aca="true">IF(ISNUMBER($J110),INDIRECT("O"&amp;($J110+4)),"")</f>
        <v/>
      </c>
      <c r="E110" s="291" t="str">
        <f aca="true">IF(ISNUMBER($J110),INDIRECT("P"&amp;($J110+4)),"")</f>
        <v/>
      </c>
      <c r="F110" s="300" t="str">
        <f aca="true">IF(ISNUMBER($J110),INDIRECT("Q"&amp;($J110+4)),"")</f>
        <v/>
      </c>
      <c r="G110" s="298" t="str">
        <f aca="true">IF(ISNUMBER($J110),INDIRECT("R"&amp;($J110+4)),"")</f>
        <v/>
      </c>
      <c r="H110" s="298" t="str">
        <f aca="true">IF(ISNUMBER($J110),INDIRECT("S"&amp;($J110+4)),"")</f>
        <v/>
      </c>
      <c r="J110" s="292" t="str">
        <f aca="true">IF(106&lt;=$K$1,MATCH(105.5,INDIRECT("$K$4:$K$1374"),1),"")</f>
        <v/>
      </c>
      <c r="K110" s="292" t="n">
        <f aca="false">COUNTIF($Q$5:Q110,"&gt;0")</f>
        <v>0</v>
      </c>
      <c r="L110" s="292" t="str">
        <f aca="false">"Кабели"</f>
        <v>Кабели</v>
      </c>
      <c r="M110" s="292" t="str">
        <f aca="false">IF(ISBLANK(Кабели!$A$114),"",Кабели!$A$114)</f>
        <v>BX120 Placer PD27W зарядный дата кабель iP (в упаковке)</v>
      </c>
      <c r="N110" s="292" t="str">
        <f aca="false">IF(ISBLANK(Кабели!$D$114),"",Кабели!$D$114)</f>
        <v>6941991122064</v>
      </c>
      <c r="O110" s="292" t="str">
        <f aca="false">IF(ISBLANK(Кабели!$E$114),"",Кабели!$E$114)</f>
        <v>черный</v>
      </c>
      <c r="P110" s="292" t="str">
        <f aca="false">"ед."</f>
        <v>ед.</v>
      </c>
      <c r="Q110" s="292" t="n">
        <f aca="false">N(Кабели!$G$114)</f>
        <v>0</v>
      </c>
      <c r="R110" s="299" t="n">
        <f aca="false">IF(ISBLANK(Кабели!$F$114),"",Кабели!$F$114)</f>
        <v>73.39</v>
      </c>
      <c r="S110" s="292" t="str">
        <f aca="false">IF(ISBLANK(Кабели!$H$114),"",Кабели!$H$114)</f>
        <v/>
      </c>
    </row>
    <row r="111" customFormat="false" ht="66" hidden="false" customHeight="true" outlineLevel="0" collapsed="false">
      <c r="A111" s="291" t="str">
        <f aca="true">IF(ISNUMBER($J111),INDIRECT("L"&amp;($J111+4)),"")</f>
        <v/>
      </c>
      <c r="B111" s="291" t="str">
        <f aca="true">IF(ISNUMBER($J111),INDIRECT("M"&amp;($J111+4)),"")</f>
        <v/>
      </c>
      <c r="C111" s="296" t="str">
        <f aca="true">IF(ISNUMBER($J111),INDIRECT("N"&amp;($J111+4)),"")</f>
        <v/>
      </c>
      <c r="D111" s="291" t="str">
        <f aca="true">IF(ISNUMBER($J111),INDIRECT("O"&amp;($J111+4)),"")</f>
        <v/>
      </c>
      <c r="E111" s="291" t="str">
        <f aca="true">IF(ISNUMBER($J111),INDIRECT("P"&amp;($J111+4)),"")</f>
        <v/>
      </c>
      <c r="F111" s="300" t="str">
        <f aca="true">IF(ISNUMBER($J111),INDIRECT("Q"&amp;($J111+4)),"")</f>
        <v/>
      </c>
      <c r="G111" s="298" t="str">
        <f aca="true">IF(ISNUMBER($J111),INDIRECT("R"&amp;($J111+4)),"")</f>
        <v/>
      </c>
      <c r="H111" s="298" t="str">
        <f aca="true">IF(ISNUMBER($J111),INDIRECT("S"&amp;($J111+4)),"")</f>
        <v/>
      </c>
      <c r="J111" s="292" t="str">
        <f aca="true">IF(107&lt;=$K$1,MATCH(106.5,INDIRECT("$K$4:$K$1374"),1),"")</f>
        <v/>
      </c>
      <c r="K111" s="292" t="n">
        <f aca="false">COUNTIF($Q$5:Q111,"&gt;0")</f>
        <v>0</v>
      </c>
      <c r="L111" s="292" t="str">
        <f aca="false">"Кабели"</f>
        <v>Кабели</v>
      </c>
      <c r="M111" s="292" t="str">
        <f aca="false">IF(ISBLANK(Кабели!$A$115),"",Кабели!$A$115)</f>
        <v>BX120 Placer 60W зарядный дата кабель C на C (в упаковке)</v>
      </c>
      <c r="N111" s="292" t="str">
        <f aca="false">IF(ISBLANK(Кабели!$D$115),"",Кабели!$D$115)</f>
        <v>6941991122149</v>
      </c>
      <c r="O111" s="292" t="str">
        <f aca="false">IF(ISBLANK(Кабели!$E$115),"",Кабели!$E$115)</f>
        <v>черный</v>
      </c>
      <c r="P111" s="292" t="str">
        <f aca="false">"ед."</f>
        <v>ед.</v>
      </c>
      <c r="Q111" s="292" t="n">
        <f aca="false">N(Кабели!$G$115)</f>
        <v>0</v>
      </c>
      <c r="R111" s="299" t="n">
        <f aca="false">IF(ISBLANK(Кабели!$F$115),"",Кабели!$F$115)</f>
        <v>55.45</v>
      </c>
      <c r="S111" s="292" t="str">
        <f aca="false">IF(ISBLANK(Кабели!$H$115),"",Кабели!$H$115)</f>
        <v/>
      </c>
    </row>
    <row r="112" customFormat="false" ht="66" hidden="false" customHeight="true" outlineLevel="0" collapsed="false">
      <c r="A112" s="291" t="str">
        <f aca="true">IF(ISNUMBER($J112),INDIRECT("L"&amp;($J112+4)),"")</f>
        <v/>
      </c>
      <c r="B112" s="291" t="str">
        <f aca="true">IF(ISNUMBER($J112),INDIRECT("M"&amp;($J112+4)),"")</f>
        <v/>
      </c>
      <c r="C112" s="296" t="str">
        <f aca="true">IF(ISNUMBER($J112),INDIRECT("N"&amp;($J112+4)),"")</f>
        <v/>
      </c>
      <c r="D112" s="291" t="str">
        <f aca="true">IF(ISNUMBER($J112),INDIRECT("O"&amp;($J112+4)),"")</f>
        <v/>
      </c>
      <c r="E112" s="291" t="str">
        <f aca="true">IF(ISNUMBER($J112),INDIRECT("P"&amp;($J112+4)),"")</f>
        <v/>
      </c>
      <c r="F112" s="300" t="str">
        <f aca="true">IF(ISNUMBER($J112),INDIRECT("Q"&amp;($J112+4)),"")</f>
        <v/>
      </c>
      <c r="G112" s="298" t="str">
        <f aca="true">IF(ISNUMBER($J112),INDIRECT("R"&amp;($J112+4)),"")</f>
        <v/>
      </c>
      <c r="H112" s="298" t="str">
        <f aca="true">IF(ISNUMBER($J112),INDIRECT("S"&amp;($J112+4)),"")</f>
        <v/>
      </c>
      <c r="J112" s="292" t="str">
        <f aca="true">IF(108&lt;=$K$1,MATCH(107.5,INDIRECT("$K$4:$K$1374"),1),"")</f>
        <v/>
      </c>
      <c r="K112" s="292" t="n">
        <f aca="false">COUNTIF($Q$5:Q112,"&gt;0")</f>
        <v>0</v>
      </c>
      <c r="L112" s="292" t="str">
        <f aca="false">"Кабели"</f>
        <v>Кабели</v>
      </c>
      <c r="M112" s="292" t="str">
        <f aca="false">IF(ISBLANK(Кабели!$A$116),"",Кабели!$A$116)</f>
        <v>BX120 Placer зарядный дата кабель iP (в упаковке)</v>
      </c>
      <c r="N112" s="292" t="str">
        <f aca="false">IF(ISBLANK(Кабели!$D$116),"",Кабели!$D$116)</f>
        <v>6941991122088</v>
      </c>
      <c r="O112" s="292" t="str">
        <f aca="false">IF(ISBLANK(Кабели!$E$116),"",Кабели!$E$116)</f>
        <v>черный</v>
      </c>
      <c r="P112" s="292" t="str">
        <f aca="false">"ед."</f>
        <v>ед.</v>
      </c>
      <c r="Q112" s="292" t="n">
        <f aca="false">N(Кабели!$G$116)</f>
        <v>0</v>
      </c>
      <c r="R112" s="299" t="n">
        <f aca="false">IF(ISBLANK(Кабели!$F$116),"",Кабели!$F$116)</f>
        <v>48.93</v>
      </c>
      <c r="S112" s="292" t="str">
        <f aca="false">IF(ISBLANK(Кабели!$H$116),"",Кабели!$H$116)</f>
        <v/>
      </c>
    </row>
    <row r="113" customFormat="false" ht="66" hidden="false" customHeight="true" outlineLevel="0" collapsed="false">
      <c r="A113" s="291" t="str">
        <f aca="true">IF(ISNUMBER($J113),INDIRECT("L"&amp;($J113+4)),"")</f>
        <v/>
      </c>
      <c r="B113" s="291" t="str">
        <f aca="true">IF(ISNUMBER($J113),INDIRECT("M"&amp;($J113+4)),"")</f>
        <v/>
      </c>
      <c r="C113" s="296" t="str">
        <f aca="true">IF(ISNUMBER($J113),INDIRECT("N"&amp;($J113+4)),"")</f>
        <v/>
      </c>
      <c r="D113" s="291" t="str">
        <f aca="true">IF(ISNUMBER($J113),INDIRECT("O"&amp;($J113+4)),"")</f>
        <v/>
      </c>
      <c r="E113" s="291" t="str">
        <f aca="true">IF(ISNUMBER($J113),INDIRECT("P"&amp;($J113+4)),"")</f>
        <v/>
      </c>
      <c r="F113" s="300" t="str">
        <f aca="true">IF(ISNUMBER($J113),INDIRECT("Q"&amp;($J113+4)),"")</f>
        <v/>
      </c>
      <c r="G113" s="298" t="str">
        <f aca="true">IF(ISNUMBER($J113),INDIRECT("R"&amp;($J113+4)),"")</f>
        <v/>
      </c>
      <c r="H113" s="298" t="str">
        <f aca="true">IF(ISNUMBER($J113),INDIRECT("S"&amp;($J113+4)),"")</f>
        <v/>
      </c>
      <c r="J113" s="292" t="str">
        <f aca="true">IF(109&lt;=$K$1,MATCH(108.5,INDIRECT("$K$4:$K$1374"),1),"")</f>
        <v/>
      </c>
      <c r="K113" s="292" t="n">
        <f aca="false">COUNTIF($Q$5:Q113,"&gt;0")</f>
        <v>0</v>
      </c>
      <c r="L113" s="292" t="str">
        <f aca="false">"Кабели"</f>
        <v>Кабели</v>
      </c>
      <c r="M113" s="292" t="str">
        <f aca="false">IF(ISBLANK(Кабели!$A$117),"",Кабели!$A$117)</f>
        <v>BX120 Placer зарядный дата кабель Micro (в упаковке)</v>
      </c>
      <c r="N113" s="292" t="str">
        <f aca="false">IF(ISBLANK(Кабели!$D$117),"",Кабели!$D$117)</f>
        <v>6941991122101</v>
      </c>
      <c r="O113" s="292" t="str">
        <f aca="false">IF(ISBLANK(Кабели!$E$117),"",Кабели!$E$117)</f>
        <v>черный</v>
      </c>
      <c r="P113" s="292" t="str">
        <f aca="false">"ед."</f>
        <v>ед.</v>
      </c>
      <c r="Q113" s="292" t="n">
        <f aca="false">N(Кабели!$G$117)</f>
        <v>0</v>
      </c>
      <c r="R113" s="299" t="n">
        <f aca="false">IF(ISBLANK(Кабели!$F$117),"",Кабели!$F$117)</f>
        <v>38.33</v>
      </c>
      <c r="S113" s="292" t="str">
        <f aca="false">IF(ISBLANK(Кабели!$H$117),"",Кабели!$H$117)</f>
        <v/>
      </c>
    </row>
    <row r="114" customFormat="false" ht="66" hidden="false" customHeight="true" outlineLevel="0" collapsed="false">
      <c r="A114" s="291" t="str">
        <f aca="true">IF(ISNUMBER($J114),INDIRECT("L"&amp;($J114+4)),"")</f>
        <v/>
      </c>
      <c r="B114" s="291" t="str">
        <f aca="true">IF(ISNUMBER($J114),INDIRECT("M"&amp;($J114+4)),"")</f>
        <v/>
      </c>
      <c r="C114" s="296" t="str">
        <f aca="true">IF(ISNUMBER($J114),INDIRECT("N"&amp;($J114+4)),"")</f>
        <v/>
      </c>
      <c r="D114" s="291" t="str">
        <f aca="true">IF(ISNUMBER($J114),INDIRECT("O"&amp;($J114+4)),"")</f>
        <v/>
      </c>
      <c r="E114" s="291" t="str">
        <f aca="true">IF(ISNUMBER($J114),INDIRECT("P"&amp;($J114+4)),"")</f>
        <v/>
      </c>
      <c r="F114" s="300" t="str">
        <f aca="true">IF(ISNUMBER($J114),INDIRECT("Q"&amp;($J114+4)),"")</f>
        <v/>
      </c>
      <c r="G114" s="298" t="str">
        <f aca="true">IF(ISNUMBER($J114),INDIRECT("R"&amp;($J114+4)),"")</f>
        <v/>
      </c>
      <c r="H114" s="298" t="str">
        <f aca="true">IF(ISNUMBER($J114),INDIRECT("S"&amp;($J114+4)),"")</f>
        <v/>
      </c>
      <c r="J114" s="292" t="str">
        <f aca="true">IF(110&lt;=$K$1,MATCH(109.5,INDIRECT("$K$4:$K$1374"),1),"")</f>
        <v/>
      </c>
      <c r="K114" s="292" t="n">
        <f aca="false">COUNTIF($Q$5:Q114,"&gt;0")</f>
        <v>0</v>
      </c>
      <c r="L114" s="292" t="str">
        <f aca="false">"Кабели"</f>
        <v>Кабели</v>
      </c>
      <c r="M114" s="292" t="str">
        <f aca="false">IF(ISBLANK(Кабели!$A$118),"",Кабели!$A$118)</f>
        <v>BX120 Placer зарядный дата кабель Type-C (в упаковке)</v>
      </c>
      <c r="N114" s="292" t="str">
        <f aca="false">IF(ISBLANK(Кабели!$D$118),"",Кабели!$D$118)</f>
        <v>6941991122125</v>
      </c>
      <c r="O114" s="292" t="str">
        <f aca="false">IF(ISBLANK(Кабели!$E$118),"",Кабели!$E$118)</f>
        <v>черный</v>
      </c>
      <c r="P114" s="292" t="str">
        <f aca="false">"ед."</f>
        <v>ед.</v>
      </c>
      <c r="Q114" s="292" t="n">
        <f aca="false">N(Кабели!$G$118)</f>
        <v>0</v>
      </c>
      <c r="R114" s="299" t="n">
        <f aca="false">IF(ISBLANK(Кабели!$F$118),"",Кабели!$F$118)</f>
        <v>42.4</v>
      </c>
      <c r="S114" s="292" t="str">
        <f aca="false">IF(ISBLANK(Кабели!$H$118),"",Кабели!$H$118)</f>
        <v/>
      </c>
    </row>
    <row r="115" customFormat="false" ht="66" hidden="false" customHeight="true" outlineLevel="0" collapsed="false">
      <c r="A115" s="291" t="str">
        <f aca="true">IF(ISNUMBER($J115),INDIRECT("L"&amp;($J115+4)),"")</f>
        <v/>
      </c>
      <c r="B115" s="291" t="str">
        <f aca="true">IF(ISNUMBER($J115),INDIRECT("M"&amp;($J115+4)),"")</f>
        <v/>
      </c>
      <c r="C115" s="296" t="str">
        <f aca="true">IF(ISNUMBER($J115),INDIRECT("N"&amp;($J115+4)),"")</f>
        <v/>
      </c>
      <c r="D115" s="291" t="str">
        <f aca="true">IF(ISNUMBER($J115),INDIRECT("O"&amp;($J115+4)),"")</f>
        <v/>
      </c>
      <c r="E115" s="291" t="str">
        <f aca="true">IF(ISNUMBER($J115),INDIRECT("P"&amp;($J115+4)),"")</f>
        <v/>
      </c>
      <c r="F115" s="300" t="str">
        <f aca="true">IF(ISNUMBER($J115),INDIRECT("Q"&amp;($J115+4)),"")</f>
        <v/>
      </c>
      <c r="G115" s="298" t="str">
        <f aca="true">IF(ISNUMBER($J115),INDIRECT("R"&amp;($J115+4)),"")</f>
        <v/>
      </c>
      <c r="H115" s="298" t="str">
        <f aca="true">IF(ISNUMBER($J115),INDIRECT("S"&amp;($J115+4)),"")</f>
        <v/>
      </c>
      <c r="J115" s="292" t="str">
        <f aca="true">IF(111&lt;=$K$1,MATCH(110.5,INDIRECT("$K$4:$K$1374"),1),"")</f>
        <v/>
      </c>
      <c r="K115" s="292" t="n">
        <f aca="false">COUNTIF($Q$5:Q115,"&gt;0")</f>
        <v>0</v>
      </c>
      <c r="L115" s="292" t="str">
        <f aca="false">"Кабели"</f>
        <v>Кабели</v>
      </c>
      <c r="M115" s="292" t="str">
        <f aca="false">IF(ISBLANK(Кабели!$A$119),"",Кабели!$A$119)</f>
        <v>BX117 Source PD зарядный дата кабель iP</v>
      </c>
      <c r="N115" s="292" t="str">
        <f aca="false">IF(ISBLANK(Кабели!$D$119),"",Кабели!$D$119)</f>
        <v>6941991120114</v>
      </c>
      <c r="O115" s="292" t="str">
        <f aca="false">IF(ISBLANK(Кабели!$E$119),"",Кабели!$E$119)</f>
        <v>белый</v>
      </c>
      <c r="P115" s="292" t="str">
        <f aca="false">"ед."</f>
        <v>ед.</v>
      </c>
      <c r="Q115" s="292" t="n">
        <f aca="false">N(Кабели!$G$119)</f>
        <v>0</v>
      </c>
      <c r="R115" s="299" t="n">
        <f aca="false">IF(ISBLANK(Кабели!$F$119),"",Кабели!$F$119)</f>
        <v>78.29</v>
      </c>
      <c r="S115" s="292" t="str">
        <f aca="false">IF(ISBLANK(Кабели!$H$119),"",Кабели!$H$119)</f>
        <v/>
      </c>
    </row>
    <row r="116" customFormat="false" ht="66" hidden="false" customHeight="true" outlineLevel="0" collapsed="false">
      <c r="A116" s="291" t="str">
        <f aca="true">IF(ISNUMBER($J116),INDIRECT("L"&amp;($J116+4)),"")</f>
        <v/>
      </c>
      <c r="B116" s="291" t="str">
        <f aca="true">IF(ISNUMBER($J116),INDIRECT("M"&amp;($J116+4)),"")</f>
        <v/>
      </c>
      <c r="C116" s="296" t="str">
        <f aca="true">IF(ISNUMBER($J116),INDIRECT("N"&amp;($J116+4)),"")</f>
        <v/>
      </c>
      <c r="D116" s="291" t="str">
        <f aca="true">IF(ISNUMBER($J116),INDIRECT("O"&amp;($J116+4)),"")</f>
        <v/>
      </c>
      <c r="E116" s="291" t="str">
        <f aca="true">IF(ISNUMBER($J116),INDIRECT("P"&amp;($J116+4)),"")</f>
        <v/>
      </c>
      <c r="F116" s="300" t="str">
        <f aca="true">IF(ISNUMBER($J116),INDIRECT("Q"&amp;($J116+4)),"")</f>
        <v/>
      </c>
      <c r="G116" s="298" t="str">
        <f aca="true">IF(ISNUMBER($J116),INDIRECT("R"&amp;($J116+4)),"")</f>
        <v/>
      </c>
      <c r="H116" s="298" t="str">
        <f aca="true">IF(ISNUMBER($J116),INDIRECT("S"&amp;($J116+4)),"")</f>
        <v/>
      </c>
      <c r="J116" s="292" t="str">
        <f aca="true">IF(112&lt;=$K$1,MATCH(111.5,INDIRECT("$K$4:$K$1374"),1),"")</f>
        <v/>
      </c>
      <c r="K116" s="292" t="n">
        <f aca="false">COUNTIF($Q$5:Q116,"&gt;0")</f>
        <v>0</v>
      </c>
      <c r="L116" s="292" t="str">
        <f aca="false">"Кабели"</f>
        <v>Кабели</v>
      </c>
      <c r="M116" s="292" t="str">
        <f aca="false">IF(ISBLANK(Кабели!$A$120),"",Кабели!$A$120)</f>
        <v>BX117 Source 60W зарядный дата кабель C на C</v>
      </c>
      <c r="N116" s="292" t="str">
        <f aca="false">IF(ISBLANK(Кабели!$D$120),"",Кабели!$D$120)</f>
        <v>6941991120206</v>
      </c>
      <c r="O116" s="292" t="str">
        <f aca="false">IF(ISBLANK(Кабели!$E$120),"",Кабели!$E$120)</f>
        <v>белый</v>
      </c>
      <c r="P116" s="292" t="str">
        <f aca="false">"ед."</f>
        <v>ед.</v>
      </c>
      <c r="Q116" s="292" t="n">
        <f aca="false">N(Кабели!$G$120)</f>
        <v>0</v>
      </c>
      <c r="R116" s="299" t="n">
        <f aca="false">IF(ISBLANK(Кабели!$F$120),"",Кабели!$F$120)</f>
        <v>61.98</v>
      </c>
      <c r="S116" s="292" t="str">
        <f aca="false">IF(ISBLANK(Кабели!$H$120),"",Кабели!$H$120)</f>
        <v/>
      </c>
    </row>
    <row r="117" customFormat="false" ht="66" hidden="false" customHeight="true" outlineLevel="0" collapsed="false">
      <c r="A117" s="291" t="str">
        <f aca="true">IF(ISNUMBER($J117),INDIRECT("L"&amp;($J117+4)),"")</f>
        <v/>
      </c>
      <c r="B117" s="291" t="str">
        <f aca="true">IF(ISNUMBER($J117),INDIRECT("M"&amp;($J117+4)),"")</f>
        <v/>
      </c>
      <c r="C117" s="296" t="str">
        <f aca="true">IF(ISNUMBER($J117),INDIRECT("N"&amp;($J117+4)),"")</f>
        <v/>
      </c>
      <c r="D117" s="291" t="str">
        <f aca="true">IF(ISNUMBER($J117),INDIRECT("O"&amp;($J117+4)),"")</f>
        <v/>
      </c>
      <c r="E117" s="291" t="str">
        <f aca="true">IF(ISNUMBER($J117),INDIRECT("P"&amp;($J117+4)),"")</f>
        <v/>
      </c>
      <c r="F117" s="300" t="str">
        <f aca="true">IF(ISNUMBER($J117),INDIRECT("Q"&amp;($J117+4)),"")</f>
        <v/>
      </c>
      <c r="G117" s="298" t="str">
        <f aca="true">IF(ISNUMBER($J117),INDIRECT("R"&amp;($J117+4)),"")</f>
        <v/>
      </c>
      <c r="H117" s="298" t="str">
        <f aca="true">IF(ISNUMBER($J117),INDIRECT("S"&amp;($J117+4)),"")</f>
        <v/>
      </c>
      <c r="J117" s="292" t="str">
        <f aca="true">IF(113&lt;=$K$1,MATCH(112.5,INDIRECT("$K$4:$K$1374"),1),"")</f>
        <v/>
      </c>
      <c r="K117" s="292" t="n">
        <f aca="false">COUNTIF($Q$5:Q117,"&gt;0")</f>
        <v>0</v>
      </c>
      <c r="L117" s="292" t="str">
        <f aca="false">"Кабели"</f>
        <v>Кабели</v>
      </c>
      <c r="M117" s="292" t="str">
        <f aca="false">IF(ISBLANK(Кабели!$A$121),"",Кабели!$A$121)</f>
        <v>BX117 Source зарядный дата кабель iP</v>
      </c>
      <c r="N117" s="292" t="str">
        <f aca="false">IF(ISBLANK(Кабели!$D$121),"",Кабели!$D$121)</f>
        <v>6941991120145</v>
      </c>
      <c r="O117" s="292" t="str">
        <f aca="false">IF(ISBLANK(Кабели!$E$121),"",Кабели!$E$121)</f>
        <v>белый</v>
      </c>
      <c r="P117" s="292" t="str">
        <f aca="false">"ед."</f>
        <v>ед.</v>
      </c>
      <c r="Q117" s="292" t="n">
        <f aca="false">N(Кабели!$G$121)</f>
        <v>0</v>
      </c>
      <c r="R117" s="299" t="n">
        <f aca="false">IF(ISBLANK(Кабели!$F$121),"",Кабели!$F$121)</f>
        <v>57.08</v>
      </c>
      <c r="S117" s="292" t="str">
        <f aca="false">IF(ISBLANK(Кабели!$H$121),"",Кабели!$H$121)</f>
        <v/>
      </c>
    </row>
    <row r="118" customFormat="false" ht="66" hidden="false" customHeight="true" outlineLevel="0" collapsed="false">
      <c r="A118" s="291" t="str">
        <f aca="true">IF(ISNUMBER($J118),INDIRECT("L"&amp;($J118+4)),"")</f>
        <v/>
      </c>
      <c r="B118" s="291" t="str">
        <f aca="true">IF(ISNUMBER($J118),INDIRECT("M"&amp;($J118+4)),"")</f>
        <v/>
      </c>
      <c r="C118" s="296" t="str">
        <f aca="true">IF(ISNUMBER($J118),INDIRECT("N"&amp;($J118+4)),"")</f>
        <v/>
      </c>
      <c r="D118" s="291" t="str">
        <f aca="true">IF(ISNUMBER($J118),INDIRECT("O"&amp;($J118+4)),"")</f>
        <v/>
      </c>
      <c r="E118" s="291" t="str">
        <f aca="true">IF(ISNUMBER($J118),INDIRECT("P"&amp;($J118+4)),"")</f>
        <v/>
      </c>
      <c r="F118" s="300" t="str">
        <f aca="true">IF(ISNUMBER($J118),INDIRECT("Q"&amp;($J118+4)),"")</f>
        <v/>
      </c>
      <c r="G118" s="298" t="str">
        <f aca="true">IF(ISNUMBER($J118),INDIRECT("R"&amp;($J118+4)),"")</f>
        <v/>
      </c>
      <c r="H118" s="298" t="str">
        <f aca="true">IF(ISNUMBER($J118),INDIRECT("S"&amp;($J118+4)),"")</f>
        <v/>
      </c>
      <c r="J118" s="292" t="str">
        <f aca="true">IF(114&lt;=$K$1,MATCH(113.5,INDIRECT("$K$4:$K$1374"),1),"")</f>
        <v/>
      </c>
      <c r="K118" s="292" t="n">
        <f aca="false">COUNTIF($Q$5:Q118,"&gt;0")</f>
        <v>0</v>
      </c>
      <c r="L118" s="292" t="str">
        <f aca="false">"Кабели"</f>
        <v>Кабели</v>
      </c>
      <c r="M118" s="292" t="str">
        <f aca="false">IF(ISBLANK(Кабели!$A$122),"",Кабели!$A$122)</f>
        <v>BX117 Source зарядный дата кабель Type-C</v>
      </c>
      <c r="N118" s="292" t="str">
        <f aca="false">IF(ISBLANK(Кабели!$D$122),"",Кабели!$D$122)</f>
        <v>6941991120176</v>
      </c>
      <c r="O118" s="292" t="str">
        <f aca="false">IF(ISBLANK(Кабели!$E$122),"",Кабели!$E$122)</f>
        <v>белый</v>
      </c>
      <c r="P118" s="292" t="str">
        <f aca="false">"ед."</f>
        <v>ед.</v>
      </c>
      <c r="Q118" s="292" t="n">
        <f aca="false">N(Кабели!$G$122)</f>
        <v>0</v>
      </c>
      <c r="R118" s="299" t="n">
        <f aca="false">IF(ISBLANK(Кабели!$F$122),"",Кабели!$F$122)</f>
        <v>53.82</v>
      </c>
      <c r="S118" s="292" t="str">
        <f aca="false">IF(ISBLANK(Кабели!$H$122),"",Кабели!$H$122)</f>
        <v/>
      </c>
    </row>
    <row r="119" customFormat="false" ht="66" hidden="false" customHeight="true" outlineLevel="0" collapsed="false">
      <c r="A119" s="291" t="str">
        <f aca="true">IF(ISNUMBER($J119),INDIRECT("L"&amp;($J119+4)),"")</f>
        <v/>
      </c>
      <c r="B119" s="291" t="str">
        <f aca="true">IF(ISNUMBER($J119),INDIRECT("M"&amp;($J119+4)),"")</f>
        <v/>
      </c>
      <c r="C119" s="296" t="str">
        <f aca="true">IF(ISNUMBER($J119),INDIRECT("N"&amp;($J119+4)),"")</f>
        <v/>
      </c>
      <c r="D119" s="291" t="str">
        <f aca="true">IF(ISNUMBER($J119),INDIRECT("O"&amp;($J119+4)),"")</f>
        <v/>
      </c>
      <c r="E119" s="291" t="str">
        <f aca="true">IF(ISNUMBER($J119),INDIRECT("P"&amp;($J119+4)),"")</f>
        <v/>
      </c>
      <c r="F119" s="300" t="str">
        <f aca="true">IF(ISNUMBER($J119),INDIRECT("Q"&amp;($J119+4)),"")</f>
        <v/>
      </c>
      <c r="G119" s="298" t="str">
        <f aca="true">IF(ISNUMBER($J119),INDIRECT("R"&amp;($J119+4)),"")</f>
        <v/>
      </c>
      <c r="H119" s="298" t="str">
        <f aca="true">IF(ISNUMBER($J119),INDIRECT("S"&amp;($J119+4)),"")</f>
        <v/>
      </c>
      <c r="J119" s="292" t="str">
        <f aca="true">IF(115&lt;=$K$1,MATCH(114.5,INDIRECT("$K$4:$K$1374"),1),"")</f>
        <v/>
      </c>
      <c r="K119" s="292" t="n">
        <f aca="false">COUNTIF($Q$5:Q119,"&gt;0")</f>
        <v>0</v>
      </c>
      <c r="L119" s="292" t="str">
        <f aca="false">"Кабели"</f>
        <v>Кабели</v>
      </c>
      <c r="M119" s="292" t="str">
        <f aca="false">IF(ISBLANK(Кабели!$A$123),"",Кабели!$A$123)</f>
        <v>BX116 Certain PD зарядный дата кабель iP</v>
      </c>
      <c r="N119" s="292" t="str">
        <f aca="false">IF(ISBLANK(Кабели!$D$123),"",Кабели!$D$123)</f>
        <v>6941991119712</v>
      </c>
      <c r="O119" s="292" t="str">
        <f aca="false">IF(ISBLANK(Кабели!$E$123),"",Кабели!$E$123)</f>
        <v>чёрный</v>
      </c>
      <c r="P119" s="292" t="str">
        <f aca="false">"ед."</f>
        <v>ед.</v>
      </c>
      <c r="Q119" s="292" t="n">
        <f aca="false">N(Кабели!$G$123)</f>
        <v>0</v>
      </c>
      <c r="R119" s="299" t="n">
        <f aca="false">IF(ISBLANK(Кабели!$F$123),"",Кабели!$F$123)</f>
        <v>71.76</v>
      </c>
      <c r="S119" s="292" t="str">
        <f aca="false">IF(ISBLANK(Кабели!$H$123),"",Кабели!$H$123)</f>
        <v/>
      </c>
    </row>
    <row r="120" customFormat="false" ht="66" hidden="false" customHeight="true" outlineLevel="0" collapsed="false">
      <c r="A120" s="291" t="str">
        <f aca="true">IF(ISNUMBER($J120),INDIRECT("L"&amp;($J120+4)),"")</f>
        <v/>
      </c>
      <c r="B120" s="291" t="str">
        <f aca="true">IF(ISNUMBER($J120),INDIRECT("M"&amp;($J120+4)),"")</f>
        <v/>
      </c>
      <c r="C120" s="296" t="str">
        <f aca="true">IF(ISNUMBER($J120),INDIRECT("N"&amp;($J120+4)),"")</f>
        <v/>
      </c>
      <c r="D120" s="291" t="str">
        <f aca="true">IF(ISNUMBER($J120),INDIRECT("O"&amp;($J120+4)),"")</f>
        <v/>
      </c>
      <c r="E120" s="291" t="str">
        <f aca="true">IF(ISNUMBER($J120),INDIRECT("P"&amp;($J120+4)),"")</f>
        <v/>
      </c>
      <c r="F120" s="300" t="str">
        <f aca="true">IF(ISNUMBER($J120),INDIRECT("Q"&amp;($J120+4)),"")</f>
        <v/>
      </c>
      <c r="G120" s="298" t="str">
        <f aca="true">IF(ISNUMBER($J120),INDIRECT("R"&amp;($J120+4)),"")</f>
        <v/>
      </c>
      <c r="H120" s="298" t="str">
        <f aca="true">IF(ISNUMBER($J120),INDIRECT("S"&amp;($J120+4)),"")</f>
        <v/>
      </c>
      <c r="J120" s="292" t="str">
        <f aca="true">IF(116&lt;=$K$1,MATCH(115.5,INDIRECT("$K$4:$K$1374"),1),"")</f>
        <v/>
      </c>
      <c r="K120" s="292" t="n">
        <f aca="false">COUNTIF($Q$5:Q120,"&gt;0")</f>
        <v>0</v>
      </c>
      <c r="L120" s="292" t="str">
        <f aca="false">"Кабели"</f>
        <v>Кабели</v>
      </c>
      <c r="M120" s="292" t="str">
        <f aca="false">IF(ISBLANK(Кабели!$A$123),"",Кабели!$A$123)</f>
        <v>BX116 Certain PD зарядный дата кабель iP</v>
      </c>
      <c r="N120" s="292" t="str">
        <f aca="false">IF(ISBLANK(Кабели!$D$124),"",Кабели!$D$124)</f>
        <v>6941991119729</v>
      </c>
      <c r="O120" s="292" t="str">
        <f aca="false">IF(ISBLANK(Кабели!$E$124),"",Кабели!$E$124)</f>
        <v>белый</v>
      </c>
      <c r="P120" s="292" t="str">
        <f aca="false">"ед."</f>
        <v>ед.</v>
      </c>
      <c r="Q120" s="292" t="n">
        <f aca="false">N(Кабели!$G$124)</f>
        <v>0</v>
      </c>
      <c r="R120" s="299" t="n">
        <f aca="false">IF(ISBLANK(Кабели!$F$124),"",Кабели!$F$124)</f>
        <v>71.76</v>
      </c>
      <c r="S120" s="292" t="str">
        <f aca="false">IF(ISBLANK(Кабели!$H$124),"",Кабели!$H$124)</f>
        <v/>
      </c>
    </row>
    <row r="121" customFormat="false" ht="66" hidden="false" customHeight="true" outlineLevel="0" collapsed="false">
      <c r="A121" s="291" t="str">
        <f aca="true">IF(ISNUMBER($J121),INDIRECT("L"&amp;($J121+4)),"")</f>
        <v/>
      </c>
      <c r="B121" s="291" t="str">
        <f aca="true">IF(ISNUMBER($J121),INDIRECT("M"&amp;($J121+4)),"")</f>
        <v/>
      </c>
      <c r="C121" s="296" t="str">
        <f aca="true">IF(ISNUMBER($J121),INDIRECT("N"&amp;($J121+4)),"")</f>
        <v/>
      </c>
      <c r="D121" s="291" t="str">
        <f aca="true">IF(ISNUMBER($J121),INDIRECT("O"&amp;($J121+4)),"")</f>
        <v/>
      </c>
      <c r="E121" s="291" t="str">
        <f aca="true">IF(ISNUMBER($J121),INDIRECT("P"&amp;($J121+4)),"")</f>
        <v/>
      </c>
      <c r="F121" s="300" t="str">
        <f aca="true">IF(ISNUMBER($J121),INDIRECT("Q"&amp;($J121+4)),"")</f>
        <v/>
      </c>
      <c r="G121" s="298" t="str">
        <f aca="true">IF(ISNUMBER($J121),INDIRECT("R"&amp;($J121+4)),"")</f>
        <v/>
      </c>
      <c r="H121" s="298" t="str">
        <f aca="true">IF(ISNUMBER($J121),INDIRECT("S"&amp;($J121+4)),"")</f>
        <v/>
      </c>
      <c r="J121" s="292" t="str">
        <f aca="true">IF(117&lt;=$K$1,MATCH(116.5,INDIRECT("$K$4:$K$1374"),1),"")</f>
        <v/>
      </c>
      <c r="K121" s="292" t="n">
        <f aca="false">COUNTIF($Q$5:Q121,"&gt;0")</f>
        <v>0</v>
      </c>
      <c r="L121" s="292" t="str">
        <f aca="false">"Кабели"</f>
        <v>Кабели</v>
      </c>
      <c r="M121" s="292" t="str">
        <f aca="false">IF(ISBLANK(Кабели!$A$125),"",Кабели!$A$125)</f>
        <v>BX116 Certain 60W зарядный дата кабель C на C</v>
      </c>
      <c r="N121" s="292" t="str">
        <f aca="false">IF(ISBLANK(Кабели!$D$125),"",Кабели!$D$125)</f>
        <v>6941991119835</v>
      </c>
      <c r="O121" s="292" t="str">
        <f aca="false">IF(ISBLANK(Кабели!$E$125),"",Кабели!$E$125)</f>
        <v>чёрный</v>
      </c>
      <c r="P121" s="292" t="str">
        <f aca="false">"ед."</f>
        <v>ед.</v>
      </c>
      <c r="Q121" s="292" t="n">
        <f aca="false">N(Кабели!$G$125)</f>
        <v>0</v>
      </c>
      <c r="R121" s="299" t="n">
        <f aca="false">IF(ISBLANK(Кабели!$F$125),"",Кабели!$F$125)</f>
        <v>57.08</v>
      </c>
      <c r="S121" s="292" t="str">
        <f aca="false">IF(ISBLANK(Кабели!$H$125),"",Кабели!$H$125)</f>
        <v/>
      </c>
    </row>
    <row r="122" customFormat="false" ht="66" hidden="false" customHeight="true" outlineLevel="0" collapsed="false">
      <c r="A122" s="291" t="str">
        <f aca="true">IF(ISNUMBER($J122),INDIRECT("L"&amp;($J122+4)),"")</f>
        <v/>
      </c>
      <c r="B122" s="291" t="str">
        <f aca="true">IF(ISNUMBER($J122),INDIRECT("M"&amp;($J122+4)),"")</f>
        <v/>
      </c>
      <c r="C122" s="296" t="str">
        <f aca="true">IF(ISNUMBER($J122),INDIRECT("N"&amp;($J122+4)),"")</f>
        <v/>
      </c>
      <c r="D122" s="291" t="str">
        <f aca="true">IF(ISNUMBER($J122),INDIRECT("O"&amp;($J122+4)),"")</f>
        <v/>
      </c>
      <c r="E122" s="291" t="str">
        <f aca="true">IF(ISNUMBER($J122),INDIRECT("P"&amp;($J122+4)),"")</f>
        <v/>
      </c>
      <c r="F122" s="300" t="str">
        <f aca="true">IF(ISNUMBER($J122),INDIRECT("Q"&amp;($J122+4)),"")</f>
        <v/>
      </c>
      <c r="G122" s="298" t="str">
        <f aca="true">IF(ISNUMBER($J122),INDIRECT("R"&amp;($J122+4)),"")</f>
        <v/>
      </c>
      <c r="H122" s="298" t="str">
        <f aca="true">IF(ISNUMBER($J122),INDIRECT("S"&amp;($J122+4)),"")</f>
        <v/>
      </c>
      <c r="J122" s="292" t="str">
        <f aca="true">IF(118&lt;=$K$1,MATCH(117.5,INDIRECT("$K$4:$K$1374"),1),"")</f>
        <v/>
      </c>
      <c r="K122" s="292" t="n">
        <f aca="false">COUNTIF($Q$5:Q122,"&gt;0")</f>
        <v>0</v>
      </c>
      <c r="L122" s="292" t="str">
        <f aca="false">"Кабели"</f>
        <v>Кабели</v>
      </c>
      <c r="M122" s="292" t="str">
        <f aca="false">IF(ISBLANK(Кабели!$A$125),"",Кабели!$A$125)</f>
        <v>BX116 Certain 60W зарядный дата кабель C на C</v>
      </c>
      <c r="N122" s="292" t="str">
        <f aca="false">IF(ISBLANK(Кабели!$D$126),"",Кабели!$D$126)</f>
        <v>6941991119842</v>
      </c>
      <c r="O122" s="292" t="str">
        <f aca="false">IF(ISBLANK(Кабели!$E$126),"",Кабели!$E$126)</f>
        <v>белый</v>
      </c>
      <c r="P122" s="292" t="str">
        <f aca="false">"ед."</f>
        <v>ед.</v>
      </c>
      <c r="Q122" s="292" t="n">
        <f aca="false">N(Кабели!$G$126)</f>
        <v>0</v>
      </c>
      <c r="R122" s="299" t="n">
        <f aca="false">IF(ISBLANK(Кабели!$F$126),"",Кабели!$F$126)</f>
        <v>57.08</v>
      </c>
      <c r="S122" s="292" t="str">
        <f aca="false">IF(ISBLANK(Кабели!$H$126),"",Кабели!$H$126)</f>
        <v/>
      </c>
    </row>
    <row r="123" customFormat="false" ht="66" hidden="false" customHeight="true" outlineLevel="0" collapsed="false">
      <c r="A123" s="291" t="str">
        <f aca="true">IF(ISNUMBER($J123),INDIRECT("L"&amp;($J123+4)),"")</f>
        <v/>
      </c>
      <c r="B123" s="291" t="str">
        <f aca="true">IF(ISNUMBER($J123),INDIRECT("M"&amp;($J123+4)),"")</f>
        <v/>
      </c>
      <c r="C123" s="296" t="str">
        <f aca="true">IF(ISNUMBER($J123),INDIRECT("N"&amp;($J123+4)),"")</f>
        <v/>
      </c>
      <c r="D123" s="291" t="str">
        <f aca="true">IF(ISNUMBER($J123),INDIRECT("O"&amp;($J123+4)),"")</f>
        <v/>
      </c>
      <c r="E123" s="291" t="str">
        <f aca="true">IF(ISNUMBER($J123),INDIRECT("P"&amp;($J123+4)),"")</f>
        <v/>
      </c>
      <c r="F123" s="300" t="str">
        <f aca="true">IF(ISNUMBER($J123),INDIRECT("Q"&amp;($J123+4)),"")</f>
        <v/>
      </c>
      <c r="G123" s="298" t="str">
        <f aca="true">IF(ISNUMBER($J123),INDIRECT("R"&amp;($J123+4)),"")</f>
        <v/>
      </c>
      <c r="H123" s="298" t="str">
        <f aca="true">IF(ISNUMBER($J123),INDIRECT("S"&amp;($J123+4)),"")</f>
        <v/>
      </c>
      <c r="J123" s="292" t="str">
        <f aca="true">IF(119&lt;=$K$1,MATCH(118.5,INDIRECT("$K$4:$K$1374"),1),"")</f>
        <v/>
      </c>
      <c r="K123" s="292" t="n">
        <f aca="false">COUNTIF($Q$5:Q123,"&gt;0")</f>
        <v>0</v>
      </c>
      <c r="L123" s="292" t="str">
        <f aca="false">"Кабели"</f>
        <v>Кабели</v>
      </c>
      <c r="M123" s="292" t="str">
        <f aca="false">IF(ISBLANK(Кабели!$A$127),"",Кабели!$A$127)</f>
        <v>BX116 Certain зарядный дата кабель Type-C</v>
      </c>
      <c r="N123" s="292" t="str">
        <f aca="false">IF(ISBLANK(Кабели!$D$127),"",Кабели!$D$127)</f>
        <v>6941991119804</v>
      </c>
      <c r="O123" s="292" t="str">
        <f aca="false">IF(ISBLANK(Кабели!$E$127),"",Кабели!$E$127)</f>
        <v>чёрный</v>
      </c>
      <c r="P123" s="292" t="str">
        <f aca="false">"ед."</f>
        <v>ед.</v>
      </c>
      <c r="Q123" s="292" t="n">
        <f aca="false">N(Кабели!$G$127)</f>
        <v>0</v>
      </c>
      <c r="R123" s="299" t="n">
        <f aca="false">IF(ISBLANK(Кабели!$F$127),"",Кабели!$F$127)</f>
        <v>47.3</v>
      </c>
      <c r="S123" s="292" t="str">
        <f aca="false">IF(ISBLANK(Кабели!$H$127),"",Кабели!$H$127)</f>
        <v/>
      </c>
    </row>
    <row r="124" customFormat="false" ht="66" hidden="false" customHeight="true" outlineLevel="0" collapsed="false">
      <c r="A124" s="291" t="str">
        <f aca="true">IF(ISNUMBER($J124),INDIRECT("L"&amp;($J124+4)),"")</f>
        <v/>
      </c>
      <c r="B124" s="291" t="str">
        <f aca="true">IF(ISNUMBER($J124),INDIRECT("M"&amp;($J124+4)),"")</f>
        <v/>
      </c>
      <c r="C124" s="296" t="str">
        <f aca="true">IF(ISNUMBER($J124),INDIRECT("N"&amp;($J124+4)),"")</f>
        <v/>
      </c>
      <c r="D124" s="291" t="str">
        <f aca="true">IF(ISNUMBER($J124),INDIRECT("O"&amp;($J124+4)),"")</f>
        <v/>
      </c>
      <c r="E124" s="291" t="str">
        <f aca="true">IF(ISNUMBER($J124),INDIRECT("P"&amp;($J124+4)),"")</f>
        <v/>
      </c>
      <c r="F124" s="300" t="str">
        <f aca="true">IF(ISNUMBER($J124),INDIRECT("Q"&amp;($J124+4)),"")</f>
        <v/>
      </c>
      <c r="G124" s="298" t="str">
        <f aca="true">IF(ISNUMBER($J124),INDIRECT("R"&amp;($J124+4)),"")</f>
        <v/>
      </c>
      <c r="H124" s="298" t="str">
        <f aca="true">IF(ISNUMBER($J124),INDIRECT("S"&amp;($J124+4)),"")</f>
        <v/>
      </c>
      <c r="J124" s="292" t="str">
        <f aca="true">IF(120&lt;=$K$1,MATCH(119.5,INDIRECT("$K$4:$K$1374"),1),"")</f>
        <v/>
      </c>
      <c r="K124" s="292" t="n">
        <f aca="false">COUNTIF($Q$5:Q124,"&gt;0")</f>
        <v>0</v>
      </c>
      <c r="L124" s="292" t="str">
        <f aca="false">"Кабели"</f>
        <v>Кабели</v>
      </c>
      <c r="M124" s="292" t="str">
        <f aca="false">IF(ISBLANK(Кабели!$A$127),"",Кабели!$A$127)</f>
        <v>BX116 Certain зарядный дата кабель Type-C</v>
      </c>
      <c r="N124" s="292" t="str">
        <f aca="false">IF(ISBLANK(Кабели!$D$128),"",Кабели!$D$128)</f>
        <v>6941991119811</v>
      </c>
      <c r="O124" s="292" t="str">
        <f aca="false">IF(ISBLANK(Кабели!$E$128),"",Кабели!$E$128)</f>
        <v>белый</v>
      </c>
      <c r="P124" s="292" t="str">
        <f aca="false">"ед."</f>
        <v>ед.</v>
      </c>
      <c r="Q124" s="292" t="n">
        <f aca="false">N(Кабели!$G$128)</f>
        <v>0</v>
      </c>
      <c r="R124" s="299" t="n">
        <f aca="false">IF(ISBLANK(Кабели!$F$128),"",Кабели!$F$128)</f>
        <v>47.3</v>
      </c>
      <c r="S124" s="292" t="str">
        <f aca="false">IF(ISBLANK(Кабели!$H$128),"",Кабели!$H$128)</f>
        <v/>
      </c>
    </row>
    <row r="125" customFormat="false" ht="66" hidden="false" customHeight="true" outlineLevel="0" collapsed="false">
      <c r="A125" s="291" t="str">
        <f aca="true">IF(ISNUMBER($J125),INDIRECT("L"&amp;($J125+4)),"")</f>
        <v/>
      </c>
      <c r="B125" s="291" t="str">
        <f aca="true">IF(ISNUMBER($J125),INDIRECT("M"&amp;($J125+4)),"")</f>
        <v/>
      </c>
      <c r="C125" s="296" t="str">
        <f aca="true">IF(ISNUMBER($J125),INDIRECT("N"&amp;($J125+4)),"")</f>
        <v/>
      </c>
      <c r="D125" s="291" t="str">
        <f aca="true">IF(ISNUMBER($J125),INDIRECT("O"&amp;($J125+4)),"")</f>
        <v/>
      </c>
      <c r="E125" s="291" t="str">
        <f aca="true">IF(ISNUMBER($J125),INDIRECT("P"&amp;($J125+4)),"")</f>
        <v/>
      </c>
      <c r="F125" s="300" t="str">
        <f aca="true">IF(ISNUMBER($J125),INDIRECT("Q"&amp;($J125+4)),"")</f>
        <v/>
      </c>
      <c r="G125" s="298" t="str">
        <f aca="true">IF(ISNUMBER($J125),INDIRECT("R"&amp;($J125+4)),"")</f>
        <v/>
      </c>
      <c r="H125" s="298" t="str">
        <f aca="true">IF(ISNUMBER($J125),INDIRECT("S"&amp;($J125+4)),"")</f>
        <v/>
      </c>
      <c r="J125" s="292" t="str">
        <f aca="true">IF(121&lt;=$K$1,MATCH(120.5,INDIRECT("$K$4:$K$1374"),1),"")</f>
        <v/>
      </c>
      <c r="K125" s="292" t="n">
        <f aca="false">COUNTIF($Q$5:Q125,"&gt;0")</f>
        <v>0</v>
      </c>
      <c r="L125" s="292" t="str">
        <f aca="false">"Кабели"</f>
        <v>Кабели</v>
      </c>
      <c r="M125" s="292" t="str">
        <f aca="false">IF(ISBLANK(Кабели!$A$129),"",Кабели!$A$129)</f>
        <v>BX111 Feliz PD зарядный дата кабель iP (без упаковки)</v>
      </c>
      <c r="N125" s="292" t="str">
        <f aca="false">IF(ISBLANK(Кабели!$D$129),"",Кабели!$D$129)</f>
        <v>6941991115028</v>
      </c>
      <c r="O125" s="292" t="str">
        <f aca="false">IF(ISBLANK(Кабели!$E$129),"",Кабели!$E$129)</f>
        <v>черный</v>
      </c>
      <c r="P125" s="292" t="str">
        <f aca="false">"ед."</f>
        <v>ед.</v>
      </c>
      <c r="Q125" s="292" t="n">
        <f aca="false">N(Кабели!$G$129)</f>
        <v>0</v>
      </c>
      <c r="R125" s="299" t="n">
        <f aca="false">IF(ISBLANK(Кабели!$F$129),"",Кабели!$F$129)</f>
        <v>68.5</v>
      </c>
      <c r="S125" s="292" t="str">
        <f aca="false">IF(ISBLANK(Кабели!$H$129),"",Кабели!$H$129)</f>
        <v/>
      </c>
    </row>
    <row r="126" customFormat="false" ht="66" hidden="false" customHeight="true" outlineLevel="0" collapsed="false">
      <c r="A126" s="291" t="str">
        <f aca="true">IF(ISNUMBER($J126),INDIRECT("L"&amp;($J126+4)),"")</f>
        <v/>
      </c>
      <c r="B126" s="291" t="str">
        <f aca="true">IF(ISNUMBER($J126),INDIRECT("M"&amp;($J126+4)),"")</f>
        <v/>
      </c>
      <c r="C126" s="296" t="str">
        <f aca="true">IF(ISNUMBER($J126),INDIRECT("N"&amp;($J126+4)),"")</f>
        <v/>
      </c>
      <c r="D126" s="291" t="str">
        <f aca="true">IF(ISNUMBER($J126),INDIRECT("O"&amp;($J126+4)),"")</f>
        <v/>
      </c>
      <c r="E126" s="291" t="str">
        <f aca="true">IF(ISNUMBER($J126),INDIRECT("P"&amp;($J126+4)),"")</f>
        <v/>
      </c>
      <c r="F126" s="300" t="str">
        <f aca="true">IF(ISNUMBER($J126),INDIRECT("Q"&amp;($J126+4)),"")</f>
        <v/>
      </c>
      <c r="G126" s="298" t="str">
        <f aca="true">IF(ISNUMBER($J126),INDIRECT("R"&amp;($J126+4)),"")</f>
        <v/>
      </c>
      <c r="H126" s="298" t="str">
        <f aca="true">IF(ISNUMBER($J126),INDIRECT("S"&amp;($J126+4)),"")</f>
        <v/>
      </c>
      <c r="J126" s="292" t="str">
        <f aca="true">IF(122&lt;=$K$1,MATCH(121.5,INDIRECT("$K$4:$K$1374"),1),"")</f>
        <v/>
      </c>
      <c r="K126" s="292" t="n">
        <f aca="false">COUNTIF($Q$5:Q126,"&gt;0")</f>
        <v>0</v>
      </c>
      <c r="L126" s="292" t="str">
        <f aca="false">"Кабели"</f>
        <v>Кабели</v>
      </c>
      <c r="M126" s="292" t="str">
        <f aca="false">IF(ISBLANK(Кабели!$A$130),"",Кабели!$A$130)</f>
        <v>BX111 Feliz 60W зарядный дата кабель C на C (без упаковки)</v>
      </c>
      <c r="N126" s="292" t="str">
        <f aca="false">IF(ISBLANK(Кабели!$D$130),"",Кабели!$D$130)</f>
        <v>6941991115103</v>
      </c>
      <c r="O126" s="292" t="str">
        <f aca="false">IF(ISBLANK(Кабели!$E$130),"",Кабели!$E$130)</f>
        <v>черный</v>
      </c>
      <c r="P126" s="292" t="str">
        <f aca="false">"ед."</f>
        <v>ед.</v>
      </c>
      <c r="Q126" s="292" t="n">
        <f aca="false">N(Кабели!$G$130)</f>
        <v>0</v>
      </c>
      <c r="R126" s="299" t="n">
        <f aca="false">IF(ISBLANK(Кабели!$F$130),"",Кабели!$F$130)</f>
        <v>45.67</v>
      </c>
      <c r="S126" s="292" t="str">
        <f aca="false">IF(ISBLANK(Кабели!$H$130),"",Кабели!$H$130)</f>
        <v/>
      </c>
    </row>
    <row r="127" customFormat="false" ht="66" hidden="false" customHeight="true" outlineLevel="0" collapsed="false">
      <c r="A127" s="291" t="str">
        <f aca="true">IF(ISNUMBER($J127),INDIRECT("L"&amp;($J127+4)),"")</f>
        <v/>
      </c>
      <c r="B127" s="291" t="str">
        <f aca="true">IF(ISNUMBER($J127),INDIRECT("M"&amp;($J127+4)),"")</f>
        <v/>
      </c>
      <c r="C127" s="296" t="str">
        <f aca="true">IF(ISNUMBER($J127),INDIRECT("N"&amp;($J127+4)),"")</f>
        <v/>
      </c>
      <c r="D127" s="291" t="str">
        <f aca="true">IF(ISNUMBER($J127),INDIRECT("O"&amp;($J127+4)),"")</f>
        <v/>
      </c>
      <c r="E127" s="291" t="str">
        <f aca="true">IF(ISNUMBER($J127),INDIRECT("P"&amp;($J127+4)),"")</f>
        <v/>
      </c>
      <c r="F127" s="300" t="str">
        <f aca="true">IF(ISNUMBER($J127),INDIRECT("Q"&amp;($J127+4)),"")</f>
        <v/>
      </c>
      <c r="G127" s="298" t="str">
        <f aca="true">IF(ISNUMBER($J127),INDIRECT("R"&amp;($J127+4)),"")</f>
        <v/>
      </c>
      <c r="H127" s="298" t="str">
        <f aca="true">IF(ISNUMBER($J127),INDIRECT("S"&amp;($J127+4)),"")</f>
        <v/>
      </c>
      <c r="J127" s="292" t="str">
        <f aca="true">IF(123&lt;=$K$1,MATCH(122.5,INDIRECT("$K$4:$K$1374"),1),"")</f>
        <v/>
      </c>
      <c r="K127" s="292" t="n">
        <f aca="false">COUNTIF($Q$5:Q127,"&gt;0")</f>
        <v>0</v>
      </c>
      <c r="L127" s="292" t="str">
        <f aca="false">"Кабели"</f>
        <v>Кабели</v>
      </c>
      <c r="M127" s="292" t="str">
        <f aca="false">IF(ISBLANK(Кабели!$A$130),"",Кабели!$A$130)</f>
        <v>BX111 Feliz 60W зарядный дата кабель C на C (без упаковки)</v>
      </c>
      <c r="N127" s="292" t="str">
        <f aca="false">IF(ISBLANK(Кабели!$D$131),"",Кабели!$D$131)</f>
        <v>6941991115110</v>
      </c>
      <c r="O127" s="292" t="str">
        <f aca="false">IF(ISBLANK(Кабели!$E$131),"",Кабели!$E$131)</f>
        <v>белый</v>
      </c>
      <c r="P127" s="292" t="str">
        <f aca="false">"ед."</f>
        <v>ед.</v>
      </c>
      <c r="Q127" s="292" t="n">
        <f aca="false">N(Кабели!$G$131)</f>
        <v>0</v>
      </c>
      <c r="R127" s="299" t="n">
        <f aca="false">IF(ISBLANK(Кабели!$F$131),"",Кабели!$F$131)</f>
        <v>45.67</v>
      </c>
      <c r="S127" s="292" t="str">
        <f aca="false">IF(ISBLANK(Кабели!$H$131),"",Кабели!$H$131)</f>
        <v/>
      </c>
    </row>
    <row r="128" customFormat="false" ht="66" hidden="false" customHeight="true" outlineLevel="0" collapsed="false">
      <c r="A128" s="291" t="str">
        <f aca="true">IF(ISNUMBER($J128),INDIRECT("L"&amp;($J128+4)),"")</f>
        <v/>
      </c>
      <c r="B128" s="291" t="str">
        <f aca="true">IF(ISNUMBER($J128),INDIRECT("M"&amp;($J128+4)),"")</f>
        <v/>
      </c>
      <c r="C128" s="296" t="str">
        <f aca="true">IF(ISNUMBER($J128),INDIRECT("N"&amp;($J128+4)),"")</f>
        <v/>
      </c>
      <c r="D128" s="291" t="str">
        <f aca="true">IF(ISNUMBER($J128),INDIRECT("O"&amp;($J128+4)),"")</f>
        <v/>
      </c>
      <c r="E128" s="291" t="str">
        <f aca="true">IF(ISNUMBER($J128),INDIRECT("P"&amp;($J128+4)),"")</f>
        <v/>
      </c>
      <c r="F128" s="300" t="str">
        <f aca="true">IF(ISNUMBER($J128),INDIRECT("Q"&amp;($J128+4)),"")</f>
        <v/>
      </c>
      <c r="G128" s="298" t="str">
        <f aca="true">IF(ISNUMBER($J128),INDIRECT("R"&amp;($J128+4)),"")</f>
        <v/>
      </c>
      <c r="H128" s="298" t="str">
        <f aca="true">IF(ISNUMBER($J128),INDIRECT("S"&amp;($J128+4)),"")</f>
        <v/>
      </c>
      <c r="J128" s="292" t="str">
        <f aca="true">IF(124&lt;=$K$1,MATCH(123.5,INDIRECT("$K$4:$K$1374"),1),"")</f>
        <v/>
      </c>
      <c r="K128" s="292" t="n">
        <f aca="false">COUNTIF($Q$5:Q128,"&gt;0")</f>
        <v>0</v>
      </c>
      <c r="L128" s="292" t="str">
        <f aca="false">"Кабели"</f>
        <v>Кабели</v>
      </c>
      <c r="M128" s="292" t="str">
        <f aca="false">IF(ISBLANK(Кабели!$A$132),"",Кабели!$A$132)</f>
        <v>BX111 Feliz зарядный дата кабель iP (без упаковки)</v>
      </c>
      <c r="N128" s="292" t="str">
        <f aca="false">IF(ISBLANK(Кабели!$D$132),"",Кабели!$D$132)</f>
        <v>6941991115059</v>
      </c>
      <c r="O128" s="292" t="str">
        <f aca="false">IF(ISBLANK(Кабели!$E$132),"",Кабели!$E$132)</f>
        <v>белый</v>
      </c>
      <c r="P128" s="292" t="str">
        <f aca="false">"ед."</f>
        <v>ед.</v>
      </c>
      <c r="Q128" s="292" t="n">
        <f aca="false">N(Кабели!$G$132)</f>
        <v>0</v>
      </c>
      <c r="R128" s="299" t="n">
        <f aca="false">IF(ISBLANK(Кабели!$F$132),"",Кабели!$F$132)</f>
        <v>40.77</v>
      </c>
      <c r="S128" s="292" t="str">
        <f aca="false">IF(ISBLANK(Кабели!$H$132),"",Кабели!$H$132)</f>
        <v/>
      </c>
    </row>
    <row r="129" customFormat="false" ht="66" hidden="false" customHeight="true" outlineLevel="0" collapsed="false">
      <c r="A129" s="291" t="str">
        <f aca="true">IF(ISNUMBER($J129),INDIRECT("L"&amp;($J129+4)),"")</f>
        <v/>
      </c>
      <c r="B129" s="291" t="str">
        <f aca="true">IF(ISNUMBER($J129),INDIRECT("M"&amp;($J129+4)),"")</f>
        <v/>
      </c>
      <c r="C129" s="296" t="str">
        <f aca="true">IF(ISNUMBER($J129),INDIRECT("N"&amp;($J129+4)),"")</f>
        <v/>
      </c>
      <c r="D129" s="291" t="str">
        <f aca="true">IF(ISNUMBER($J129),INDIRECT("O"&amp;($J129+4)),"")</f>
        <v/>
      </c>
      <c r="E129" s="291" t="str">
        <f aca="true">IF(ISNUMBER($J129),INDIRECT("P"&amp;($J129+4)),"")</f>
        <v/>
      </c>
      <c r="F129" s="300" t="str">
        <f aca="true">IF(ISNUMBER($J129),INDIRECT("Q"&amp;($J129+4)),"")</f>
        <v/>
      </c>
      <c r="G129" s="298" t="str">
        <f aca="true">IF(ISNUMBER($J129),INDIRECT("R"&amp;($J129+4)),"")</f>
        <v/>
      </c>
      <c r="H129" s="298" t="str">
        <f aca="true">IF(ISNUMBER($J129),INDIRECT("S"&amp;($J129+4)),"")</f>
        <v/>
      </c>
      <c r="J129" s="292" t="str">
        <f aca="true">IF(125&lt;=$K$1,MATCH(124.5,INDIRECT("$K$4:$K$1374"),1),"")</f>
        <v/>
      </c>
      <c r="K129" s="292" t="n">
        <f aca="false">COUNTIF($Q$5:Q129,"&gt;0")</f>
        <v>0</v>
      </c>
      <c r="L129" s="292" t="str">
        <f aca="false">"Кабели"</f>
        <v>Кабели</v>
      </c>
      <c r="M129" s="292" t="str">
        <f aca="false">IF(ISBLANK(Кабели!$A$133),"",Кабели!$A$133)</f>
        <v>BX111 Feliz зарядный дата кабель Micro (без упаковки)</v>
      </c>
      <c r="N129" s="292" t="str">
        <f aca="false">IF(ISBLANK(Кабели!$D$133),"",Кабели!$D$133)</f>
        <v>6941991115066</v>
      </c>
      <c r="O129" s="292" t="str">
        <f aca="false">IF(ISBLANK(Кабели!$E$133),"",Кабели!$E$133)</f>
        <v>черный</v>
      </c>
      <c r="P129" s="292" t="str">
        <f aca="false">"ед."</f>
        <v>ед.</v>
      </c>
      <c r="Q129" s="292" t="n">
        <f aca="false">N(Кабели!$G$133)</f>
        <v>0</v>
      </c>
      <c r="R129" s="299" t="n">
        <f aca="false">IF(ISBLANK(Кабели!$F$133),"",Кабели!$F$133)</f>
        <v>29.36</v>
      </c>
      <c r="S129" s="292" t="str">
        <f aca="false">IF(ISBLANK(Кабели!$H$133),"",Кабели!$H$133)</f>
        <v/>
      </c>
    </row>
    <row r="130" customFormat="false" ht="66" hidden="false" customHeight="true" outlineLevel="0" collapsed="false">
      <c r="A130" s="291" t="str">
        <f aca="true">IF(ISNUMBER($J130),INDIRECT("L"&amp;($J130+4)),"")</f>
        <v/>
      </c>
      <c r="B130" s="291" t="str">
        <f aca="true">IF(ISNUMBER($J130),INDIRECT("M"&amp;($J130+4)),"")</f>
        <v/>
      </c>
      <c r="C130" s="296" t="str">
        <f aca="true">IF(ISNUMBER($J130),INDIRECT("N"&amp;($J130+4)),"")</f>
        <v/>
      </c>
      <c r="D130" s="291" t="str">
        <f aca="true">IF(ISNUMBER($J130),INDIRECT("O"&amp;($J130+4)),"")</f>
        <v/>
      </c>
      <c r="E130" s="291" t="str">
        <f aca="true">IF(ISNUMBER($J130),INDIRECT("P"&amp;($J130+4)),"")</f>
        <v/>
      </c>
      <c r="F130" s="300" t="str">
        <f aca="true">IF(ISNUMBER($J130),INDIRECT("Q"&amp;($J130+4)),"")</f>
        <v/>
      </c>
      <c r="G130" s="298" t="str">
        <f aca="true">IF(ISNUMBER($J130),INDIRECT("R"&amp;($J130+4)),"")</f>
        <v/>
      </c>
      <c r="H130" s="298" t="str">
        <f aca="true">IF(ISNUMBER($J130),INDIRECT("S"&amp;($J130+4)),"")</f>
        <v/>
      </c>
      <c r="J130" s="292" t="str">
        <f aca="true">IF(126&lt;=$K$1,MATCH(125.5,INDIRECT("$K$4:$K$1374"),1),"")</f>
        <v/>
      </c>
      <c r="K130" s="292" t="n">
        <f aca="false">COUNTIF($Q$5:Q130,"&gt;0")</f>
        <v>0</v>
      </c>
      <c r="L130" s="292" t="str">
        <f aca="false">"Кабели"</f>
        <v>Кабели</v>
      </c>
      <c r="M130" s="292" t="str">
        <f aca="false">IF(ISBLANK(Кабели!$A$133),"",Кабели!$A$133)</f>
        <v>BX111 Feliz зарядный дата кабель Micro (без упаковки)</v>
      </c>
      <c r="N130" s="292" t="str">
        <f aca="false">IF(ISBLANK(Кабели!$D$134),"",Кабели!$D$134)</f>
        <v>6941991115073</v>
      </c>
      <c r="O130" s="292" t="str">
        <f aca="false">IF(ISBLANK(Кабели!$E$134),"",Кабели!$E$134)</f>
        <v>белый</v>
      </c>
      <c r="P130" s="292" t="str">
        <f aca="false">"ед."</f>
        <v>ед.</v>
      </c>
      <c r="Q130" s="292" t="n">
        <f aca="false">N(Кабели!$G$134)</f>
        <v>0</v>
      </c>
      <c r="R130" s="299" t="n">
        <f aca="false">IF(ISBLANK(Кабели!$F$134),"",Кабели!$F$134)</f>
        <v>29.36</v>
      </c>
      <c r="S130" s="292" t="str">
        <f aca="false">IF(ISBLANK(Кабели!$H$134),"",Кабели!$H$134)</f>
        <v/>
      </c>
    </row>
    <row r="131" customFormat="false" ht="66" hidden="false" customHeight="true" outlineLevel="0" collapsed="false">
      <c r="A131" s="291" t="str">
        <f aca="true">IF(ISNUMBER($J131),INDIRECT("L"&amp;($J131+4)),"")</f>
        <v/>
      </c>
      <c r="B131" s="291" t="str">
        <f aca="true">IF(ISNUMBER($J131),INDIRECT("M"&amp;($J131+4)),"")</f>
        <v/>
      </c>
      <c r="C131" s="296" t="str">
        <f aca="true">IF(ISNUMBER($J131),INDIRECT("N"&amp;($J131+4)),"")</f>
        <v/>
      </c>
      <c r="D131" s="291" t="str">
        <f aca="true">IF(ISNUMBER($J131),INDIRECT("O"&amp;($J131+4)),"")</f>
        <v/>
      </c>
      <c r="E131" s="291" t="str">
        <f aca="true">IF(ISNUMBER($J131),INDIRECT("P"&amp;($J131+4)),"")</f>
        <v/>
      </c>
      <c r="F131" s="300" t="str">
        <f aca="true">IF(ISNUMBER($J131),INDIRECT("Q"&amp;($J131+4)),"")</f>
        <v/>
      </c>
      <c r="G131" s="298" t="str">
        <f aca="true">IF(ISNUMBER($J131),INDIRECT("R"&amp;($J131+4)),"")</f>
        <v/>
      </c>
      <c r="H131" s="298" t="str">
        <f aca="true">IF(ISNUMBER($J131),INDIRECT("S"&amp;($J131+4)),"")</f>
        <v/>
      </c>
      <c r="J131" s="292" t="str">
        <f aca="true">IF(127&lt;=$K$1,MATCH(126.5,INDIRECT("$K$4:$K$1374"),1),"")</f>
        <v/>
      </c>
      <c r="K131" s="292" t="n">
        <f aca="false">COUNTIF($Q$5:Q131,"&gt;0")</f>
        <v>0</v>
      </c>
      <c r="L131" s="292" t="str">
        <f aca="false">"Кабели"</f>
        <v>Кабели</v>
      </c>
      <c r="M131" s="292" t="str">
        <f aca="false">IF(ISBLANK(Кабели!$A$135),"",Кабели!$A$135)</f>
        <v>BX111 Feliz зарядный дата кабель Type-C (без упаковки)</v>
      </c>
      <c r="N131" s="292" t="str">
        <f aca="false">IF(ISBLANK(Кабели!$D$135),"",Кабели!$D$135)</f>
        <v>6941991115080</v>
      </c>
      <c r="O131" s="292" t="str">
        <f aca="false">IF(ISBLANK(Кабели!$E$135),"",Кабели!$E$135)</f>
        <v>черный</v>
      </c>
      <c r="P131" s="292" t="str">
        <f aca="false">"ед."</f>
        <v>ед.</v>
      </c>
      <c r="Q131" s="292" t="n">
        <f aca="false">N(Кабели!$G$135)</f>
        <v>0</v>
      </c>
      <c r="R131" s="299" t="n">
        <f aca="false">IF(ISBLANK(Кабели!$F$135),"",Кабели!$F$135)</f>
        <v>34.25</v>
      </c>
      <c r="S131" s="292" t="str">
        <f aca="false">IF(ISBLANK(Кабели!$H$135),"",Кабели!$H$135)</f>
        <v/>
      </c>
    </row>
    <row r="132" customFormat="false" ht="66" hidden="false" customHeight="true" outlineLevel="0" collapsed="false">
      <c r="A132" s="291" t="str">
        <f aca="true">IF(ISNUMBER($J132),INDIRECT("L"&amp;($J132+4)),"")</f>
        <v/>
      </c>
      <c r="B132" s="291" t="str">
        <f aca="true">IF(ISNUMBER($J132),INDIRECT("M"&amp;($J132+4)),"")</f>
        <v/>
      </c>
      <c r="C132" s="296" t="str">
        <f aca="true">IF(ISNUMBER($J132),INDIRECT("N"&amp;($J132+4)),"")</f>
        <v/>
      </c>
      <c r="D132" s="291" t="str">
        <f aca="true">IF(ISNUMBER($J132),INDIRECT("O"&amp;($J132+4)),"")</f>
        <v/>
      </c>
      <c r="E132" s="291" t="str">
        <f aca="true">IF(ISNUMBER($J132),INDIRECT("P"&amp;($J132+4)),"")</f>
        <v/>
      </c>
      <c r="F132" s="300" t="str">
        <f aca="true">IF(ISNUMBER($J132),INDIRECT("Q"&amp;($J132+4)),"")</f>
        <v/>
      </c>
      <c r="G132" s="298" t="str">
        <f aca="true">IF(ISNUMBER($J132),INDIRECT("R"&amp;($J132+4)),"")</f>
        <v/>
      </c>
      <c r="H132" s="298" t="str">
        <f aca="true">IF(ISNUMBER($J132),INDIRECT("S"&amp;($J132+4)),"")</f>
        <v/>
      </c>
      <c r="J132" s="292" t="str">
        <f aca="true">IF(128&lt;=$K$1,MATCH(127.5,INDIRECT("$K$4:$K$1374"),1),"")</f>
        <v/>
      </c>
      <c r="K132" s="292" t="n">
        <f aca="false">COUNTIF($Q$5:Q132,"&gt;0")</f>
        <v>0</v>
      </c>
      <c r="L132" s="292" t="str">
        <f aca="false">"Кабели"</f>
        <v>Кабели</v>
      </c>
      <c r="M132" s="292" t="str">
        <f aca="false">IF(ISBLANK(Кабели!$A$135),"",Кабели!$A$135)</f>
        <v>BX111 Feliz зарядный дата кабель Type-C (без упаковки)</v>
      </c>
      <c r="N132" s="292" t="str">
        <f aca="false">IF(ISBLANK(Кабели!$D$136),"",Кабели!$D$136)</f>
        <v>6941991115097</v>
      </c>
      <c r="O132" s="292" t="str">
        <f aca="false">IF(ISBLANK(Кабели!$E$136),"",Кабели!$E$136)</f>
        <v>белый</v>
      </c>
      <c r="P132" s="292" t="str">
        <f aca="false">"ед."</f>
        <v>ед.</v>
      </c>
      <c r="Q132" s="292" t="n">
        <f aca="false">N(Кабели!$G$136)</f>
        <v>0</v>
      </c>
      <c r="R132" s="299" t="n">
        <f aca="false">IF(ISBLANK(Кабели!$F$136),"",Кабели!$F$136)</f>
        <v>34.25</v>
      </c>
      <c r="S132" s="292" t="str">
        <f aca="false">IF(ISBLANK(Кабели!$H$136),"",Кабели!$H$136)</f>
        <v/>
      </c>
    </row>
    <row r="133" customFormat="false" ht="66" hidden="false" customHeight="true" outlineLevel="0" collapsed="false">
      <c r="A133" s="291" t="str">
        <f aca="true">IF(ISNUMBER($J133),INDIRECT("L"&amp;($J133+4)),"")</f>
        <v/>
      </c>
      <c r="B133" s="291" t="str">
        <f aca="true">IF(ISNUMBER($J133),INDIRECT("M"&amp;($J133+4)),"")</f>
        <v/>
      </c>
      <c r="C133" s="296" t="str">
        <f aca="true">IF(ISNUMBER($J133),INDIRECT("N"&amp;($J133+4)),"")</f>
        <v/>
      </c>
      <c r="D133" s="291" t="str">
        <f aca="true">IF(ISNUMBER($J133),INDIRECT("O"&amp;($J133+4)),"")</f>
        <v/>
      </c>
      <c r="E133" s="291" t="str">
        <f aca="true">IF(ISNUMBER($J133),INDIRECT("P"&amp;($J133+4)),"")</f>
        <v/>
      </c>
      <c r="F133" s="300" t="str">
        <f aca="true">IF(ISNUMBER($J133),INDIRECT("Q"&amp;($J133+4)),"")</f>
        <v/>
      </c>
      <c r="G133" s="298" t="str">
        <f aca="true">IF(ISNUMBER($J133),INDIRECT("R"&amp;($J133+4)),"")</f>
        <v/>
      </c>
      <c r="H133" s="298" t="str">
        <f aca="true">IF(ISNUMBER($J133),INDIRECT("S"&amp;($J133+4)),"")</f>
        <v/>
      </c>
      <c r="J133" s="292" t="str">
        <f aca="true">IF(129&lt;=$K$1,MATCH(128.5,INDIRECT("$K$4:$K$1374"),1),"")</f>
        <v/>
      </c>
      <c r="K133" s="292" t="n">
        <f aca="false">$K$132+COUNTIF($Q$133:Q133,"&gt;0")</f>
        <v>0</v>
      </c>
      <c r="L133" s="292" t="str">
        <f aca="false">"Кабели"</f>
        <v>Кабели</v>
      </c>
      <c r="M133" s="292" t="str">
        <f aca="false">IF(ISBLANK(Кабели!$A$137),"",Кабели!$A$137)</f>
        <v>BX111 Feliz PD зарядный дата кабель iP (с упаковкой)</v>
      </c>
      <c r="N133" s="292" t="str">
        <f aca="false">IF(ISBLANK(Кабели!$D$137),"",Кабели!$D$137)</f>
        <v>6941991115028</v>
      </c>
      <c r="O133" s="292" t="str">
        <f aca="false">IF(ISBLANK(Кабели!$E$137),"",Кабели!$E$137)</f>
        <v>черный</v>
      </c>
      <c r="P133" s="292" t="str">
        <f aca="false">"ед."</f>
        <v>ед.</v>
      </c>
      <c r="Q133" s="292" t="n">
        <f aca="false">N(Кабели!$G$137)</f>
        <v>0</v>
      </c>
      <c r="R133" s="299" t="n">
        <f aca="false">IF(ISBLANK(Кабели!$F$137),"",Кабели!$F$137)</f>
        <v>73.39</v>
      </c>
      <c r="S133" s="292" t="str">
        <f aca="false">IF(ISBLANK(Кабели!$H$137),"",Кабели!$H$137)</f>
        <v/>
      </c>
    </row>
    <row r="134" customFormat="false" ht="66" hidden="false" customHeight="true" outlineLevel="0" collapsed="false">
      <c r="A134" s="291" t="str">
        <f aca="true">IF(ISNUMBER($J134),INDIRECT("L"&amp;($J134+4)),"")</f>
        <v/>
      </c>
      <c r="B134" s="291" t="str">
        <f aca="true">IF(ISNUMBER($J134),INDIRECT("M"&amp;($J134+4)),"")</f>
        <v/>
      </c>
      <c r="C134" s="296" t="str">
        <f aca="true">IF(ISNUMBER($J134),INDIRECT("N"&amp;($J134+4)),"")</f>
        <v/>
      </c>
      <c r="D134" s="291" t="str">
        <f aca="true">IF(ISNUMBER($J134),INDIRECT("O"&amp;($J134+4)),"")</f>
        <v/>
      </c>
      <c r="E134" s="291" t="str">
        <f aca="true">IF(ISNUMBER($J134),INDIRECT("P"&amp;($J134+4)),"")</f>
        <v/>
      </c>
      <c r="F134" s="300" t="str">
        <f aca="true">IF(ISNUMBER($J134),INDIRECT("Q"&amp;($J134+4)),"")</f>
        <v/>
      </c>
      <c r="G134" s="298" t="str">
        <f aca="true">IF(ISNUMBER($J134),INDIRECT("R"&amp;($J134+4)),"")</f>
        <v/>
      </c>
      <c r="H134" s="298" t="str">
        <f aca="true">IF(ISNUMBER($J134),INDIRECT("S"&amp;($J134+4)),"")</f>
        <v/>
      </c>
      <c r="J134" s="292" t="str">
        <f aca="true">IF(130&lt;=$K$1,MATCH(129.5,INDIRECT("$K$4:$K$1374"),1),"")</f>
        <v/>
      </c>
      <c r="K134" s="292" t="n">
        <f aca="false">$K$132+COUNTIF($Q$133:Q134,"&gt;0")</f>
        <v>0</v>
      </c>
      <c r="L134" s="292" t="str">
        <f aca="false">"Кабели"</f>
        <v>Кабели</v>
      </c>
      <c r="M134" s="292" t="str">
        <f aca="false">IF(ISBLANK(Кабели!$A$137),"",Кабели!$A$137)</f>
        <v>BX111 Feliz PD зарядный дата кабель iP (с упаковкой)</v>
      </c>
      <c r="N134" s="292" t="str">
        <f aca="false">IF(ISBLANK(Кабели!$D$138),"",Кабели!$D$138)</f>
        <v>6941991115035</v>
      </c>
      <c r="O134" s="292" t="str">
        <f aca="false">IF(ISBLANK(Кабели!$E$138),"",Кабели!$E$138)</f>
        <v>белый</v>
      </c>
      <c r="P134" s="292" t="str">
        <f aca="false">"ед."</f>
        <v>ед.</v>
      </c>
      <c r="Q134" s="292" t="n">
        <f aca="false">N(Кабели!$G$138)</f>
        <v>0</v>
      </c>
      <c r="R134" s="299" t="n">
        <f aca="false">IF(ISBLANK(Кабели!$F$138),"",Кабели!$F$138)</f>
        <v>73.39</v>
      </c>
      <c r="S134" s="292" t="str">
        <f aca="false">IF(ISBLANK(Кабели!$H$138),"",Кабели!$H$138)</f>
        <v/>
      </c>
    </row>
    <row r="135" customFormat="false" ht="66" hidden="false" customHeight="true" outlineLevel="0" collapsed="false">
      <c r="A135" s="291" t="str">
        <f aca="true">IF(ISNUMBER($J135),INDIRECT("L"&amp;($J135+4)),"")</f>
        <v/>
      </c>
      <c r="B135" s="291" t="str">
        <f aca="true">IF(ISNUMBER($J135),INDIRECT("M"&amp;($J135+4)),"")</f>
        <v/>
      </c>
      <c r="C135" s="296" t="str">
        <f aca="true">IF(ISNUMBER($J135),INDIRECT("N"&amp;($J135+4)),"")</f>
        <v/>
      </c>
      <c r="D135" s="291" t="str">
        <f aca="true">IF(ISNUMBER($J135),INDIRECT("O"&amp;($J135+4)),"")</f>
        <v/>
      </c>
      <c r="E135" s="291" t="str">
        <f aca="true">IF(ISNUMBER($J135),INDIRECT("P"&amp;($J135+4)),"")</f>
        <v/>
      </c>
      <c r="F135" s="300" t="str">
        <f aca="true">IF(ISNUMBER($J135),INDIRECT("Q"&amp;($J135+4)),"")</f>
        <v/>
      </c>
      <c r="G135" s="298" t="str">
        <f aca="true">IF(ISNUMBER($J135),INDIRECT("R"&amp;($J135+4)),"")</f>
        <v/>
      </c>
      <c r="H135" s="298" t="str">
        <f aca="true">IF(ISNUMBER($J135),INDIRECT("S"&amp;($J135+4)),"")</f>
        <v/>
      </c>
      <c r="J135" s="292" t="str">
        <f aca="true">IF(131&lt;=$K$1,MATCH(130.5,INDIRECT("$K$4:$K$1374"),1),"")</f>
        <v/>
      </c>
      <c r="K135" s="292" t="n">
        <f aca="false">$K$132+COUNTIF($Q$133:Q135,"&gt;0")</f>
        <v>0</v>
      </c>
      <c r="L135" s="292" t="str">
        <f aca="false">"Кабели"</f>
        <v>Кабели</v>
      </c>
      <c r="M135" s="292" t="str">
        <f aca="false">IF(ISBLANK(Кабели!$A$139),"",Кабели!$A$139)</f>
        <v>BX111 Feliz 60W зарядный дата кабель C на C (с упаковкой)</v>
      </c>
      <c r="N135" s="292" t="str">
        <f aca="false">IF(ISBLANK(Кабели!$D$139),"",Кабели!$D$139)</f>
        <v>6941991115103</v>
      </c>
      <c r="O135" s="292" t="str">
        <f aca="false">IF(ISBLANK(Кабели!$E$139),"",Кабели!$E$139)</f>
        <v>черный</v>
      </c>
      <c r="P135" s="292" t="str">
        <f aca="false">"ед."</f>
        <v>ед.</v>
      </c>
      <c r="Q135" s="292" t="n">
        <f aca="false">N(Кабели!$G$139)</f>
        <v>0</v>
      </c>
      <c r="R135" s="299" t="n">
        <f aca="false">IF(ISBLANK(Кабели!$F$139),"",Кабели!$F$139)</f>
        <v>50.56</v>
      </c>
      <c r="S135" s="292" t="str">
        <f aca="false">IF(ISBLANK(Кабели!$H$139),"",Кабели!$H$139)</f>
        <v/>
      </c>
    </row>
    <row r="136" customFormat="false" ht="66" hidden="false" customHeight="true" outlineLevel="0" collapsed="false">
      <c r="A136" s="291" t="str">
        <f aca="true">IF(ISNUMBER($J136),INDIRECT("L"&amp;($J136+4)),"")</f>
        <v/>
      </c>
      <c r="B136" s="291" t="str">
        <f aca="true">IF(ISNUMBER($J136),INDIRECT("M"&amp;($J136+4)),"")</f>
        <v/>
      </c>
      <c r="C136" s="296" t="str">
        <f aca="true">IF(ISNUMBER($J136),INDIRECT("N"&amp;($J136+4)),"")</f>
        <v/>
      </c>
      <c r="D136" s="291" t="str">
        <f aca="true">IF(ISNUMBER($J136),INDIRECT("O"&amp;($J136+4)),"")</f>
        <v/>
      </c>
      <c r="E136" s="291" t="str">
        <f aca="true">IF(ISNUMBER($J136),INDIRECT("P"&amp;($J136+4)),"")</f>
        <v/>
      </c>
      <c r="F136" s="300" t="str">
        <f aca="true">IF(ISNUMBER($J136),INDIRECT("Q"&amp;($J136+4)),"")</f>
        <v/>
      </c>
      <c r="G136" s="298" t="str">
        <f aca="true">IF(ISNUMBER($J136),INDIRECT("R"&amp;($J136+4)),"")</f>
        <v/>
      </c>
      <c r="H136" s="298" t="str">
        <f aca="true">IF(ISNUMBER($J136),INDIRECT("S"&amp;($J136+4)),"")</f>
        <v/>
      </c>
      <c r="J136" s="292" t="str">
        <f aca="true">IF(132&lt;=$K$1,MATCH(131.5,INDIRECT("$K$4:$K$1374"),1),"")</f>
        <v/>
      </c>
      <c r="K136" s="292" t="n">
        <f aca="false">$K$132+COUNTIF($Q$133:Q136,"&gt;0")</f>
        <v>0</v>
      </c>
      <c r="L136" s="292" t="str">
        <f aca="false">"Кабели"</f>
        <v>Кабели</v>
      </c>
      <c r="M136" s="292" t="str">
        <f aca="false">IF(ISBLANK(Кабели!$A$139),"",Кабели!$A$139)</f>
        <v>BX111 Feliz 60W зарядный дата кабель C на C (с упаковкой)</v>
      </c>
      <c r="N136" s="292" t="str">
        <f aca="false">IF(ISBLANK(Кабели!$D$140),"",Кабели!$D$140)</f>
        <v>6941991115110</v>
      </c>
      <c r="O136" s="292" t="str">
        <f aca="false">IF(ISBLANK(Кабели!$E$140),"",Кабели!$E$140)</f>
        <v>белый</v>
      </c>
      <c r="P136" s="292" t="str">
        <f aca="false">"ед."</f>
        <v>ед.</v>
      </c>
      <c r="Q136" s="292" t="n">
        <f aca="false">N(Кабели!$G$140)</f>
        <v>0</v>
      </c>
      <c r="R136" s="299" t="n">
        <f aca="false">IF(ISBLANK(Кабели!$F$140),"",Кабели!$F$140)</f>
        <v>50.56</v>
      </c>
      <c r="S136" s="292" t="str">
        <f aca="false">IF(ISBLANK(Кабели!$H$140),"",Кабели!$H$140)</f>
        <v/>
      </c>
    </row>
    <row r="137" customFormat="false" ht="66" hidden="false" customHeight="true" outlineLevel="0" collapsed="false">
      <c r="A137" s="291" t="str">
        <f aca="true">IF(ISNUMBER($J137),INDIRECT("L"&amp;($J137+4)),"")</f>
        <v/>
      </c>
      <c r="B137" s="291" t="str">
        <f aca="true">IF(ISNUMBER($J137),INDIRECT("M"&amp;($J137+4)),"")</f>
        <v/>
      </c>
      <c r="C137" s="296" t="str">
        <f aca="true">IF(ISNUMBER($J137),INDIRECT("N"&amp;($J137+4)),"")</f>
        <v/>
      </c>
      <c r="D137" s="291" t="str">
        <f aca="true">IF(ISNUMBER($J137),INDIRECT("O"&amp;($J137+4)),"")</f>
        <v/>
      </c>
      <c r="E137" s="291" t="str">
        <f aca="true">IF(ISNUMBER($J137),INDIRECT("P"&amp;($J137+4)),"")</f>
        <v/>
      </c>
      <c r="F137" s="300" t="str">
        <f aca="true">IF(ISNUMBER($J137),INDIRECT("Q"&amp;($J137+4)),"")</f>
        <v/>
      </c>
      <c r="G137" s="298" t="str">
        <f aca="true">IF(ISNUMBER($J137),INDIRECT("R"&amp;($J137+4)),"")</f>
        <v/>
      </c>
      <c r="H137" s="298" t="str">
        <f aca="true">IF(ISNUMBER($J137),INDIRECT("S"&amp;($J137+4)),"")</f>
        <v/>
      </c>
      <c r="J137" s="292" t="str">
        <f aca="true">IF(133&lt;=$K$1,MATCH(132.5,INDIRECT("$K$4:$K$1374"),1),"")</f>
        <v/>
      </c>
      <c r="K137" s="292" t="n">
        <f aca="false">$K$132+COUNTIF($Q$133:Q137,"&gt;0")</f>
        <v>0</v>
      </c>
      <c r="L137" s="292" t="str">
        <f aca="false">"Кабели"</f>
        <v>Кабели</v>
      </c>
      <c r="M137" s="292" t="str">
        <f aca="false">IF(ISBLANK(Кабели!$A$141),"",Кабели!$A$141)</f>
        <v>BX111 Feliz зарядный дата кабель iP (с упаковкой)</v>
      </c>
      <c r="N137" s="292" t="str">
        <f aca="false">IF(ISBLANK(Кабели!$D$141),"",Кабели!$D$141)</f>
        <v>6941991115042</v>
      </c>
      <c r="O137" s="292" t="str">
        <f aca="false">IF(ISBLANK(Кабели!$E$141),"",Кабели!$E$141)</f>
        <v>черный</v>
      </c>
      <c r="P137" s="292" t="str">
        <f aca="false">"ед."</f>
        <v>ед.</v>
      </c>
      <c r="Q137" s="292" t="n">
        <f aca="false">N(Кабели!$G$141)</f>
        <v>0</v>
      </c>
      <c r="R137" s="299" t="n">
        <f aca="false">IF(ISBLANK(Кабели!$F$141),"",Кабели!$F$141)</f>
        <v>45.67</v>
      </c>
      <c r="S137" s="292" t="str">
        <f aca="false">IF(ISBLANK(Кабели!$H$141),"",Кабели!$H$141)</f>
        <v/>
      </c>
    </row>
    <row r="138" customFormat="false" ht="66" hidden="false" customHeight="true" outlineLevel="0" collapsed="false">
      <c r="A138" s="291" t="str">
        <f aca="true">IF(ISNUMBER($J138),INDIRECT("L"&amp;($J138+4)),"")</f>
        <v/>
      </c>
      <c r="B138" s="291" t="str">
        <f aca="true">IF(ISNUMBER($J138),INDIRECT("M"&amp;($J138+4)),"")</f>
        <v/>
      </c>
      <c r="C138" s="296" t="str">
        <f aca="true">IF(ISNUMBER($J138),INDIRECT("N"&amp;($J138+4)),"")</f>
        <v/>
      </c>
      <c r="D138" s="291" t="str">
        <f aca="true">IF(ISNUMBER($J138),INDIRECT("O"&amp;($J138+4)),"")</f>
        <v/>
      </c>
      <c r="E138" s="291" t="str">
        <f aca="true">IF(ISNUMBER($J138),INDIRECT("P"&amp;($J138+4)),"")</f>
        <v/>
      </c>
      <c r="F138" s="300" t="str">
        <f aca="true">IF(ISNUMBER($J138),INDIRECT("Q"&amp;($J138+4)),"")</f>
        <v/>
      </c>
      <c r="G138" s="298" t="str">
        <f aca="true">IF(ISNUMBER($J138),INDIRECT("R"&amp;($J138+4)),"")</f>
        <v/>
      </c>
      <c r="H138" s="298" t="str">
        <f aca="true">IF(ISNUMBER($J138),INDIRECT("S"&amp;($J138+4)),"")</f>
        <v/>
      </c>
      <c r="J138" s="292" t="str">
        <f aca="true">IF(134&lt;=$K$1,MATCH(133.5,INDIRECT("$K$4:$K$1374"),1),"")</f>
        <v/>
      </c>
      <c r="K138" s="292" t="n">
        <f aca="false">$K$132+COUNTIF($Q$133:Q138,"&gt;0")</f>
        <v>0</v>
      </c>
      <c r="L138" s="292" t="str">
        <f aca="false">"Кабели"</f>
        <v>Кабели</v>
      </c>
      <c r="M138" s="292" t="str">
        <f aca="false">IF(ISBLANK(Кабели!$A$141),"",Кабели!$A$141)</f>
        <v>BX111 Feliz зарядный дата кабель iP (с упаковкой)</v>
      </c>
      <c r="N138" s="292" t="str">
        <f aca="false">IF(ISBLANK(Кабели!$D$142),"",Кабели!$D$142)</f>
        <v>6941991115059</v>
      </c>
      <c r="O138" s="292" t="str">
        <f aca="false">IF(ISBLANK(Кабели!$E$142),"",Кабели!$E$142)</f>
        <v>белый</v>
      </c>
      <c r="P138" s="292" t="str">
        <f aca="false">"ед."</f>
        <v>ед.</v>
      </c>
      <c r="Q138" s="292" t="n">
        <f aca="false">N(Кабели!$G$142)</f>
        <v>0</v>
      </c>
      <c r="R138" s="299" t="n">
        <f aca="false">IF(ISBLANK(Кабели!$F$142),"",Кабели!$F$142)</f>
        <v>45.67</v>
      </c>
      <c r="S138" s="292" t="str">
        <f aca="false">IF(ISBLANK(Кабели!$H$142),"",Кабели!$H$142)</f>
        <v/>
      </c>
    </row>
    <row r="139" customFormat="false" ht="66" hidden="false" customHeight="true" outlineLevel="0" collapsed="false">
      <c r="A139" s="291" t="str">
        <f aca="true">IF(ISNUMBER($J139),INDIRECT("L"&amp;($J139+4)),"")</f>
        <v/>
      </c>
      <c r="B139" s="291" t="str">
        <f aca="true">IF(ISNUMBER($J139),INDIRECT("M"&amp;($J139+4)),"")</f>
        <v/>
      </c>
      <c r="C139" s="296" t="str">
        <f aca="true">IF(ISNUMBER($J139),INDIRECT("N"&amp;($J139+4)),"")</f>
        <v/>
      </c>
      <c r="D139" s="291" t="str">
        <f aca="true">IF(ISNUMBER($J139),INDIRECT("O"&amp;($J139+4)),"")</f>
        <v/>
      </c>
      <c r="E139" s="291" t="str">
        <f aca="true">IF(ISNUMBER($J139),INDIRECT("P"&amp;($J139+4)),"")</f>
        <v/>
      </c>
      <c r="F139" s="300" t="str">
        <f aca="true">IF(ISNUMBER($J139),INDIRECT("Q"&amp;($J139+4)),"")</f>
        <v/>
      </c>
      <c r="G139" s="298" t="str">
        <f aca="true">IF(ISNUMBER($J139),INDIRECT("R"&amp;($J139+4)),"")</f>
        <v/>
      </c>
      <c r="H139" s="298" t="str">
        <f aca="true">IF(ISNUMBER($J139),INDIRECT("S"&amp;($J139+4)),"")</f>
        <v/>
      </c>
      <c r="J139" s="292" t="str">
        <f aca="true">IF(135&lt;=$K$1,MATCH(134.5,INDIRECT("$K$4:$K$1374"),1),"")</f>
        <v/>
      </c>
      <c r="K139" s="292" t="n">
        <f aca="false">$K$132+COUNTIF($Q$133:Q139,"&gt;0")</f>
        <v>0</v>
      </c>
      <c r="L139" s="292" t="str">
        <f aca="false">"Кабели"</f>
        <v>Кабели</v>
      </c>
      <c r="M139" s="292" t="str">
        <f aca="false">IF(ISBLANK(Кабели!$A$143),"",Кабели!$A$143)</f>
        <v>BX111 Feliz зарядный дата кабель Micro (с упаковкой)</v>
      </c>
      <c r="N139" s="292" t="str">
        <f aca="false">IF(ISBLANK(Кабели!$D$143),"",Кабели!$D$143)</f>
        <v>6941991115066</v>
      </c>
      <c r="O139" s="292" t="str">
        <f aca="false">IF(ISBLANK(Кабели!$E$143),"",Кабели!$E$143)</f>
        <v>черный</v>
      </c>
      <c r="P139" s="292" t="str">
        <f aca="false">"ед."</f>
        <v>ед.</v>
      </c>
      <c r="Q139" s="292" t="n">
        <f aca="false">N(Кабели!$G$143)</f>
        <v>0</v>
      </c>
      <c r="R139" s="299" t="n">
        <f aca="false">IF(ISBLANK(Кабели!$F$143),"",Кабели!$F$143)</f>
        <v>34.25</v>
      </c>
      <c r="S139" s="292" t="str">
        <f aca="false">IF(ISBLANK(Кабели!$H$143),"",Кабели!$H$143)</f>
        <v/>
      </c>
    </row>
    <row r="140" customFormat="false" ht="66" hidden="false" customHeight="true" outlineLevel="0" collapsed="false">
      <c r="A140" s="291" t="str">
        <f aca="true">IF(ISNUMBER($J140),INDIRECT("L"&amp;($J140+4)),"")</f>
        <v/>
      </c>
      <c r="B140" s="291" t="str">
        <f aca="true">IF(ISNUMBER($J140),INDIRECT("M"&amp;($J140+4)),"")</f>
        <v/>
      </c>
      <c r="C140" s="296" t="str">
        <f aca="true">IF(ISNUMBER($J140),INDIRECT("N"&amp;($J140+4)),"")</f>
        <v/>
      </c>
      <c r="D140" s="291" t="str">
        <f aca="true">IF(ISNUMBER($J140),INDIRECT("O"&amp;($J140+4)),"")</f>
        <v/>
      </c>
      <c r="E140" s="291" t="str">
        <f aca="true">IF(ISNUMBER($J140),INDIRECT("P"&amp;($J140+4)),"")</f>
        <v/>
      </c>
      <c r="F140" s="300" t="str">
        <f aca="true">IF(ISNUMBER($J140),INDIRECT("Q"&amp;($J140+4)),"")</f>
        <v/>
      </c>
      <c r="G140" s="298" t="str">
        <f aca="true">IF(ISNUMBER($J140),INDIRECT("R"&amp;($J140+4)),"")</f>
        <v/>
      </c>
      <c r="H140" s="298" t="str">
        <f aca="true">IF(ISNUMBER($J140),INDIRECT("S"&amp;($J140+4)),"")</f>
        <v/>
      </c>
      <c r="J140" s="292" t="str">
        <f aca="true">IF(136&lt;=$K$1,MATCH(135.5,INDIRECT("$K$4:$K$1374"),1),"")</f>
        <v/>
      </c>
      <c r="K140" s="292" t="n">
        <f aca="false">$K$132+COUNTIF($Q$133:Q140,"&gt;0")</f>
        <v>0</v>
      </c>
      <c r="L140" s="292" t="str">
        <f aca="false">"Кабели"</f>
        <v>Кабели</v>
      </c>
      <c r="M140" s="292" t="str">
        <f aca="false">IF(ISBLANK(Кабели!$A$143),"",Кабели!$A$143)</f>
        <v>BX111 Feliz зарядный дата кабель Micro (с упаковкой)</v>
      </c>
      <c r="N140" s="292" t="str">
        <f aca="false">IF(ISBLANK(Кабели!$D$144),"",Кабели!$D$144)</f>
        <v>6941991115073</v>
      </c>
      <c r="O140" s="292" t="str">
        <f aca="false">IF(ISBLANK(Кабели!$E$144),"",Кабели!$E$144)</f>
        <v>белый</v>
      </c>
      <c r="P140" s="292" t="str">
        <f aca="false">"ед."</f>
        <v>ед.</v>
      </c>
      <c r="Q140" s="292" t="n">
        <f aca="false">N(Кабели!$G$144)</f>
        <v>0</v>
      </c>
      <c r="R140" s="299" t="n">
        <f aca="false">IF(ISBLANK(Кабели!$F$144),"",Кабели!$F$144)</f>
        <v>34.25</v>
      </c>
      <c r="S140" s="292" t="str">
        <f aca="false">IF(ISBLANK(Кабели!$H$144),"",Кабели!$H$144)</f>
        <v/>
      </c>
    </row>
    <row r="141" customFormat="false" ht="66" hidden="false" customHeight="true" outlineLevel="0" collapsed="false">
      <c r="A141" s="291" t="str">
        <f aca="true">IF(ISNUMBER($J141),INDIRECT("L"&amp;($J141+4)),"")</f>
        <v/>
      </c>
      <c r="B141" s="291" t="str">
        <f aca="true">IF(ISNUMBER($J141),INDIRECT("M"&amp;($J141+4)),"")</f>
        <v/>
      </c>
      <c r="C141" s="296" t="str">
        <f aca="true">IF(ISNUMBER($J141),INDIRECT("N"&amp;($J141+4)),"")</f>
        <v/>
      </c>
      <c r="D141" s="291" t="str">
        <f aca="true">IF(ISNUMBER($J141),INDIRECT("O"&amp;($J141+4)),"")</f>
        <v/>
      </c>
      <c r="E141" s="291" t="str">
        <f aca="true">IF(ISNUMBER($J141),INDIRECT("P"&amp;($J141+4)),"")</f>
        <v/>
      </c>
      <c r="F141" s="300" t="str">
        <f aca="true">IF(ISNUMBER($J141),INDIRECT("Q"&amp;($J141+4)),"")</f>
        <v/>
      </c>
      <c r="G141" s="298" t="str">
        <f aca="true">IF(ISNUMBER($J141),INDIRECT("R"&amp;($J141+4)),"")</f>
        <v/>
      </c>
      <c r="H141" s="298" t="str">
        <f aca="true">IF(ISNUMBER($J141),INDIRECT("S"&amp;($J141+4)),"")</f>
        <v/>
      </c>
      <c r="J141" s="292" t="str">
        <f aca="true">IF(137&lt;=$K$1,MATCH(136.5,INDIRECT("$K$4:$K$1374"),1),"")</f>
        <v/>
      </c>
      <c r="K141" s="292" t="n">
        <f aca="false">$K$132+COUNTIF($Q$133:Q141,"&gt;0")</f>
        <v>0</v>
      </c>
      <c r="L141" s="292" t="str">
        <f aca="false">"Кабели"</f>
        <v>Кабели</v>
      </c>
      <c r="M141" s="292" t="str">
        <f aca="false">IF(ISBLANK(Кабели!$A$145),"",Кабели!$A$145)</f>
        <v>BX111 Feliz зарядный дата кабель Type-C (с упаковкой)</v>
      </c>
      <c r="N141" s="292" t="str">
        <f aca="false">IF(ISBLANK(Кабели!$D$145),"",Кабели!$D$145)</f>
        <v>6941991115080</v>
      </c>
      <c r="O141" s="292" t="str">
        <f aca="false">IF(ISBLANK(Кабели!$E$145),"",Кабели!$E$145)</f>
        <v>черный</v>
      </c>
      <c r="P141" s="292" t="str">
        <f aca="false">"ед."</f>
        <v>ед.</v>
      </c>
      <c r="Q141" s="292" t="n">
        <f aca="false">N(Кабели!$G$145)</f>
        <v>0</v>
      </c>
      <c r="R141" s="299" t="n">
        <f aca="false">IF(ISBLANK(Кабели!$F$145),"",Кабели!$F$145)</f>
        <v>39.14</v>
      </c>
      <c r="S141" s="292" t="str">
        <f aca="false">IF(ISBLANK(Кабели!$H$145),"",Кабели!$H$145)</f>
        <v/>
      </c>
    </row>
    <row r="142" customFormat="false" ht="66" hidden="false" customHeight="true" outlineLevel="0" collapsed="false">
      <c r="A142" s="291" t="str">
        <f aca="true">IF(ISNUMBER($J142),INDIRECT("L"&amp;($J142+4)),"")</f>
        <v/>
      </c>
      <c r="B142" s="291" t="str">
        <f aca="true">IF(ISNUMBER($J142),INDIRECT("M"&amp;($J142+4)),"")</f>
        <v/>
      </c>
      <c r="C142" s="296" t="str">
        <f aca="true">IF(ISNUMBER($J142),INDIRECT("N"&amp;($J142+4)),"")</f>
        <v/>
      </c>
      <c r="D142" s="291" t="str">
        <f aca="true">IF(ISNUMBER($J142),INDIRECT("O"&amp;($J142+4)),"")</f>
        <v/>
      </c>
      <c r="E142" s="291" t="str">
        <f aca="true">IF(ISNUMBER($J142),INDIRECT("P"&amp;($J142+4)),"")</f>
        <v/>
      </c>
      <c r="F142" s="300" t="str">
        <f aca="true">IF(ISNUMBER($J142),INDIRECT("Q"&amp;($J142+4)),"")</f>
        <v/>
      </c>
      <c r="G142" s="298" t="str">
        <f aca="true">IF(ISNUMBER($J142),INDIRECT("R"&amp;($J142+4)),"")</f>
        <v/>
      </c>
      <c r="H142" s="298" t="str">
        <f aca="true">IF(ISNUMBER($J142),INDIRECT("S"&amp;($J142+4)),"")</f>
        <v/>
      </c>
      <c r="J142" s="292" t="str">
        <f aca="true">IF(138&lt;=$K$1,MATCH(137.5,INDIRECT("$K$4:$K$1374"),1),"")</f>
        <v/>
      </c>
      <c r="K142" s="292" t="n">
        <f aca="false">$K$132+COUNTIF($Q$133:Q142,"&gt;0")</f>
        <v>0</v>
      </c>
      <c r="L142" s="292" t="str">
        <f aca="false">"Кабели"</f>
        <v>Кабели</v>
      </c>
      <c r="M142" s="292" t="str">
        <f aca="false">IF(ISBLANK(Кабели!$A$145),"",Кабели!$A$145)</f>
        <v>BX111 Feliz зарядный дата кабель Type-C (с упаковкой)</v>
      </c>
      <c r="N142" s="292" t="str">
        <f aca="false">IF(ISBLANK(Кабели!$D$146),"",Кабели!$D$146)</f>
        <v>6941991115097</v>
      </c>
      <c r="O142" s="292" t="str">
        <f aca="false">IF(ISBLANK(Кабели!$E$146),"",Кабели!$E$146)</f>
        <v>белый</v>
      </c>
      <c r="P142" s="292" t="str">
        <f aca="false">"ед."</f>
        <v>ед.</v>
      </c>
      <c r="Q142" s="292" t="n">
        <f aca="false">N(Кабели!$G$146)</f>
        <v>0</v>
      </c>
      <c r="R142" s="299" t="n">
        <f aca="false">IF(ISBLANK(Кабели!$F$146),"",Кабели!$F$146)</f>
        <v>39.14</v>
      </c>
      <c r="S142" s="292" t="str">
        <f aca="false">IF(ISBLANK(Кабели!$H$146),"",Кабели!$H$146)</f>
        <v/>
      </c>
    </row>
    <row r="143" customFormat="false" ht="66" hidden="false" customHeight="true" outlineLevel="0" collapsed="false">
      <c r="A143" s="291" t="str">
        <f aca="true">IF(ISNUMBER($J143),INDIRECT("L"&amp;($J143+4)),"")</f>
        <v/>
      </c>
      <c r="B143" s="291" t="str">
        <f aca="true">IF(ISNUMBER($J143),INDIRECT("M"&amp;($J143+4)),"")</f>
        <v/>
      </c>
      <c r="C143" s="296" t="str">
        <f aca="true">IF(ISNUMBER($J143),INDIRECT("N"&amp;($J143+4)),"")</f>
        <v/>
      </c>
      <c r="D143" s="291" t="str">
        <f aca="true">IF(ISNUMBER($J143),INDIRECT("O"&amp;($J143+4)),"")</f>
        <v/>
      </c>
      <c r="E143" s="291" t="str">
        <f aca="true">IF(ISNUMBER($J143),INDIRECT("P"&amp;($J143+4)),"")</f>
        <v/>
      </c>
      <c r="F143" s="300" t="str">
        <f aca="true">IF(ISNUMBER($J143),INDIRECT("Q"&amp;($J143+4)),"")</f>
        <v/>
      </c>
      <c r="G143" s="298" t="str">
        <f aca="true">IF(ISNUMBER($J143),INDIRECT("R"&amp;($J143+4)),"")</f>
        <v/>
      </c>
      <c r="H143" s="298" t="str">
        <f aca="true">IF(ISNUMBER($J143),INDIRECT("S"&amp;($J143+4)),"")</f>
        <v/>
      </c>
      <c r="J143" s="292" t="str">
        <f aca="true">IF(139&lt;=$K$1,MATCH(138.5,INDIRECT("$K$4:$K$1374"),1),"")</f>
        <v/>
      </c>
      <c r="K143" s="292" t="n">
        <f aca="false">$K$132+COUNTIF($Q$133:Q143,"&gt;0")</f>
        <v>0</v>
      </c>
      <c r="L143" s="292" t="str">
        <f aca="false">"Кабели"</f>
        <v>Кабели</v>
      </c>
      <c r="M143" s="292" t="str">
        <f aca="false">IF(ISBLANK(Кабели!$A$147),"",Кабели!$A$147)</f>
        <v>BX110 Beneficio 60W зарядный дата кабель  C на C</v>
      </c>
      <c r="N143" s="292" t="str">
        <f aca="false">IF(ISBLANK(Кабели!$D$147),"",Кабели!$D$147)</f>
        <v>6941991120763</v>
      </c>
      <c r="O143" s="292" t="str">
        <f aca="false">IF(ISBLANK(Кабели!$E$147),"",Кабели!$E$147)</f>
        <v>чёрный</v>
      </c>
      <c r="P143" s="292" t="str">
        <f aca="false">"ед."</f>
        <v>ед.</v>
      </c>
      <c r="Q143" s="292" t="n">
        <f aca="false">N(Кабели!$G$147)</f>
        <v>0</v>
      </c>
      <c r="R143" s="299" t="n">
        <f aca="false">IF(ISBLANK(Кабели!$F$147),"",Кабели!$F$147)</f>
        <v>52.19</v>
      </c>
      <c r="S143" s="292" t="str">
        <f aca="false">IF(ISBLANK(Кабели!$H$147),"",Кабели!$H$147)</f>
        <v/>
      </c>
    </row>
    <row r="144" customFormat="false" ht="66" hidden="false" customHeight="true" outlineLevel="0" collapsed="false">
      <c r="A144" s="291" t="str">
        <f aca="true">IF(ISNUMBER($J144),INDIRECT("L"&amp;($J144+4)),"")</f>
        <v/>
      </c>
      <c r="B144" s="291" t="str">
        <f aca="true">IF(ISNUMBER($J144),INDIRECT("M"&amp;($J144+4)),"")</f>
        <v/>
      </c>
      <c r="C144" s="296" t="str">
        <f aca="true">IF(ISNUMBER($J144),INDIRECT("N"&amp;($J144+4)),"")</f>
        <v/>
      </c>
      <c r="D144" s="291" t="str">
        <f aca="true">IF(ISNUMBER($J144),INDIRECT("O"&amp;($J144+4)),"")</f>
        <v/>
      </c>
      <c r="E144" s="291" t="str">
        <f aca="true">IF(ISNUMBER($J144),INDIRECT("P"&amp;($J144+4)),"")</f>
        <v/>
      </c>
      <c r="F144" s="300" t="str">
        <f aca="true">IF(ISNUMBER($J144),INDIRECT("Q"&amp;($J144+4)),"")</f>
        <v/>
      </c>
      <c r="G144" s="298" t="str">
        <f aca="true">IF(ISNUMBER($J144),INDIRECT("R"&amp;($J144+4)),"")</f>
        <v/>
      </c>
      <c r="H144" s="298" t="str">
        <f aca="true">IF(ISNUMBER($J144),INDIRECT("S"&amp;($J144+4)),"")</f>
        <v/>
      </c>
      <c r="J144" s="292" t="str">
        <f aca="true">IF(140&lt;=$K$1,MATCH(139.5,INDIRECT("$K$4:$K$1374"),1),"")</f>
        <v/>
      </c>
      <c r="K144" s="292" t="n">
        <f aca="false">$K$132+COUNTIF($Q$133:Q144,"&gt;0")</f>
        <v>0</v>
      </c>
      <c r="L144" s="292" t="str">
        <f aca="false">"Кабели"</f>
        <v>Кабели</v>
      </c>
      <c r="M144" s="292" t="str">
        <f aca="false">IF(ISBLANK(Кабели!$A$148),"",Кабели!$A$148)</f>
        <v>BX110 Beneficio зарядный дата кабель  iP</v>
      </c>
      <c r="N144" s="292" t="str">
        <f aca="false">IF(ISBLANK(Кабели!$D$148),"",Кабели!$D$148)</f>
        <v>6941991120701</v>
      </c>
      <c r="O144" s="292" t="str">
        <f aca="false">IF(ISBLANK(Кабели!$E$148),"",Кабели!$E$148)</f>
        <v>чёрный</v>
      </c>
      <c r="P144" s="292" t="str">
        <f aca="false">"ед."</f>
        <v>ед.</v>
      </c>
      <c r="Q144" s="292" t="n">
        <f aca="false">N(Кабели!$G$148)</f>
        <v>0</v>
      </c>
      <c r="R144" s="299" t="n">
        <f aca="false">IF(ISBLANK(Кабели!$F$148),"",Кабели!$F$148)</f>
        <v>47.3</v>
      </c>
      <c r="S144" s="292" t="str">
        <f aca="false">IF(ISBLANK(Кабели!$H$148),"",Кабели!$H$148)</f>
        <v/>
      </c>
    </row>
    <row r="145" customFormat="false" ht="66" hidden="false" customHeight="true" outlineLevel="0" collapsed="false">
      <c r="A145" s="291" t="str">
        <f aca="true">IF(ISNUMBER($J145),INDIRECT("L"&amp;($J145+4)),"")</f>
        <v/>
      </c>
      <c r="B145" s="291" t="str">
        <f aca="true">IF(ISNUMBER($J145),INDIRECT("M"&amp;($J145+4)),"")</f>
        <v/>
      </c>
      <c r="C145" s="296" t="str">
        <f aca="true">IF(ISNUMBER($J145),INDIRECT("N"&amp;($J145+4)),"")</f>
        <v/>
      </c>
      <c r="D145" s="291" t="str">
        <f aca="true">IF(ISNUMBER($J145),INDIRECT("O"&amp;($J145+4)),"")</f>
        <v/>
      </c>
      <c r="E145" s="291" t="str">
        <f aca="true">IF(ISNUMBER($J145),INDIRECT("P"&amp;($J145+4)),"")</f>
        <v/>
      </c>
      <c r="F145" s="300" t="str">
        <f aca="true">IF(ISNUMBER($J145),INDIRECT("Q"&amp;($J145+4)),"")</f>
        <v/>
      </c>
      <c r="G145" s="298" t="str">
        <f aca="true">IF(ISNUMBER($J145),INDIRECT("R"&amp;($J145+4)),"")</f>
        <v/>
      </c>
      <c r="H145" s="298" t="str">
        <f aca="true">IF(ISNUMBER($J145),INDIRECT("S"&amp;($J145+4)),"")</f>
        <v/>
      </c>
      <c r="J145" s="292" t="str">
        <f aca="true">IF(141&lt;=$K$1,MATCH(140.5,INDIRECT("$K$4:$K$1374"),1),"")</f>
        <v/>
      </c>
      <c r="K145" s="292" t="n">
        <f aca="false">$K$132+COUNTIF($Q$133:Q145,"&gt;0")</f>
        <v>0</v>
      </c>
      <c r="L145" s="292" t="str">
        <f aca="false">"Кабели"</f>
        <v>Кабели</v>
      </c>
      <c r="M145" s="292" t="str">
        <f aca="false">IF(ISBLANK(Кабели!$A$149),"",Кабели!$A$149)</f>
        <v>BX110 Beneficio зарядный дата кабель  Type-C</v>
      </c>
      <c r="N145" s="292" t="str">
        <f aca="false">IF(ISBLANK(Кабели!$D$149),"",Кабели!$D$149)</f>
        <v>6941991120749</v>
      </c>
      <c r="O145" s="292" t="str">
        <f aca="false">IF(ISBLANK(Кабели!$E$149),"",Кабели!$E$149)</f>
        <v>чёрный</v>
      </c>
      <c r="P145" s="292" t="str">
        <f aca="false">"ед."</f>
        <v>ед.</v>
      </c>
      <c r="Q145" s="292" t="n">
        <f aca="false">N(Кабели!$G$149)</f>
        <v>0</v>
      </c>
      <c r="R145" s="299" t="n">
        <f aca="false">IF(ISBLANK(Кабели!$F$149),"",Кабели!$F$149)</f>
        <v>40.77</v>
      </c>
      <c r="S145" s="292" t="str">
        <f aca="false">IF(ISBLANK(Кабели!$H$149),"",Кабели!$H$149)</f>
        <v/>
      </c>
    </row>
    <row r="146" customFormat="false" ht="66" hidden="false" customHeight="true" outlineLevel="0" collapsed="false">
      <c r="A146" s="291" t="str">
        <f aca="true">IF(ISNUMBER($J146),INDIRECT("L"&amp;($J146+4)),"")</f>
        <v/>
      </c>
      <c r="B146" s="291" t="str">
        <f aca="true">IF(ISNUMBER($J146),INDIRECT("M"&amp;($J146+4)),"")</f>
        <v/>
      </c>
      <c r="C146" s="296" t="str">
        <f aca="true">IF(ISNUMBER($J146),INDIRECT("N"&amp;($J146+4)),"")</f>
        <v/>
      </c>
      <c r="D146" s="291" t="str">
        <f aca="true">IF(ISNUMBER($J146),INDIRECT("O"&amp;($J146+4)),"")</f>
        <v/>
      </c>
      <c r="E146" s="291" t="str">
        <f aca="true">IF(ISNUMBER($J146),INDIRECT("P"&amp;($J146+4)),"")</f>
        <v/>
      </c>
      <c r="F146" s="300" t="str">
        <f aca="true">IF(ISNUMBER($J146),INDIRECT("Q"&amp;($J146+4)),"")</f>
        <v/>
      </c>
      <c r="G146" s="298" t="str">
        <f aca="true">IF(ISNUMBER($J146),INDIRECT("R"&amp;($J146+4)),"")</f>
        <v/>
      </c>
      <c r="H146" s="298" t="str">
        <f aca="true">IF(ISNUMBER($J146),INDIRECT("S"&amp;($J146+4)),"")</f>
        <v/>
      </c>
      <c r="J146" s="292" t="str">
        <f aca="true">IF(142&lt;=$K$1,MATCH(141.5,INDIRECT("$K$4:$K$1374"),1),"")</f>
        <v/>
      </c>
      <c r="K146" s="292" t="n">
        <f aca="false">$K$132+COUNTIF($Q$133:Q146,"&gt;0")</f>
        <v>0</v>
      </c>
      <c r="L146" s="292" t="str">
        <f aca="false">"Кабели"</f>
        <v>Кабели</v>
      </c>
      <c r="M146" s="292" t="str">
        <f aca="false">IF(ISBLANK(Кабели!$A$150),"",Кабели!$A$150)</f>
        <v>BX101 Creator зарядный дата кабель Type-C</v>
      </c>
      <c r="N146" s="292" t="str">
        <f aca="false">IF(ISBLANK(Кабели!$D$150),"",Кабели!$D$150)</f>
        <v>6941991108273</v>
      </c>
      <c r="O146" s="292" t="str">
        <f aca="false">IF(ISBLANK(Кабели!$E$150),"",Кабели!$E$150)</f>
        <v>черный</v>
      </c>
      <c r="P146" s="292" t="str">
        <f aca="false">"ед."</f>
        <v>ед.</v>
      </c>
      <c r="Q146" s="292" t="n">
        <f aca="false">N(Кабели!$G$150)</f>
        <v>0</v>
      </c>
      <c r="R146" s="299" t="n">
        <f aca="false">IF(ISBLANK(Кабели!$F$150),"",Кабели!$F$150)</f>
        <v>68.5</v>
      </c>
      <c r="S146" s="292" t="str">
        <f aca="false">IF(ISBLANK(Кабели!$H$150),"",Кабели!$H$150)</f>
        <v/>
      </c>
    </row>
    <row r="147" customFormat="false" ht="66" hidden="false" customHeight="true" outlineLevel="0" collapsed="false">
      <c r="A147" s="291" t="str">
        <f aca="true">IF(ISNUMBER($J147),INDIRECT("L"&amp;($J147+4)),"")</f>
        <v/>
      </c>
      <c r="B147" s="291" t="str">
        <f aca="true">IF(ISNUMBER($J147),INDIRECT("M"&amp;($J147+4)),"")</f>
        <v/>
      </c>
      <c r="C147" s="296" t="str">
        <f aca="true">IF(ISNUMBER($J147),INDIRECT("N"&amp;($J147+4)),"")</f>
        <v/>
      </c>
      <c r="D147" s="291" t="str">
        <f aca="true">IF(ISNUMBER($J147),INDIRECT("O"&amp;($J147+4)),"")</f>
        <v/>
      </c>
      <c r="E147" s="291" t="str">
        <f aca="true">IF(ISNUMBER($J147),INDIRECT("P"&amp;($J147+4)),"")</f>
        <v/>
      </c>
      <c r="F147" s="300" t="str">
        <f aca="true">IF(ISNUMBER($J147),INDIRECT("Q"&amp;($J147+4)),"")</f>
        <v/>
      </c>
      <c r="G147" s="298" t="str">
        <f aca="true">IF(ISNUMBER($J147),INDIRECT("R"&amp;($J147+4)),"")</f>
        <v/>
      </c>
      <c r="H147" s="298" t="str">
        <f aca="true">IF(ISNUMBER($J147),INDIRECT("S"&amp;($J147+4)),"")</f>
        <v/>
      </c>
      <c r="J147" s="292" t="str">
        <f aca="true">IF(143&lt;=$K$1,MATCH(142.5,INDIRECT("$K$4:$K$1374"),1),"")</f>
        <v/>
      </c>
      <c r="K147" s="292" t="n">
        <f aca="false">$K$132+COUNTIF($Q$133:Q147,"&gt;0")</f>
        <v>0</v>
      </c>
      <c r="L147" s="292" t="str">
        <f aca="false">"Кабели"</f>
        <v>Кабели</v>
      </c>
      <c r="M147" s="292" t="str">
        <f aca="false">IF(ISBLANK(Кабели!$A$150),"",Кабели!$A$150)</f>
        <v>BX101 Creator зарядный дата кабель Type-C</v>
      </c>
      <c r="N147" s="292" t="str">
        <f aca="false">IF(ISBLANK(Кабели!$D$151),"",Кабели!$D$151)</f>
        <v>6941991108280</v>
      </c>
      <c r="O147" s="292" t="str">
        <f aca="false">IF(ISBLANK(Кабели!$E$151),"",Кабели!$E$151)</f>
        <v>белый</v>
      </c>
      <c r="P147" s="292" t="str">
        <f aca="false">"ед."</f>
        <v>ед.</v>
      </c>
      <c r="Q147" s="292" t="n">
        <f aca="false">N(Кабели!$G$151)</f>
        <v>0</v>
      </c>
      <c r="R147" s="299" t="n">
        <f aca="false">IF(ISBLANK(Кабели!$F$151),"",Кабели!$F$151)</f>
        <v>68.5</v>
      </c>
      <c r="S147" s="292" t="str">
        <f aca="false">IF(ISBLANK(Кабели!$H$151),"",Кабели!$H$151)</f>
        <v/>
      </c>
    </row>
    <row r="148" customFormat="false" ht="66" hidden="false" customHeight="true" outlineLevel="0" collapsed="false">
      <c r="A148" s="291" t="str">
        <f aca="true">IF(ISNUMBER($J148),INDIRECT("L"&amp;($J148+4)),"")</f>
        <v/>
      </c>
      <c r="B148" s="291" t="str">
        <f aca="true">IF(ISNUMBER($J148),INDIRECT("M"&amp;($J148+4)),"")</f>
        <v/>
      </c>
      <c r="C148" s="296" t="str">
        <f aca="true">IF(ISNUMBER($J148),INDIRECT("N"&amp;($J148+4)),"")</f>
        <v/>
      </c>
      <c r="D148" s="291" t="str">
        <f aca="true">IF(ISNUMBER($J148),INDIRECT("O"&amp;($J148+4)),"")</f>
        <v/>
      </c>
      <c r="E148" s="291" t="str">
        <f aca="true">IF(ISNUMBER($J148),INDIRECT("P"&amp;($J148+4)),"")</f>
        <v/>
      </c>
      <c r="F148" s="300" t="str">
        <f aca="true">IF(ISNUMBER($J148),INDIRECT("Q"&amp;($J148+4)),"")</f>
        <v/>
      </c>
      <c r="G148" s="298" t="str">
        <f aca="true">IF(ISNUMBER($J148),INDIRECT("R"&amp;($J148+4)),"")</f>
        <v/>
      </c>
      <c r="H148" s="298" t="str">
        <f aca="true">IF(ISNUMBER($J148),INDIRECT("S"&amp;($J148+4)),"")</f>
        <v/>
      </c>
      <c r="J148" s="292" t="str">
        <f aca="true">IF(144&lt;=$K$1,MATCH(143.5,INDIRECT("$K$4:$K$1374"),1),"")</f>
        <v/>
      </c>
      <c r="K148" s="292" t="n">
        <f aca="false">$K$132+COUNTIF($Q$133:Q148,"&gt;0")</f>
        <v>0</v>
      </c>
      <c r="L148" s="292" t="str">
        <f aca="false">"Кабели"</f>
        <v>Кабели</v>
      </c>
      <c r="M148" s="292" t="str">
        <f aca="false">IF(ISBLANK(Кабели!$A$152),"",Кабели!$A$152)</f>
        <v>BX93 Super power 100W зарядный дата кабель Type-C</v>
      </c>
      <c r="N148" s="292" t="str">
        <f aca="false">IF(ISBLANK(Кабели!$D$152),"",Кабели!$D$152)</f>
        <v>6941991103179</v>
      </c>
      <c r="O148" s="292" t="str">
        <f aca="false">IF(ISBLANK(Кабели!$E$152),"",Кабели!$E$152)</f>
        <v>черный</v>
      </c>
      <c r="P148" s="292" t="str">
        <f aca="false">"ед."</f>
        <v>ед.</v>
      </c>
      <c r="Q148" s="292" t="n">
        <f aca="false">N(Кабели!$G$152)</f>
        <v>0</v>
      </c>
      <c r="R148" s="299" t="n">
        <f aca="false">IF(ISBLANK(Кабели!$F$152),"",Кабели!$F$152)</f>
        <v>89.7</v>
      </c>
      <c r="S148" s="292" t="str">
        <f aca="false">IF(ISBLANK(Кабели!$H$152),"",Кабели!$H$152)</f>
        <v/>
      </c>
    </row>
    <row r="149" customFormat="false" ht="66" hidden="false" customHeight="true" outlineLevel="0" collapsed="false">
      <c r="A149" s="291" t="str">
        <f aca="true">IF(ISNUMBER($J149),INDIRECT("L"&amp;($J149+4)),"")</f>
        <v/>
      </c>
      <c r="B149" s="291" t="str">
        <f aca="true">IF(ISNUMBER($J149),INDIRECT("M"&amp;($J149+4)),"")</f>
        <v/>
      </c>
      <c r="C149" s="296" t="str">
        <f aca="true">IF(ISNUMBER($J149),INDIRECT("N"&amp;($J149+4)),"")</f>
        <v/>
      </c>
      <c r="D149" s="291" t="str">
        <f aca="true">IF(ISNUMBER($J149),INDIRECT("O"&amp;($J149+4)),"")</f>
        <v/>
      </c>
      <c r="E149" s="291" t="str">
        <f aca="true">IF(ISNUMBER($J149),INDIRECT("P"&amp;($J149+4)),"")</f>
        <v/>
      </c>
      <c r="F149" s="300" t="str">
        <f aca="true">IF(ISNUMBER($J149),INDIRECT("Q"&amp;($J149+4)),"")</f>
        <v/>
      </c>
      <c r="G149" s="298" t="str">
        <f aca="true">IF(ISNUMBER($J149),INDIRECT("R"&amp;($J149+4)),"")</f>
        <v/>
      </c>
      <c r="H149" s="298" t="str">
        <f aca="true">IF(ISNUMBER($J149),INDIRECT("S"&amp;($J149+4)),"")</f>
        <v/>
      </c>
      <c r="J149" s="292" t="str">
        <f aca="true">IF(145&lt;=$K$1,MATCH(144.5,INDIRECT("$K$4:$K$1374"),1),"")</f>
        <v/>
      </c>
      <c r="K149" s="292" t="n">
        <f aca="false">$K$132+COUNTIF($Q$133:Q149,"&gt;0")</f>
        <v>0</v>
      </c>
      <c r="L149" s="292" t="str">
        <f aca="false">"Кабели"</f>
        <v>Кабели</v>
      </c>
      <c r="M149" s="292" t="str">
        <f aca="false">IF(ISBLANK(Кабели!$A$152),"",Кабели!$A$152)</f>
        <v>BX93 Super power 100W зарядный дата кабель Type-C</v>
      </c>
      <c r="N149" s="292" t="str">
        <f aca="false">IF(ISBLANK(Кабели!$D$153),"",Кабели!$D$153)</f>
        <v>6941991103186</v>
      </c>
      <c r="O149" s="292" t="str">
        <f aca="false">IF(ISBLANK(Кабели!$E$153),"",Кабели!$E$153)</f>
        <v>белый</v>
      </c>
      <c r="P149" s="292" t="str">
        <f aca="false">"ед."</f>
        <v>ед.</v>
      </c>
      <c r="Q149" s="292" t="n">
        <f aca="false">N(Кабели!$G$153)</f>
        <v>0</v>
      </c>
      <c r="R149" s="299" t="n">
        <f aca="false">IF(ISBLANK(Кабели!$F$153),"",Кабели!$F$153)</f>
        <v>89.7</v>
      </c>
      <c r="S149" s="292" t="str">
        <f aca="false">IF(ISBLANK(Кабели!$H$153),"",Кабели!$H$153)</f>
        <v/>
      </c>
    </row>
    <row r="150" customFormat="false" ht="66" hidden="false" customHeight="true" outlineLevel="0" collapsed="false">
      <c r="A150" s="291" t="str">
        <f aca="true">IF(ISNUMBER($J150),INDIRECT("L"&amp;($J150+4)),"")</f>
        <v/>
      </c>
      <c r="B150" s="291" t="str">
        <f aca="true">IF(ISNUMBER($J150),INDIRECT("M"&amp;($J150+4)),"")</f>
        <v/>
      </c>
      <c r="C150" s="296" t="str">
        <f aca="true">IF(ISNUMBER($J150),INDIRECT("N"&amp;($J150+4)),"")</f>
        <v/>
      </c>
      <c r="D150" s="291" t="str">
        <f aca="true">IF(ISNUMBER($J150),INDIRECT("O"&amp;($J150+4)),"")</f>
        <v/>
      </c>
      <c r="E150" s="291" t="str">
        <f aca="true">IF(ISNUMBER($J150),INDIRECT("P"&amp;($J150+4)),"")</f>
        <v/>
      </c>
      <c r="F150" s="300" t="str">
        <f aca="true">IF(ISNUMBER($J150),INDIRECT("Q"&amp;($J150+4)),"")</f>
        <v/>
      </c>
      <c r="G150" s="298" t="str">
        <f aca="true">IF(ISNUMBER($J150),INDIRECT("R"&amp;($J150+4)),"")</f>
        <v/>
      </c>
      <c r="H150" s="298" t="str">
        <f aca="true">IF(ISNUMBER($J150),INDIRECT("S"&amp;($J150+4)),"")</f>
        <v/>
      </c>
      <c r="J150" s="292" t="str">
        <f aca="true">IF(146&lt;=$K$1,MATCH(145.5,INDIRECT("$K$4:$K$1374"),1),"")</f>
        <v/>
      </c>
      <c r="K150" s="292" t="n">
        <f aca="false">$K$132+COUNTIF($Q$133:Q150,"&gt;0")</f>
        <v>0</v>
      </c>
      <c r="L150" s="292" t="str">
        <f aca="false">"Кабели"</f>
        <v>Кабели</v>
      </c>
      <c r="M150" s="292" t="str">
        <f aca="false">IF(ISBLANK(Кабели!$A$154),"",Кабели!$A$154)</f>
        <v>BX93 Super power 27W зарядный дата кабель Type-C</v>
      </c>
      <c r="N150" s="292" t="str">
        <f aca="false">IF(ISBLANK(Кабели!$D$154),"",Кабели!$D$154)</f>
        <v>6941991103155</v>
      </c>
      <c r="O150" s="292" t="str">
        <f aca="false">IF(ISBLANK(Кабели!$E$154),"",Кабели!$E$154)</f>
        <v>черный</v>
      </c>
      <c r="P150" s="292" t="str">
        <f aca="false">"ед."</f>
        <v>ед.</v>
      </c>
      <c r="Q150" s="292" t="n">
        <f aca="false">N(Кабели!$G$154)</f>
        <v>0</v>
      </c>
      <c r="R150" s="299" t="n">
        <f aca="false">IF(ISBLANK(Кабели!$F$154),"",Кабели!$F$154)</f>
        <v>48.93</v>
      </c>
      <c r="S150" s="292" t="str">
        <f aca="false">IF(ISBLANK(Кабели!$H$154),"",Кабели!$H$154)</f>
        <v/>
      </c>
    </row>
    <row r="151" customFormat="false" ht="66" hidden="false" customHeight="true" outlineLevel="0" collapsed="false">
      <c r="A151" s="291" t="str">
        <f aca="true">IF(ISNUMBER($J151),INDIRECT("L"&amp;($J151+4)),"")</f>
        <v/>
      </c>
      <c r="B151" s="291" t="str">
        <f aca="true">IF(ISNUMBER($J151),INDIRECT("M"&amp;($J151+4)),"")</f>
        <v/>
      </c>
      <c r="C151" s="296" t="str">
        <f aca="true">IF(ISNUMBER($J151),INDIRECT("N"&amp;($J151+4)),"")</f>
        <v/>
      </c>
      <c r="D151" s="291" t="str">
        <f aca="true">IF(ISNUMBER($J151),INDIRECT("O"&amp;($J151+4)),"")</f>
        <v/>
      </c>
      <c r="E151" s="291" t="str">
        <f aca="true">IF(ISNUMBER($J151),INDIRECT("P"&amp;($J151+4)),"")</f>
        <v/>
      </c>
      <c r="F151" s="300" t="str">
        <f aca="true">IF(ISNUMBER($J151),INDIRECT("Q"&amp;($J151+4)),"")</f>
        <v/>
      </c>
      <c r="G151" s="298" t="str">
        <f aca="true">IF(ISNUMBER($J151),INDIRECT("R"&amp;($J151+4)),"")</f>
        <v/>
      </c>
      <c r="H151" s="298" t="str">
        <f aca="true">IF(ISNUMBER($J151),INDIRECT("S"&amp;($J151+4)),"")</f>
        <v/>
      </c>
      <c r="J151" s="292" t="str">
        <f aca="true">IF(147&lt;=$K$1,MATCH(146.5,INDIRECT("$K$4:$K$1374"),1),"")</f>
        <v/>
      </c>
      <c r="K151" s="292" t="n">
        <f aca="false">$K$132+COUNTIF($Q$133:Q151,"&gt;0")</f>
        <v>0</v>
      </c>
      <c r="L151" s="292" t="str">
        <f aca="false">"Кабели"</f>
        <v>Кабели</v>
      </c>
      <c r="M151" s="292" t="str">
        <f aca="false">IF(ISBLANK(Кабели!$A$155),"",Кабели!$A$155)</f>
        <v>BX87 Sharp PD зарядный дата кабель для iP(с упаковкой)</v>
      </c>
      <c r="N151" s="292" t="str">
        <f aca="false">IF(ISBLANK(Кабели!$D$155),"",Кабели!$D$155)</f>
        <v>6974443388985</v>
      </c>
      <c r="O151" s="292" t="str">
        <f aca="false">IF(ISBLANK(Кабели!$E$155),"",Кабели!$E$155)</f>
        <v>черный</v>
      </c>
      <c r="P151" s="292" t="str">
        <f aca="false">"ед."</f>
        <v>ед.</v>
      </c>
      <c r="Q151" s="292" t="n">
        <f aca="false">N(Кабели!$G$155)</f>
        <v>0</v>
      </c>
      <c r="R151" s="299" t="n">
        <f aca="false">IF(ISBLANK(Кабели!$F$155),"",Кабели!$F$155)</f>
        <v>101.12</v>
      </c>
      <c r="S151" s="292" t="str">
        <f aca="false">IF(ISBLANK(Кабели!$H$155),"",Кабели!$H$155)</f>
        <v/>
      </c>
    </row>
    <row r="152" customFormat="false" ht="66" hidden="false" customHeight="true" outlineLevel="0" collapsed="false">
      <c r="A152" s="291" t="str">
        <f aca="true">IF(ISNUMBER($J152),INDIRECT("L"&amp;($J152+4)),"")</f>
        <v/>
      </c>
      <c r="B152" s="291" t="str">
        <f aca="true">IF(ISNUMBER($J152),INDIRECT("M"&amp;($J152+4)),"")</f>
        <v/>
      </c>
      <c r="C152" s="296" t="str">
        <f aca="true">IF(ISNUMBER($J152),INDIRECT("N"&amp;($J152+4)),"")</f>
        <v/>
      </c>
      <c r="D152" s="291" t="str">
        <f aca="true">IF(ISNUMBER($J152),INDIRECT("O"&amp;($J152+4)),"")</f>
        <v/>
      </c>
      <c r="E152" s="291" t="str">
        <f aca="true">IF(ISNUMBER($J152),INDIRECT("P"&amp;($J152+4)),"")</f>
        <v/>
      </c>
      <c r="F152" s="300" t="str">
        <f aca="true">IF(ISNUMBER($J152),INDIRECT("Q"&amp;($J152+4)),"")</f>
        <v/>
      </c>
      <c r="G152" s="298" t="str">
        <f aca="true">IF(ISNUMBER($J152),INDIRECT("R"&amp;($J152+4)),"")</f>
        <v/>
      </c>
      <c r="H152" s="298" t="str">
        <f aca="true">IF(ISNUMBER($J152),INDIRECT("S"&amp;($J152+4)),"")</f>
        <v/>
      </c>
      <c r="J152" s="292" t="str">
        <f aca="true">IF(148&lt;=$K$1,MATCH(147.5,INDIRECT("$K$4:$K$1374"),1),"")</f>
        <v/>
      </c>
      <c r="K152" s="292" t="n">
        <f aca="false">$K$132+COUNTIF($Q$133:Q152,"&gt;0")</f>
        <v>0</v>
      </c>
      <c r="L152" s="292" t="str">
        <f aca="false">"Кабели"</f>
        <v>Кабели</v>
      </c>
      <c r="M152" s="292" t="str">
        <f aca="false">IF(ISBLANK(Кабели!$A$156),"",Кабели!$A$156)</f>
        <v>BX87 Sharp 60W зарядный дата кабель для Type-C на Type-C(с упаковкой)</v>
      </c>
      <c r="N152" s="292" t="str">
        <f aca="false">IF(ISBLANK(Кабели!$D$156),"",Кабели!$D$156)</f>
        <v>6974443389067</v>
      </c>
      <c r="O152" s="292" t="str">
        <f aca="false">IF(ISBLANK(Кабели!$E$156),"",Кабели!$E$156)</f>
        <v>черный</v>
      </c>
      <c r="P152" s="292" t="str">
        <f aca="false">"ед."</f>
        <v>ед.</v>
      </c>
      <c r="Q152" s="292" t="n">
        <f aca="false">N(Кабели!$G$156)</f>
        <v>0</v>
      </c>
      <c r="R152" s="299" t="n">
        <f aca="false">IF(ISBLANK(Кабели!$F$156),"",Кабели!$F$156)</f>
        <v>71.76</v>
      </c>
      <c r="S152" s="292" t="str">
        <f aca="false">IF(ISBLANK(Кабели!$H$156),"",Кабели!$H$156)</f>
        <v/>
      </c>
    </row>
    <row r="153" customFormat="false" ht="66" hidden="false" customHeight="true" outlineLevel="0" collapsed="false">
      <c r="A153" s="291" t="str">
        <f aca="true">IF(ISNUMBER($J153),INDIRECT("L"&amp;($J153+4)),"")</f>
        <v/>
      </c>
      <c r="B153" s="291" t="str">
        <f aca="true">IF(ISNUMBER($J153),INDIRECT("M"&amp;($J153+4)),"")</f>
        <v/>
      </c>
      <c r="C153" s="296" t="str">
        <f aca="true">IF(ISNUMBER($J153),INDIRECT("N"&amp;($J153+4)),"")</f>
        <v/>
      </c>
      <c r="D153" s="291" t="str">
        <f aca="true">IF(ISNUMBER($J153),INDIRECT("O"&amp;($J153+4)),"")</f>
        <v/>
      </c>
      <c r="E153" s="291" t="str">
        <f aca="true">IF(ISNUMBER($J153),INDIRECT("P"&amp;($J153+4)),"")</f>
        <v/>
      </c>
      <c r="F153" s="300" t="str">
        <f aca="true">IF(ISNUMBER($J153),INDIRECT("Q"&amp;($J153+4)),"")</f>
        <v/>
      </c>
      <c r="G153" s="298" t="str">
        <f aca="true">IF(ISNUMBER($J153),INDIRECT("R"&amp;($J153+4)),"")</f>
        <v/>
      </c>
      <c r="H153" s="298" t="str">
        <f aca="true">IF(ISNUMBER($J153),INDIRECT("S"&amp;($J153+4)),"")</f>
        <v/>
      </c>
      <c r="J153" s="292" t="str">
        <f aca="true">IF(149&lt;=$K$1,MATCH(148.5,INDIRECT("$K$4:$K$1374"),1),"")</f>
        <v/>
      </c>
      <c r="K153" s="292" t="n">
        <f aca="false">$K$132+COUNTIF($Q$133:Q153,"&gt;0")</f>
        <v>0</v>
      </c>
      <c r="L153" s="292" t="str">
        <f aca="false">"Кабели"</f>
        <v>Кабели</v>
      </c>
      <c r="M153" s="292" t="str">
        <f aca="false">IF(ISBLANK(Кабели!$A$157),"",Кабели!$A$157)</f>
        <v>BX87 Sharp зарядный дата кабель для iP(с упаковкой)</v>
      </c>
      <c r="N153" s="292" t="str">
        <f aca="false">IF(ISBLANK(Кабели!$D$157),"",Кабели!$D$157)</f>
        <v>6974443389005</v>
      </c>
      <c r="O153" s="292" t="str">
        <f aca="false">IF(ISBLANK(Кабели!$E$157),"",Кабели!$E$157)</f>
        <v>черный</v>
      </c>
      <c r="P153" s="292" t="str">
        <f aca="false">"ед."</f>
        <v>ед.</v>
      </c>
      <c r="Q153" s="292" t="n">
        <f aca="false">N(Кабели!$G$157)</f>
        <v>0</v>
      </c>
      <c r="R153" s="299" t="n">
        <f aca="false">IF(ISBLANK(Кабели!$F$157),"",Кабели!$F$157)</f>
        <v>52.19</v>
      </c>
      <c r="S153" s="292" t="str">
        <f aca="false">IF(ISBLANK(Кабели!$H$157),"",Кабели!$H$157)</f>
        <v/>
      </c>
    </row>
    <row r="154" customFormat="false" ht="66" hidden="false" customHeight="true" outlineLevel="0" collapsed="false">
      <c r="A154" s="291" t="str">
        <f aca="true">IF(ISNUMBER($J154),INDIRECT("L"&amp;($J154+4)),"")</f>
        <v/>
      </c>
      <c r="B154" s="291" t="str">
        <f aca="true">IF(ISNUMBER($J154),INDIRECT("M"&amp;($J154+4)),"")</f>
        <v/>
      </c>
      <c r="C154" s="296" t="str">
        <f aca="true">IF(ISNUMBER($J154),INDIRECT("N"&amp;($J154+4)),"")</f>
        <v/>
      </c>
      <c r="D154" s="291" t="str">
        <f aca="true">IF(ISNUMBER($J154),INDIRECT("O"&amp;($J154+4)),"")</f>
        <v/>
      </c>
      <c r="E154" s="291" t="str">
        <f aca="true">IF(ISNUMBER($J154),INDIRECT("P"&amp;($J154+4)),"")</f>
        <v/>
      </c>
      <c r="F154" s="300" t="str">
        <f aca="true">IF(ISNUMBER($J154),INDIRECT("Q"&amp;($J154+4)),"")</f>
        <v/>
      </c>
      <c r="G154" s="298" t="str">
        <f aca="true">IF(ISNUMBER($J154),INDIRECT("R"&amp;($J154+4)),"")</f>
        <v/>
      </c>
      <c r="H154" s="298" t="str">
        <f aca="true">IF(ISNUMBER($J154),INDIRECT("S"&amp;($J154+4)),"")</f>
        <v/>
      </c>
      <c r="J154" s="292" t="str">
        <f aca="true">IF(150&lt;=$K$1,MATCH(149.5,INDIRECT("$K$4:$K$1374"),1),"")</f>
        <v/>
      </c>
      <c r="K154" s="292" t="n">
        <f aca="false">$K$132+COUNTIF($Q$133:Q154,"&gt;0")</f>
        <v>0</v>
      </c>
      <c r="L154" s="292" t="str">
        <f aca="false">"Кабели"</f>
        <v>Кабели</v>
      </c>
      <c r="M154" s="292" t="str">
        <f aca="false">IF(ISBLANK(Кабели!$A$158),"",Кабели!$A$158)</f>
        <v>BX87 Sharp зарядный дата кабель для Micro(с упаковкой)</v>
      </c>
      <c r="N154" s="292" t="str">
        <f aca="false">IF(ISBLANK(Кабели!$D$158),"",Кабели!$D$158)</f>
        <v>6974443389029</v>
      </c>
      <c r="O154" s="292" t="str">
        <f aca="false">IF(ISBLANK(Кабели!$E$158),"",Кабели!$E$158)</f>
        <v>черный</v>
      </c>
      <c r="P154" s="292" t="str">
        <f aca="false">"ед."</f>
        <v>ед.</v>
      </c>
      <c r="Q154" s="292" t="n">
        <f aca="false">N(Кабели!$G$158)</f>
        <v>0</v>
      </c>
      <c r="R154" s="299" t="n">
        <f aca="false">IF(ISBLANK(Кабели!$F$158),"",Кабели!$F$158)</f>
        <v>39.14</v>
      </c>
      <c r="S154" s="292" t="str">
        <f aca="false">IF(ISBLANK(Кабели!$H$158),"",Кабели!$H$158)</f>
        <v/>
      </c>
    </row>
    <row r="155" customFormat="false" ht="66" hidden="false" customHeight="true" outlineLevel="0" collapsed="false">
      <c r="A155" s="291" t="str">
        <f aca="true">IF(ISNUMBER($J155),INDIRECT("L"&amp;($J155+4)),"")</f>
        <v/>
      </c>
      <c r="B155" s="291" t="str">
        <f aca="true">IF(ISNUMBER($J155),INDIRECT("M"&amp;($J155+4)),"")</f>
        <v/>
      </c>
      <c r="C155" s="296" t="str">
        <f aca="true">IF(ISNUMBER($J155),INDIRECT("N"&amp;($J155+4)),"")</f>
        <v/>
      </c>
      <c r="D155" s="291" t="str">
        <f aca="true">IF(ISNUMBER($J155),INDIRECT("O"&amp;($J155+4)),"")</f>
        <v/>
      </c>
      <c r="E155" s="291" t="str">
        <f aca="true">IF(ISNUMBER($J155),INDIRECT("P"&amp;($J155+4)),"")</f>
        <v/>
      </c>
      <c r="F155" s="300" t="str">
        <f aca="true">IF(ISNUMBER($J155),INDIRECT("Q"&amp;($J155+4)),"")</f>
        <v/>
      </c>
      <c r="G155" s="298" t="str">
        <f aca="true">IF(ISNUMBER($J155),INDIRECT("R"&amp;($J155+4)),"")</f>
        <v/>
      </c>
      <c r="H155" s="298" t="str">
        <f aca="true">IF(ISNUMBER($J155),INDIRECT("S"&amp;($J155+4)),"")</f>
        <v/>
      </c>
      <c r="J155" s="292" t="str">
        <f aca="true">IF(151&lt;=$K$1,MATCH(150.5,INDIRECT("$K$4:$K$1374"),1),"")</f>
        <v/>
      </c>
      <c r="K155" s="292" t="n">
        <f aca="false">$K$132+COUNTIF($Q$133:Q155,"&gt;0")</f>
        <v>0</v>
      </c>
      <c r="L155" s="292" t="str">
        <f aca="false">"Кабели"</f>
        <v>Кабели</v>
      </c>
      <c r="M155" s="292" t="str">
        <f aca="false">IF(ISBLANK(Кабели!$A$159),"",Кабели!$A$159)</f>
        <v>BX87 Sharp зарядный дата кабель для Type-C(с упаковкой)</v>
      </c>
      <c r="N155" s="292" t="str">
        <f aca="false">IF(ISBLANK(Кабели!$D$159),"",Кабели!$D$159)</f>
        <v>6974443389043</v>
      </c>
      <c r="O155" s="292" t="str">
        <f aca="false">IF(ISBLANK(Кабели!$E$159),"",Кабели!$E$159)</f>
        <v>черный</v>
      </c>
      <c r="P155" s="292" t="str">
        <f aca="false">"ед."</f>
        <v>ед.</v>
      </c>
      <c r="Q155" s="292" t="n">
        <f aca="false">N(Кабели!$G$159)</f>
        <v>0</v>
      </c>
      <c r="R155" s="299" t="n">
        <f aca="false">IF(ISBLANK(Кабели!$F$159),"",Кабели!$F$159)</f>
        <v>44.04</v>
      </c>
      <c r="S155" s="292" t="str">
        <f aca="false">IF(ISBLANK(Кабели!$H$159),"",Кабели!$H$159)</f>
        <v/>
      </c>
    </row>
    <row r="156" customFormat="false" ht="66" hidden="false" customHeight="true" outlineLevel="0" collapsed="false">
      <c r="A156" s="291" t="str">
        <f aca="true">IF(ISNUMBER($J156),INDIRECT("L"&amp;($J156+4)),"")</f>
        <v/>
      </c>
      <c r="B156" s="291" t="str">
        <f aca="true">IF(ISNUMBER($J156),INDIRECT("M"&amp;($J156+4)),"")</f>
        <v/>
      </c>
      <c r="C156" s="296" t="str">
        <f aca="true">IF(ISNUMBER($J156),INDIRECT("N"&amp;($J156+4)),"")</f>
        <v/>
      </c>
      <c r="D156" s="291" t="str">
        <f aca="true">IF(ISNUMBER($J156),INDIRECT("O"&amp;($J156+4)),"")</f>
        <v/>
      </c>
      <c r="E156" s="291" t="str">
        <f aca="true">IF(ISNUMBER($J156),INDIRECT("P"&amp;($J156+4)),"")</f>
        <v/>
      </c>
      <c r="F156" s="300" t="str">
        <f aca="true">IF(ISNUMBER($J156),INDIRECT("Q"&amp;($J156+4)),"")</f>
        <v/>
      </c>
      <c r="G156" s="298" t="str">
        <f aca="true">IF(ISNUMBER($J156),INDIRECT("R"&amp;($J156+4)),"")</f>
        <v/>
      </c>
      <c r="H156" s="298" t="str">
        <f aca="true">IF(ISNUMBER($J156),INDIRECT("S"&amp;($J156+4)),"")</f>
        <v/>
      </c>
      <c r="J156" s="292" t="str">
        <f aca="true">IF(152&lt;=$K$1,MATCH(151.5,INDIRECT("$K$4:$K$1374"),1),"")</f>
        <v/>
      </c>
      <c r="K156" s="292" t="n">
        <f aca="false">$K$132+COUNTIF($Q$133:Q156,"&gt;0")</f>
        <v>0</v>
      </c>
      <c r="L156" s="292" t="str">
        <f aca="false">"Кабели"</f>
        <v>Кабели</v>
      </c>
      <c r="M156" s="292" t="str">
        <f aca="false">IF(ISBLANK(Кабели!$A$160),"",Кабели!$A$160)</f>
        <v>BX80 iP Succeed зарядный дата кабель</v>
      </c>
      <c r="N156" s="292" t="str">
        <f aca="false">IF(ISBLANK(Кабели!$D$160),"",Кабели!$D$160)</f>
        <v>6974443385199</v>
      </c>
      <c r="O156" s="292" t="str">
        <f aca="false">IF(ISBLANK(Кабели!$E$160),"",Кабели!$E$160)</f>
        <v>белый</v>
      </c>
      <c r="P156" s="292" t="str">
        <f aca="false">"ед."</f>
        <v>ед.</v>
      </c>
      <c r="Q156" s="292" t="n">
        <f aca="false">N(Кабели!$G$160)</f>
        <v>0</v>
      </c>
      <c r="R156" s="299" t="n">
        <f aca="false">IF(ISBLANK(Кабели!$F$160),"",Кабели!$F$160)</f>
        <v>57.08</v>
      </c>
      <c r="S156" s="292" t="str">
        <f aca="false">IF(ISBLANK(Кабели!$H$160),"",Кабели!$H$160)</f>
        <v/>
      </c>
    </row>
    <row r="157" customFormat="false" ht="66" hidden="false" customHeight="true" outlineLevel="0" collapsed="false">
      <c r="A157" s="291" t="str">
        <f aca="true">IF(ISNUMBER($J157),INDIRECT("L"&amp;($J157+4)),"")</f>
        <v/>
      </c>
      <c r="B157" s="291" t="str">
        <f aca="true">IF(ISNUMBER($J157),INDIRECT("M"&amp;($J157+4)),"")</f>
        <v/>
      </c>
      <c r="C157" s="296" t="str">
        <f aca="true">IF(ISNUMBER($J157),INDIRECT("N"&amp;($J157+4)),"")</f>
        <v/>
      </c>
      <c r="D157" s="291" t="str">
        <f aca="true">IF(ISNUMBER($J157),INDIRECT("O"&amp;($J157+4)),"")</f>
        <v/>
      </c>
      <c r="E157" s="291" t="str">
        <f aca="true">IF(ISNUMBER($J157),INDIRECT("P"&amp;($J157+4)),"")</f>
        <v/>
      </c>
      <c r="F157" s="300" t="str">
        <f aca="true">IF(ISNUMBER($J157),INDIRECT("Q"&amp;($J157+4)),"")</f>
        <v/>
      </c>
      <c r="G157" s="298" t="str">
        <f aca="true">IF(ISNUMBER($J157),INDIRECT("R"&amp;($J157+4)),"")</f>
        <v/>
      </c>
      <c r="H157" s="298" t="str">
        <f aca="true">IF(ISNUMBER($J157),INDIRECT("S"&amp;($J157+4)),"")</f>
        <v/>
      </c>
      <c r="J157" s="292" t="str">
        <f aca="true">IF(153&lt;=$K$1,MATCH(152.5,INDIRECT("$K$4:$K$1374"),1),"")</f>
        <v/>
      </c>
      <c r="K157" s="292" t="n">
        <f aca="false">$K$132+COUNTIF($Q$133:Q157,"&gt;0")</f>
        <v>0</v>
      </c>
      <c r="L157" s="292" t="str">
        <f aca="false">"Кабели"</f>
        <v>Кабели</v>
      </c>
      <c r="M157" s="292" t="str">
        <f aca="false">IF(ISBLANK(Кабели!$A$161),"",Кабели!$A$161)</f>
        <v>BX80 Type-C Succeed зарядный дата кабель</v>
      </c>
      <c r="N157" s="292" t="str">
        <f aca="false">IF(ISBLANK(Кабели!$D$161),"",Кабели!$D$161)</f>
        <v>6974443385229</v>
      </c>
      <c r="O157" s="292" t="str">
        <f aca="false">IF(ISBLANK(Кабели!$E$161),"",Кабели!$E$161)</f>
        <v>черный</v>
      </c>
      <c r="P157" s="292" t="str">
        <f aca="false">"ед."</f>
        <v>ед.</v>
      </c>
      <c r="Q157" s="292" t="n">
        <f aca="false">N(Кабели!$G$161)</f>
        <v>0</v>
      </c>
      <c r="R157" s="299" t="n">
        <f aca="false">IF(ISBLANK(Кабели!$F$161),"",Кабели!$F$161)</f>
        <v>57.08</v>
      </c>
      <c r="S157" s="292" t="str">
        <f aca="false">IF(ISBLANK(Кабели!$H$161),"",Кабели!$H$161)</f>
        <v/>
      </c>
    </row>
    <row r="158" customFormat="false" ht="66" hidden="false" customHeight="true" outlineLevel="0" collapsed="false">
      <c r="A158" s="291" t="str">
        <f aca="true">IF(ISNUMBER($J158),INDIRECT("L"&amp;($J158+4)),"")</f>
        <v/>
      </c>
      <c r="B158" s="291" t="str">
        <f aca="true">IF(ISNUMBER($J158),INDIRECT("M"&amp;($J158+4)),"")</f>
        <v/>
      </c>
      <c r="C158" s="296" t="str">
        <f aca="true">IF(ISNUMBER($J158),INDIRECT("N"&amp;($J158+4)),"")</f>
        <v/>
      </c>
      <c r="D158" s="291" t="str">
        <f aca="true">IF(ISNUMBER($J158),INDIRECT("O"&amp;($J158+4)),"")</f>
        <v/>
      </c>
      <c r="E158" s="291" t="str">
        <f aca="true">IF(ISNUMBER($J158),INDIRECT("P"&amp;($J158+4)),"")</f>
        <v/>
      </c>
      <c r="F158" s="300" t="str">
        <f aca="true">IF(ISNUMBER($J158),INDIRECT("Q"&amp;($J158+4)),"")</f>
        <v/>
      </c>
      <c r="G158" s="298" t="str">
        <f aca="true">IF(ISNUMBER($J158),INDIRECT("R"&amp;($J158+4)),"")</f>
        <v/>
      </c>
      <c r="H158" s="298" t="str">
        <f aca="true">IF(ISNUMBER($J158),INDIRECT("S"&amp;($J158+4)),"")</f>
        <v/>
      </c>
      <c r="J158" s="292" t="str">
        <f aca="true">IF(154&lt;=$K$1,MATCH(153.5,INDIRECT("$K$4:$K$1374"),1),"")</f>
        <v/>
      </c>
      <c r="K158" s="292" t="n">
        <f aca="false">$K$132+COUNTIF($Q$133:Q158,"&gt;0")</f>
        <v>0</v>
      </c>
      <c r="L158" s="292" t="str">
        <f aca="false">"Кабели"</f>
        <v>Кабели</v>
      </c>
      <c r="M158" s="292" t="str">
        <f aca="false">IF(ISBLANK(Кабели!$A$161),"",Кабели!$A$161)</f>
        <v>BX80 Type-C Succeed зарядный дата кабель</v>
      </c>
      <c r="N158" s="292" t="str">
        <f aca="false">IF(ISBLANK(Кабели!$D$162),"",Кабели!$D$162)</f>
        <v>6974443385236</v>
      </c>
      <c r="O158" s="292" t="str">
        <f aca="false">IF(ISBLANK(Кабели!$E$162),"",Кабели!$E$162)</f>
        <v>белый</v>
      </c>
      <c r="P158" s="292" t="str">
        <f aca="false">"ед."</f>
        <v>ед.</v>
      </c>
      <c r="Q158" s="292" t="n">
        <f aca="false">N(Кабели!$G$162)</f>
        <v>0</v>
      </c>
      <c r="R158" s="299" t="n">
        <f aca="false">IF(ISBLANK(Кабели!$F$162),"",Кабели!$F$162)</f>
        <v>57.08</v>
      </c>
      <c r="S158" s="292" t="str">
        <f aca="false">IF(ISBLANK(Кабели!$H$162),"",Кабели!$H$162)</f>
        <v/>
      </c>
    </row>
    <row r="159" customFormat="false" ht="66" hidden="false" customHeight="true" outlineLevel="0" collapsed="false">
      <c r="A159" s="291" t="str">
        <f aca="true">IF(ISNUMBER($J159),INDIRECT("L"&amp;($J159+4)),"")</f>
        <v/>
      </c>
      <c r="B159" s="291" t="str">
        <f aca="true">IF(ISNUMBER($J159),INDIRECT("M"&amp;($J159+4)),"")</f>
        <v/>
      </c>
      <c r="C159" s="296" t="str">
        <f aca="true">IF(ISNUMBER($J159),INDIRECT("N"&amp;($J159+4)),"")</f>
        <v/>
      </c>
      <c r="D159" s="291" t="str">
        <f aca="true">IF(ISNUMBER($J159),INDIRECT("O"&amp;($J159+4)),"")</f>
        <v/>
      </c>
      <c r="E159" s="291" t="str">
        <f aca="true">IF(ISNUMBER($J159),INDIRECT("P"&amp;($J159+4)),"")</f>
        <v/>
      </c>
      <c r="F159" s="300" t="str">
        <f aca="true">IF(ISNUMBER($J159),INDIRECT("Q"&amp;($J159+4)),"")</f>
        <v/>
      </c>
      <c r="G159" s="298" t="str">
        <f aca="true">IF(ISNUMBER($J159),INDIRECT("R"&amp;($J159+4)),"")</f>
        <v/>
      </c>
      <c r="H159" s="298" t="str">
        <f aca="true">IF(ISNUMBER($J159),INDIRECT("S"&amp;($J159+4)),"")</f>
        <v/>
      </c>
      <c r="J159" s="292" t="str">
        <f aca="true">IF(155&lt;=$K$1,MATCH(154.5,INDIRECT("$K$4:$K$1374"),1),"")</f>
        <v/>
      </c>
      <c r="K159" s="292" t="n">
        <f aca="false">$K$132+COUNTIF($Q$133:Q159,"&gt;0")</f>
        <v>0</v>
      </c>
      <c r="L159" s="292" t="str">
        <f aca="false">"Кабели"</f>
        <v>Кабели</v>
      </c>
      <c r="M159" s="292" t="str">
        <f aca="false">IF(ISBLANK(Кабели!$A$163),"",Кабели!$A$163)</f>
        <v>BX54 Ultra bright зарядный дата кабель для iP（В упаковке）</v>
      </c>
      <c r="N159" s="292" t="str">
        <f aca="false">IF(ISBLANK(Кабели!$D$163),"",Кабели!$D$163)</f>
        <v>6931474745798</v>
      </c>
      <c r="O159" s="292" t="str">
        <f aca="false">IF(ISBLANK(Кабели!$E$163),"",Кабели!$E$163)</f>
        <v>черный</v>
      </c>
      <c r="P159" s="292" t="str">
        <f aca="false">"ед."</f>
        <v>ед.</v>
      </c>
      <c r="Q159" s="292" t="n">
        <f aca="false">N(Кабели!$G$163)</f>
        <v>0</v>
      </c>
      <c r="R159" s="299" t="n">
        <f aca="false">IF(ISBLANK(Кабели!$F$163),"",Кабели!$F$163)</f>
        <v>55.45</v>
      </c>
      <c r="S159" s="292" t="str">
        <f aca="false">IF(ISBLANK(Кабели!$H$163),"",Кабели!$H$163)</f>
        <v/>
      </c>
    </row>
    <row r="160" customFormat="false" ht="66" hidden="false" customHeight="true" outlineLevel="0" collapsed="false">
      <c r="A160" s="291" t="str">
        <f aca="true">IF(ISNUMBER($J160),INDIRECT("L"&amp;($J160+4)),"")</f>
        <v/>
      </c>
      <c r="B160" s="291" t="str">
        <f aca="true">IF(ISNUMBER($J160),INDIRECT("M"&amp;($J160+4)),"")</f>
        <v/>
      </c>
      <c r="C160" s="296" t="str">
        <f aca="true">IF(ISNUMBER($J160),INDIRECT("N"&amp;($J160+4)),"")</f>
        <v/>
      </c>
      <c r="D160" s="291" t="str">
        <f aca="true">IF(ISNUMBER($J160),INDIRECT("O"&amp;($J160+4)),"")</f>
        <v/>
      </c>
      <c r="E160" s="291" t="str">
        <f aca="true">IF(ISNUMBER($J160),INDIRECT("P"&amp;($J160+4)),"")</f>
        <v/>
      </c>
      <c r="F160" s="300" t="str">
        <f aca="true">IF(ISNUMBER($J160),INDIRECT("Q"&amp;($J160+4)),"")</f>
        <v/>
      </c>
      <c r="G160" s="298" t="str">
        <f aca="true">IF(ISNUMBER($J160),INDIRECT("R"&amp;($J160+4)),"")</f>
        <v/>
      </c>
      <c r="H160" s="298" t="str">
        <f aca="true">IF(ISNUMBER($J160),INDIRECT("S"&amp;($J160+4)),"")</f>
        <v/>
      </c>
      <c r="J160" s="292" t="str">
        <f aca="true">IF(156&lt;=$K$1,MATCH(155.5,INDIRECT("$K$4:$K$1374"),1),"")</f>
        <v/>
      </c>
      <c r="K160" s="292" t="n">
        <f aca="false">$K$132+COUNTIF($Q$133:Q160,"&gt;0")</f>
        <v>0</v>
      </c>
      <c r="L160" s="292" t="str">
        <f aca="false">"Кабели"</f>
        <v>Кабели</v>
      </c>
      <c r="M160" s="292" t="str">
        <f aca="false">IF(ISBLANK(Кабели!$A$164),"",Кабели!$A$164)</f>
        <v>BX54 Ultra bright зарядный дата кабель для Micro-USB（В упаковке）</v>
      </c>
      <c r="N160" s="292" t="str">
        <f aca="false">IF(ISBLANK(Кабели!$D$164),"",Кабели!$D$164)</f>
        <v>6931474745811</v>
      </c>
      <c r="O160" s="292" t="str">
        <f aca="false">IF(ISBLANK(Кабели!$E$164),"",Кабели!$E$164)</f>
        <v>черный</v>
      </c>
      <c r="P160" s="292" t="str">
        <f aca="false">"ед."</f>
        <v>ед.</v>
      </c>
      <c r="Q160" s="292" t="n">
        <f aca="false">N(Кабели!$G$164)</f>
        <v>0</v>
      </c>
      <c r="R160" s="299" t="n">
        <f aca="false">IF(ISBLANK(Кабели!$F$164),"",Кабели!$F$164)</f>
        <v>44.04</v>
      </c>
      <c r="S160" s="292" t="str">
        <f aca="false">IF(ISBLANK(Кабели!$H$164),"",Кабели!$H$164)</f>
        <v/>
      </c>
    </row>
    <row r="161" customFormat="false" ht="66" hidden="false" customHeight="true" outlineLevel="0" collapsed="false">
      <c r="A161" s="291" t="str">
        <f aca="true">IF(ISNUMBER($J161),INDIRECT("L"&amp;($J161+4)),"")</f>
        <v/>
      </c>
      <c r="B161" s="291" t="str">
        <f aca="true">IF(ISNUMBER($J161),INDIRECT("M"&amp;($J161+4)),"")</f>
        <v/>
      </c>
      <c r="C161" s="296" t="str">
        <f aca="true">IF(ISNUMBER($J161),INDIRECT("N"&amp;($J161+4)),"")</f>
        <v/>
      </c>
      <c r="D161" s="291" t="str">
        <f aca="true">IF(ISNUMBER($J161),INDIRECT("O"&amp;($J161+4)),"")</f>
        <v/>
      </c>
      <c r="E161" s="291" t="str">
        <f aca="true">IF(ISNUMBER($J161),INDIRECT("P"&amp;($J161+4)),"")</f>
        <v/>
      </c>
      <c r="F161" s="300" t="str">
        <f aca="true">IF(ISNUMBER($J161),INDIRECT("Q"&amp;($J161+4)),"")</f>
        <v/>
      </c>
      <c r="G161" s="298" t="str">
        <f aca="true">IF(ISNUMBER($J161),INDIRECT("R"&amp;($J161+4)),"")</f>
        <v/>
      </c>
      <c r="H161" s="298" t="str">
        <f aca="true">IF(ISNUMBER($J161),INDIRECT("S"&amp;($J161+4)),"")</f>
        <v/>
      </c>
      <c r="J161" s="292" t="str">
        <f aca="true">IF(157&lt;=$K$1,MATCH(156.5,INDIRECT("$K$4:$K$1374"),1),"")</f>
        <v/>
      </c>
      <c r="K161" s="292" t="n">
        <f aca="false">$K$132+COUNTIF($Q$133:Q161,"&gt;0")</f>
        <v>0</v>
      </c>
      <c r="L161" s="292" t="str">
        <f aca="false">"Кабели"</f>
        <v>Кабели</v>
      </c>
      <c r="M161" s="292" t="str">
        <f aca="false">IF(ISBLANK(Кабели!$A$165),"",Кабели!$A$165)</f>
        <v>BX54 Ultra bright зарядный дата кабель для Type-C（В упаковке）</v>
      </c>
      <c r="N161" s="292" t="str">
        <f aca="false">IF(ISBLANK(Кабели!$D$165),"",Кабели!$D$165)</f>
        <v>6931474745835</v>
      </c>
      <c r="O161" s="292" t="str">
        <f aca="false">IF(ISBLANK(Кабели!$E$165),"",Кабели!$E$165)</f>
        <v>черный</v>
      </c>
      <c r="P161" s="292" t="str">
        <f aca="false">"ед."</f>
        <v>ед.</v>
      </c>
      <c r="Q161" s="292" t="n">
        <f aca="false">N(Кабели!$G$165)</f>
        <v>0</v>
      </c>
      <c r="R161" s="299" t="n">
        <f aca="false">IF(ISBLANK(Кабели!$F$165),"",Кабели!$F$165)</f>
        <v>48.93</v>
      </c>
      <c r="S161" s="292" t="str">
        <f aca="false">IF(ISBLANK(Кабели!$H$165),"",Кабели!$H$165)</f>
        <v/>
      </c>
    </row>
    <row r="162" customFormat="false" ht="66" hidden="false" customHeight="true" outlineLevel="0" collapsed="false">
      <c r="A162" s="291" t="str">
        <f aca="true">IF(ISNUMBER($J162),INDIRECT("L"&amp;($J162+4)),"")</f>
        <v/>
      </c>
      <c r="B162" s="291" t="str">
        <f aca="true">IF(ISNUMBER($J162),INDIRECT("M"&amp;($J162+4)),"")</f>
        <v/>
      </c>
      <c r="C162" s="296" t="str">
        <f aca="true">IF(ISNUMBER($J162),INDIRECT("N"&amp;($J162+4)),"")</f>
        <v/>
      </c>
      <c r="D162" s="291" t="str">
        <f aca="true">IF(ISNUMBER($J162),INDIRECT("O"&amp;($J162+4)),"")</f>
        <v/>
      </c>
      <c r="E162" s="291" t="str">
        <f aca="true">IF(ISNUMBER($J162),INDIRECT("P"&amp;($J162+4)),"")</f>
        <v/>
      </c>
      <c r="F162" s="300" t="str">
        <f aca="true">IF(ISNUMBER($J162),INDIRECT("Q"&amp;($J162+4)),"")</f>
        <v/>
      </c>
      <c r="G162" s="298" t="str">
        <f aca="true">IF(ISNUMBER($J162),INDIRECT("R"&amp;($J162+4)),"")</f>
        <v/>
      </c>
      <c r="H162" s="298" t="str">
        <f aca="true">IF(ISNUMBER($J162),INDIRECT("S"&amp;($J162+4)),"")</f>
        <v/>
      </c>
      <c r="J162" s="292" t="str">
        <f aca="true">IF(158&lt;=$K$1,MATCH(157.5,INDIRECT("$K$4:$K$1374"),1),"")</f>
        <v/>
      </c>
      <c r="K162" s="292" t="n">
        <f aca="false">$K$132+COUNTIF($Q$133:Q162,"&gt;0")</f>
        <v>0</v>
      </c>
      <c r="L162" s="292" t="str">
        <f aca="false">"Кабели"</f>
        <v>Кабели</v>
      </c>
      <c r="M162" s="292" t="str">
        <f aca="false">IF(ISBLANK(Кабели!$A$166),"",Кабели!$A$166)</f>
        <v>BX54 Ultra bright зарядный дата кабель для iP（Без упаковки）</v>
      </c>
      <c r="N162" s="292" t="str">
        <f aca="false">IF(ISBLANK(Кабели!$D$166),"",Кабели!$D$166)</f>
        <v>6931474745798</v>
      </c>
      <c r="O162" s="292" t="str">
        <f aca="false">IF(ISBLANK(Кабели!$E$166),"",Кабели!$E$166)</f>
        <v>черный</v>
      </c>
      <c r="P162" s="292" t="str">
        <f aca="false">"ед."</f>
        <v>ед.</v>
      </c>
      <c r="Q162" s="292" t="n">
        <f aca="false">N(Кабели!$G$166)</f>
        <v>0</v>
      </c>
      <c r="R162" s="299" t="n">
        <f aca="false">IF(ISBLANK(Кабели!$F$166),"",Кабели!$F$166)</f>
        <v>49.74</v>
      </c>
      <c r="S162" s="292" t="str">
        <f aca="false">IF(ISBLANK(Кабели!$H$166),"",Кабели!$H$166)</f>
        <v/>
      </c>
    </row>
    <row r="163" customFormat="false" ht="66" hidden="false" customHeight="true" outlineLevel="0" collapsed="false">
      <c r="A163" s="291" t="str">
        <f aca="true">IF(ISNUMBER($J163),INDIRECT("L"&amp;($J163+4)),"")</f>
        <v/>
      </c>
      <c r="B163" s="291" t="str">
        <f aca="true">IF(ISNUMBER($J163),INDIRECT("M"&amp;($J163+4)),"")</f>
        <v/>
      </c>
      <c r="C163" s="296" t="str">
        <f aca="true">IF(ISNUMBER($J163),INDIRECT("N"&amp;($J163+4)),"")</f>
        <v/>
      </c>
      <c r="D163" s="291" t="str">
        <f aca="true">IF(ISNUMBER($J163),INDIRECT("O"&amp;($J163+4)),"")</f>
        <v/>
      </c>
      <c r="E163" s="291" t="str">
        <f aca="true">IF(ISNUMBER($J163),INDIRECT("P"&amp;($J163+4)),"")</f>
        <v/>
      </c>
      <c r="F163" s="300" t="str">
        <f aca="true">IF(ISNUMBER($J163),INDIRECT("Q"&amp;($J163+4)),"")</f>
        <v/>
      </c>
      <c r="G163" s="298" t="str">
        <f aca="true">IF(ISNUMBER($J163),INDIRECT("R"&amp;($J163+4)),"")</f>
        <v/>
      </c>
      <c r="H163" s="298" t="str">
        <f aca="true">IF(ISNUMBER($J163),INDIRECT("S"&amp;($J163+4)),"")</f>
        <v/>
      </c>
      <c r="J163" s="292" t="str">
        <f aca="true">IF(159&lt;=$K$1,MATCH(158.5,INDIRECT("$K$4:$K$1374"),1),"")</f>
        <v/>
      </c>
      <c r="K163" s="292" t="n">
        <f aca="false">$K$132+COUNTIF($Q$133:Q163,"&gt;0")</f>
        <v>0</v>
      </c>
      <c r="L163" s="292" t="str">
        <f aca="false">"Кабели"</f>
        <v>Кабели</v>
      </c>
      <c r="M163" s="292" t="str">
        <f aca="false">IF(ISBLANK(Кабели!$A$167),"",Кабели!$A$167)</f>
        <v>BX54 Ultra bright зарядный дата кабель для Type-C（Без упаковки）</v>
      </c>
      <c r="N163" s="292" t="str">
        <f aca="false">IF(ISBLANK(Кабели!$D$167),"",Кабели!$D$167)</f>
        <v>6931474745835</v>
      </c>
      <c r="O163" s="292" t="str">
        <f aca="false">IF(ISBLANK(Кабели!$E$167),"",Кабели!$E$167)</f>
        <v>черный</v>
      </c>
      <c r="P163" s="292" t="str">
        <f aca="false">"ед."</f>
        <v>ед.</v>
      </c>
      <c r="Q163" s="292" t="n">
        <f aca="false">N(Кабели!$G$167)</f>
        <v>0</v>
      </c>
      <c r="R163" s="299" t="n">
        <f aca="false">IF(ISBLANK(Кабели!$F$167),"",Кабели!$F$167)</f>
        <v>44.04</v>
      </c>
      <c r="S163" s="292" t="str">
        <f aca="false">IF(ISBLANK(Кабели!$H$167),"",Кабели!$H$167)</f>
        <v/>
      </c>
    </row>
    <row r="164" customFormat="false" ht="66" hidden="false" customHeight="true" outlineLevel="0" collapsed="false">
      <c r="A164" s="291" t="str">
        <f aca="true">IF(ISNUMBER($J164),INDIRECT("L"&amp;($J164+4)),"")</f>
        <v/>
      </c>
      <c r="B164" s="291" t="str">
        <f aca="true">IF(ISNUMBER($J164),INDIRECT("M"&amp;($J164+4)),"")</f>
        <v/>
      </c>
      <c r="C164" s="296" t="str">
        <f aca="true">IF(ISNUMBER($J164),INDIRECT("N"&amp;($J164+4)),"")</f>
        <v/>
      </c>
      <c r="D164" s="291" t="str">
        <f aca="true">IF(ISNUMBER($J164),INDIRECT("O"&amp;($J164+4)),"")</f>
        <v/>
      </c>
      <c r="E164" s="291" t="str">
        <f aca="true">IF(ISNUMBER($J164),INDIRECT("P"&amp;($J164+4)),"")</f>
        <v/>
      </c>
      <c r="F164" s="300" t="str">
        <f aca="true">IF(ISNUMBER($J164),INDIRECT("Q"&amp;($J164+4)),"")</f>
        <v/>
      </c>
      <c r="G164" s="298" t="str">
        <f aca="true">IF(ISNUMBER($J164),INDIRECT("R"&amp;($J164+4)),"")</f>
        <v/>
      </c>
      <c r="H164" s="298" t="str">
        <f aca="true">IF(ISNUMBER($J164),INDIRECT("S"&amp;($J164+4)),"")</f>
        <v/>
      </c>
      <c r="J164" s="292" t="str">
        <f aca="true">IF(160&lt;=$K$1,MATCH(159.5,INDIRECT("$K$4:$K$1374"),1),"")</f>
        <v/>
      </c>
      <c r="K164" s="292" t="n">
        <f aca="false">$K$132+COUNTIF($Q$133:Q164,"&gt;0")</f>
        <v>0</v>
      </c>
      <c r="L164" s="292" t="str">
        <f aca="false">"Кабели"</f>
        <v>Кабели</v>
      </c>
      <c r="M164" s="292" t="str">
        <f aca="false">IF(ISBLANK(Кабели!$A$168),"",Кабели!$A$168)</f>
        <v>BX51 Triumph зарядный дата кабель Type-C на iP （В упаковке）</v>
      </c>
      <c r="N164" s="292" t="str">
        <f aca="false">IF(ISBLANK(Кабели!$D$168),"",Кабели!$D$168)</f>
        <v>6931474750884</v>
      </c>
      <c r="O164" s="292" t="str">
        <f aca="false">IF(ISBLANK(Кабели!$E$168),"",Кабели!$E$168)</f>
        <v>черный</v>
      </c>
      <c r="P164" s="292" t="str">
        <f aca="false">"ед."</f>
        <v>ед.</v>
      </c>
      <c r="Q164" s="292" t="n">
        <f aca="false">N(Кабели!$G$168)</f>
        <v>0</v>
      </c>
      <c r="R164" s="299" t="n">
        <f aca="false">IF(ISBLANK(Кабели!$F$168),"",Кабели!$F$168)</f>
        <v>78.29</v>
      </c>
      <c r="S164" s="292" t="str">
        <f aca="false">IF(ISBLANK(Кабели!$H$168),"",Кабели!$H$168)</f>
        <v/>
      </c>
    </row>
    <row r="165" customFormat="false" ht="66" hidden="false" customHeight="true" outlineLevel="0" collapsed="false">
      <c r="A165" s="291" t="str">
        <f aca="true">IF(ISNUMBER($J165),INDIRECT("L"&amp;($J165+4)),"")</f>
        <v/>
      </c>
      <c r="B165" s="291" t="str">
        <f aca="true">IF(ISNUMBER($J165),INDIRECT("M"&amp;($J165+4)),"")</f>
        <v/>
      </c>
      <c r="C165" s="296" t="str">
        <f aca="true">IF(ISNUMBER($J165),INDIRECT("N"&amp;($J165+4)),"")</f>
        <v/>
      </c>
      <c r="D165" s="291" t="str">
        <f aca="true">IF(ISNUMBER($J165),INDIRECT("O"&amp;($J165+4)),"")</f>
        <v/>
      </c>
      <c r="E165" s="291" t="str">
        <f aca="true">IF(ISNUMBER($J165),INDIRECT("P"&amp;($J165+4)),"")</f>
        <v/>
      </c>
      <c r="F165" s="300" t="str">
        <f aca="true">IF(ISNUMBER($J165),INDIRECT("Q"&amp;($J165+4)),"")</f>
        <v/>
      </c>
      <c r="G165" s="298" t="str">
        <f aca="true">IF(ISNUMBER($J165),INDIRECT("R"&amp;($J165+4)),"")</f>
        <v/>
      </c>
      <c r="H165" s="298" t="str">
        <f aca="true">IF(ISNUMBER($J165),INDIRECT("S"&amp;($J165+4)),"")</f>
        <v/>
      </c>
      <c r="J165" s="292" t="str">
        <f aca="true">IF(161&lt;=$K$1,MATCH(160.5,INDIRECT("$K$4:$K$1374"),1),"")</f>
        <v/>
      </c>
      <c r="K165" s="292" t="n">
        <f aca="false">$K$132+COUNTIF($Q$133:Q165,"&gt;0")</f>
        <v>0</v>
      </c>
      <c r="L165" s="292" t="str">
        <f aca="false">"Кабели"</f>
        <v>Кабели</v>
      </c>
      <c r="M165" s="292" t="str">
        <f aca="false">IF(ISBLANK(Кабели!$A$168),"",Кабели!$A$168)</f>
        <v>BX51 Triumph зарядный дата кабель Type-C на iP （В упаковке）</v>
      </c>
      <c r="N165" s="292" t="str">
        <f aca="false">IF(ISBLANK(Кабели!$D$169),"",Кабели!$D$169)</f>
        <v>6931474750891</v>
      </c>
      <c r="O165" s="292" t="str">
        <f aca="false">IF(ISBLANK(Кабели!$E$169),"",Кабели!$E$169)</f>
        <v>белый</v>
      </c>
      <c r="P165" s="292" t="str">
        <f aca="false">"ед."</f>
        <v>ед.</v>
      </c>
      <c r="Q165" s="292" t="n">
        <f aca="false">N(Кабели!$G$169)</f>
        <v>0</v>
      </c>
      <c r="R165" s="299" t="n">
        <f aca="false">IF(ISBLANK(Кабели!$F$169),"",Кабели!$F$169)</f>
        <v>78.29</v>
      </c>
      <c r="S165" s="292" t="str">
        <f aca="false">IF(ISBLANK(Кабели!$H$169),"",Кабели!$H$169)</f>
        <v/>
      </c>
    </row>
    <row r="166" customFormat="false" ht="66" hidden="false" customHeight="true" outlineLevel="0" collapsed="false">
      <c r="A166" s="291" t="str">
        <f aca="true">IF(ISNUMBER($J166),INDIRECT("L"&amp;($J166+4)),"")</f>
        <v/>
      </c>
      <c r="B166" s="291" t="str">
        <f aca="true">IF(ISNUMBER($J166),INDIRECT("M"&amp;($J166+4)),"")</f>
        <v/>
      </c>
      <c r="C166" s="296" t="str">
        <f aca="true">IF(ISNUMBER($J166),INDIRECT("N"&amp;($J166+4)),"")</f>
        <v/>
      </c>
      <c r="D166" s="291" t="str">
        <f aca="true">IF(ISNUMBER($J166),INDIRECT("O"&amp;($J166+4)),"")</f>
        <v/>
      </c>
      <c r="E166" s="291" t="str">
        <f aca="true">IF(ISNUMBER($J166),INDIRECT("P"&amp;($J166+4)),"")</f>
        <v/>
      </c>
      <c r="F166" s="300" t="str">
        <f aca="true">IF(ISNUMBER($J166),INDIRECT("Q"&amp;($J166+4)),"")</f>
        <v/>
      </c>
      <c r="G166" s="298" t="str">
        <f aca="true">IF(ISNUMBER($J166),INDIRECT("R"&amp;($J166+4)),"")</f>
        <v/>
      </c>
      <c r="H166" s="298" t="str">
        <f aca="true">IF(ISNUMBER($J166),INDIRECT("S"&amp;($J166+4)),"")</f>
        <v/>
      </c>
      <c r="J166" s="292" t="str">
        <f aca="true">IF(162&lt;=$K$1,MATCH(161.5,INDIRECT("$K$4:$K$1374"),1),"")</f>
        <v/>
      </c>
      <c r="K166" s="292" t="n">
        <f aca="false">$K$132+COUNTIF($Q$133:Q166,"&gt;0")</f>
        <v>0</v>
      </c>
      <c r="L166" s="292" t="str">
        <f aca="false">"Кабели"</f>
        <v>Кабели</v>
      </c>
      <c r="M166" s="292" t="str">
        <f aca="false">IF(ISBLANK(Кабели!$A$170),"",Кабели!$A$170)</f>
        <v>BX51 Triumph 60W зарядный дата кабель Type-C на Type-C（В упаковке）</v>
      </c>
      <c r="N166" s="292" t="str">
        <f aca="false">IF(ISBLANK(Кабели!$D$170),"",Кабели!$D$170)</f>
        <v>6931474751669</v>
      </c>
      <c r="O166" s="292" t="str">
        <f aca="false">IF(ISBLANK(Кабели!$E$170),"",Кабели!$E$170)</f>
        <v>черный</v>
      </c>
      <c r="P166" s="292" t="str">
        <f aca="false">"ед."</f>
        <v>ед.</v>
      </c>
      <c r="Q166" s="292" t="n">
        <f aca="false">N(Кабели!$G$170)</f>
        <v>0</v>
      </c>
      <c r="R166" s="299" t="n">
        <f aca="false">IF(ISBLANK(Кабели!$F$170),"",Кабели!$F$170)</f>
        <v>66.87</v>
      </c>
      <c r="S166" s="292" t="str">
        <f aca="false">IF(ISBLANK(Кабели!$H$170),"",Кабели!$H$170)</f>
        <v/>
      </c>
    </row>
    <row r="167" customFormat="false" ht="66" hidden="false" customHeight="true" outlineLevel="0" collapsed="false">
      <c r="A167" s="291" t="str">
        <f aca="true">IF(ISNUMBER($J167),INDIRECT("L"&amp;($J167+4)),"")</f>
        <v/>
      </c>
      <c r="B167" s="291" t="str">
        <f aca="true">IF(ISNUMBER($J167),INDIRECT("M"&amp;($J167+4)),"")</f>
        <v/>
      </c>
      <c r="C167" s="296" t="str">
        <f aca="true">IF(ISNUMBER($J167),INDIRECT("N"&amp;($J167+4)),"")</f>
        <v/>
      </c>
      <c r="D167" s="291" t="str">
        <f aca="true">IF(ISNUMBER($J167),INDIRECT("O"&amp;($J167+4)),"")</f>
        <v/>
      </c>
      <c r="E167" s="291" t="str">
        <f aca="true">IF(ISNUMBER($J167),INDIRECT("P"&amp;($J167+4)),"")</f>
        <v/>
      </c>
      <c r="F167" s="300" t="str">
        <f aca="true">IF(ISNUMBER($J167),INDIRECT("Q"&amp;($J167+4)),"")</f>
        <v/>
      </c>
      <c r="G167" s="298" t="str">
        <f aca="true">IF(ISNUMBER($J167),INDIRECT("R"&amp;($J167+4)),"")</f>
        <v/>
      </c>
      <c r="H167" s="298" t="str">
        <f aca="true">IF(ISNUMBER($J167),INDIRECT("S"&amp;($J167+4)),"")</f>
        <v/>
      </c>
      <c r="J167" s="292" t="str">
        <f aca="true">IF(163&lt;=$K$1,MATCH(162.5,INDIRECT("$K$4:$K$1374"),1),"")</f>
        <v/>
      </c>
      <c r="K167" s="292" t="n">
        <f aca="false">$K$132+COUNTIF($Q$133:Q167,"&gt;0")</f>
        <v>0</v>
      </c>
      <c r="L167" s="292" t="str">
        <f aca="false">"Кабели"</f>
        <v>Кабели</v>
      </c>
      <c r="M167" s="292" t="str">
        <f aca="false">IF(ISBLANK(Кабели!$A$170),"",Кабели!$A$170)</f>
        <v>BX51 Triumph 60W зарядный дата кабель Type-C на Type-C（В упаковке）</v>
      </c>
      <c r="N167" s="292" t="str">
        <f aca="false">IF(ISBLANK(Кабели!$D$171),"",Кабели!$D$171)</f>
        <v>6931474751676</v>
      </c>
      <c r="O167" s="292" t="str">
        <f aca="false">IF(ISBLANK(Кабели!$E$171),"",Кабели!$E$171)</f>
        <v>белый</v>
      </c>
      <c r="P167" s="292" t="str">
        <f aca="false">"ед."</f>
        <v>ед.</v>
      </c>
      <c r="Q167" s="292" t="n">
        <f aca="false">N(Кабели!$G$171)</f>
        <v>0</v>
      </c>
      <c r="R167" s="299" t="n">
        <f aca="false">IF(ISBLANK(Кабели!$F$171),"",Кабели!$F$171)</f>
        <v>66.87</v>
      </c>
      <c r="S167" s="292" t="str">
        <f aca="false">IF(ISBLANK(Кабели!$H$171),"",Кабели!$H$171)</f>
        <v/>
      </c>
    </row>
    <row r="168" customFormat="false" ht="66" hidden="false" customHeight="true" outlineLevel="0" collapsed="false">
      <c r="A168" s="291" t="str">
        <f aca="true">IF(ISNUMBER($J168),INDIRECT("L"&amp;($J168+4)),"")</f>
        <v/>
      </c>
      <c r="B168" s="291" t="str">
        <f aca="true">IF(ISNUMBER($J168),INDIRECT("M"&amp;($J168+4)),"")</f>
        <v/>
      </c>
      <c r="C168" s="296" t="str">
        <f aca="true">IF(ISNUMBER($J168),INDIRECT("N"&amp;($J168+4)),"")</f>
        <v/>
      </c>
      <c r="D168" s="291" t="str">
        <f aca="true">IF(ISNUMBER($J168),INDIRECT("O"&amp;($J168+4)),"")</f>
        <v/>
      </c>
      <c r="E168" s="291" t="str">
        <f aca="true">IF(ISNUMBER($J168),INDIRECT("P"&amp;($J168+4)),"")</f>
        <v/>
      </c>
      <c r="F168" s="300" t="str">
        <f aca="true">IF(ISNUMBER($J168),INDIRECT("Q"&amp;($J168+4)),"")</f>
        <v/>
      </c>
      <c r="G168" s="298" t="str">
        <f aca="true">IF(ISNUMBER($J168),INDIRECT("R"&amp;($J168+4)),"")</f>
        <v/>
      </c>
      <c r="H168" s="298" t="str">
        <f aca="true">IF(ISNUMBER($J168),INDIRECT("S"&amp;($J168+4)),"")</f>
        <v/>
      </c>
      <c r="J168" s="292" t="str">
        <f aca="true">IF(164&lt;=$K$1,MATCH(163.5,INDIRECT("$K$4:$K$1374"),1),"")</f>
        <v/>
      </c>
      <c r="K168" s="292" t="n">
        <f aca="false">$K$132+COUNTIF($Q$133:Q168,"&gt;0")</f>
        <v>0</v>
      </c>
      <c r="L168" s="292" t="str">
        <f aca="false">"Кабели"</f>
        <v>Кабели</v>
      </c>
      <c r="M168" s="292" t="str">
        <f aca="false">IF(ISBLANK(Кабели!$A$172),"",Кабели!$A$172)</f>
        <v>BX51 Triumph зарядный дата кабель для iP（В упаковке）</v>
      </c>
      <c r="N168" s="292" t="str">
        <f aca="false">IF(ISBLANK(Кабели!$D$172),"",Кабели!$D$172)</f>
        <v>6931474743893</v>
      </c>
      <c r="O168" s="292" t="str">
        <f aca="false">IF(ISBLANK(Кабели!$E$172),"",Кабели!$E$172)</f>
        <v>черный</v>
      </c>
      <c r="P168" s="292" t="str">
        <f aca="false">"ед."</f>
        <v>ед.</v>
      </c>
      <c r="Q168" s="292" t="n">
        <f aca="false">N(Кабели!$G$172)</f>
        <v>0</v>
      </c>
      <c r="R168" s="299" t="n">
        <f aca="false">IF(ISBLANK(Кабели!$F$172),"",Кабели!$F$172)</f>
        <v>44.04</v>
      </c>
      <c r="S168" s="292" t="str">
        <f aca="false">IF(ISBLANK(Кабели!$H$172),"",Кабели!$H$172)</f>
        <v/>
      </c>
    </row>
    <row r="169" customFormat="false" ht="66" hidden="false" customHeight="true" outlineLevel="0" collapsed="false">
      <c r="A169" s="291" t="str">
        <f aca="true">IF(ISNUMBER($J169),INDIRECT("L"&amp;($J169+4)),"")</f>
        <v/>
      </c>
      <c r="B169" s="291" t="str">
        <f aca="true">IF(ISNUMBER($J169),INDIRECT("M"&amp;($J169+4)),"")</f>
        <v/>
      </c>
      <c r="C169" s="296" t="str">
        <f aca="true">IF(ISNUMBER($J169),INDIRECT("N"&amp;($J169+4)),"")</f>
        <v/>
      </c>
      <c r="D169" s="291" t="str">
        <f aca="true">IF(ISNUMBER($J169),INDIRECT("O"&amp;($J169+4)),"")</f>
        <v/>
      </c>
      <c r="E169" s="291" t="str">
        <f aca="true">IF(ISNUMBER($J169),INDIRECT("P"&amp;($J169+4)),"")</f>
        <v/>
      </c>
      <c r="F169" s="300" t="str">
        <f aca="true">IF(ISNUMBER($J169),INDIRECT("Q"&amp;($J169+4)),"")</f>
        <v/>
      </c>
      <c r="G169" s="298" t="str">
        <f aca="true">IF(ISNUMBER($J169),INDIRECT("R"&amp;($J169+4)),"")</f>
        <v/>
      </c>
      <c r="H169" s="298" t="str">
        <f aca="true">IF(ISNUMBER($J169),INDIRECT("S"&amp;($J169+4)),"")</f>
        <v/>
      </c>
      <c r="J169" s="292" t="str">
        <f aca="true">IF(165&lt;=$K$1,MATCH(164.5,INDIRECT("$K$4:$K$1374"),1),"")</f>
        <v/>
      </c>
      <c r="K169" s="292" t="n">
        <f aca="false">$K$132+COUNTIF($Q$133:Q169,"&gt;0")</f>
        <v>0</v>
      </c>
      <c r="L169" s="292" t="str">
        <f aca="false">"Кабели"</f>
        <v>Кабели</v>
      </c>
      <c r="M169" s="292" t="str">
        <f aca="false">IF(ISBLANK(Кабели!$A$172),"",Кабели!$A$172)</f>
        <v>BX51 Triumph зарядный дата кабель для iP（В упаковке）</v>
      </c>
      <c r="N169" s="292" t="str">
        <f aca="false">IF(ISBLANK(Кабели!$D$173),"",Кабели!$D$173)</f>
        <v>6931474743909</v>
      </c>
      <c r="O169" s="292" t="str">
        <f aca="false">IF(ISBLANK(Кабели!$E$173),"",Кабели!$E$173)</f>
        <v>белый</v>
      </c>
      <c r="P169" s="292" t="str">
        <f aca="false">"ед."</f>
        <v>ед.</v>
      </c>
      <c r="Q169" s="292" t="n">
        <f aca="false">N(Кабели!$G$173)</f>
        <v>0</v>
      </c>
      <c r="R169" s="299" t="n">
        <f aca="false">IF(ISBLANK(Кабели!$F$173),"",Кабели!$F$173)</f>
        <v>44.04</v>
      </c>
      <c r="S169" s="292" t="str">
        <f aca="false">IF(ISBLANK(Кабели!$H$173),"",Кабели!$H$173)</f>
        <v/>
      </c>
    </row>
    <row r="170" customFormat="false" ht="66" hidden="false" customHeight="true" outlineLevel="0" collapsed="false">
      <c r="A170" s="291" t="str">
        <f aca="true">IF(ISNUMBER($J170),INDIRECT("L"&amp;($J170+4)),"")</f>
        <v/>
      </c>
      <c r="B170" s="291" t="str">
        <f aca="true">IF(ISNUMBER($J170),INDIRECT("M"&amp;($J170+4)),"")</f>
        <v/>
      </c>
      <c r="C170" s="296" t="str">
        <f aca="true">IF(ISNUMBER($J170),INDIRECT("N"&amp;($J170+4)),"")</f>
        <v/>
      </c>
      <c r="D170" s="291" t="str">
        <f aca="true">IF(ISNUMBER($J170),INDIRECT("O"&amp;($J170+4)),"")</f>
        <v/>
      </c>
      <c r="E170" s="291" t="str">
        <f aca="true">IF(ISNUMBER($J170),INDIRECT("P"&amp;($J170+4)),"")</f>
        <v/>
      </c>
      <c r="F170" s="300" t="str">
        <f aca="true">IF(ISNUMBER($J170),INDIRECT("Q"&amp;($J170+4)),"")</f>
        <v/>
      </c>
      <c r="G170" s="298" t="str">
        <f aca="true">IF(ISNUMBER($J170),INDIRECT("R"&amp;($J170+4)),"")</f>
        <v/>
      </c>
      <c r="H170" s="298" t="str">
        <f aca="true">IF(ISNUMBER($J170),INDIRECT("S"&amp;($J170+4)),"")</f>
        <v/>
      </c>
      <c r="J170" s="292" t="str">
        <f aca="true">IF(166&lt;=$K$1,MATCH(165.5,INDIRECT("$K$4:$K$1374"),1),"")</f>
        <v/>
      </c>
      <c r="K170" s="292" t="n">
        <f aca="false">$K$132+COUNTIF($Q$133:Q170,"&gt;0")</f>
        <v>0</v>
      </c>
      <c r="L170" s="292" t="str">
        <f aca="false">"Кабели"</f>
        <v>Кабели</v>
      </c>
      <c r="M170" s="292" t="str">
        <f aca="false">IF(ISBLANK(Кабели!$A$174),"",Кабели!$A$174)</f>
        <v>BX51 Triumph зарядный дата кабель для Micro-USB（В упаковке）</v>
      </c>
      <c r="N170" s="292" t="str">
        <f aca="false">IF(ISBLANK(Кабели!$D$174),"",Кабели!$D$174)</f>
        <v>6931474743916</v>
      </c>
      <c r="O170" s="292" t="str">
        <f aca="false">IF(ISBLANK(Кабели!$E$174),"",Кабели!$E$174)</f>
        <v>черный</v>
      </c>
      <c r="P170" s="292" t="str">
        <f aca="false">"ед."</f>
        <v>ед.</v>
      </c>
      <c r="Q170" s="292" t="n">
        <f aca="false">N(Кабели!$G$174)</f>
        <v>0</v>
      </c>
      <c r="R170" s="299" t="n">
        <f aca="false">IF(ISBLANK(Кабели!$F$174),"",Кабели!$F$174)</f>
        <v>32.62</v>
      </c>
      <c r="S170" s="292" t="str">
        <f aca="false">IF(ISBLANK(Кабели!$H$174),"",Кабели!$H$174)</f>
        <v/>
      </c>
    </row>
    <row r="171" customFormat="false" ht="66" hidden="false" customHeight="true" outlineLevel="0" collapsed="false">
      <c r="A171" s="291" t="str">
        <f aca="true">IF(ISNUMBER($J171),INDIRECT("L"&amp;($J171+4)),"")</f>
        <v/>
      </c>
      <c r="B171" s="291" t="str">
        <f aca="true">IF(ISNUMBER($J171),INDIRECT("M"&amp;($J171+4)),"")</f>
        <v/>
      </c>
      <c r="C171" s="296" t="str">
        <f aca="true">IF(ISNUMBER($J171),INDIRECT("N"&amp;($J171+4)),"")</f>
        <v/>
      </c>
      <c r="D171" s="291" t="str">
        <f aca="true">IF(ISNUMBER($J171),INDIRECT("O"&amp;($J171+4)),"")</f>
        <v/>
      </c>
      <c r="E171" s="291" t="str">
        <f aca="true">IF(ISNUMBER($J171),INDIRECT("P"&amp;($J171+4)),"")</f>
        <v/>
      </c>
      <c r="F171" s="300" t="str">
        <f aca="true">IF(ISNUMBER($J171),INDIRECT("Q"&amp;($J171+4)),"")</f>
        <v/>
      </c>
      <c r="G171" s="298" t="str">
        <f aca="true">IF(ISNUMBER($J171),INDIRECT("R"&amp;($J171+4)),"")</f>
        <v/>
      </c>
      <c r="H171" s="298" t="str">
        <f aca="true">IF(ISNUMBER($J171),INDIRECT("S"&amp;($J171+4)),"")</f>
        <v/>
      </c>
      <c r="J171" s="292" t="str">
        <f aca="true">IF(167&lt;=$K$1,MATCH(166.5,INDIRECT("$K$4:$K$1374"),1),"")</f>
        <v/>
      </c>
      <c r="K171" s="292" t="n">
        <f aca="false">$K$132+COUNTIF($Q$133:Q171,"&gt;0")</f>
        <v>0</v>
      </c>
      <c r="L171" s="292" t="str">
        <f aca="false">"Кабели"</f>
        <v>Кабели</v>
      </c>
      <c r="M171" s="292" t="str">
        <f aca="false">IF(ISBLANK(Кабели!$A$174),"",Кабели!$A$174)</f>
        <v>BX51 Triumph зарядный дата кабель для Micro-USB（В упаковке）</v>
      </c>
      <c r="N171" s="292" t="str">
        <f aca="false">IF(ISBLANK(Кабели!$D$175),"",Кабели!$D$175)</f>
        <v>6931474743923</v>
      </c>
      <c r="O171" s="292" t="str">
        <f aca="false">IF(ISBLANK(Кабели!$E$175),"",Кабели!$E$175)</f>
        <v>белый</v>
      </c>
      <c r="P171" s="292" t="str">
        <f aca="false">"ед."</f>
        <v>ед.</v>
      </c>
      <c r="Q171" s="292" t="n">
        <f aca="false">N(Кабели!$G$175)</f>
        <v>0</v>
      </c>
      <c r="R171" s="299" t="n">
        <f aca="false">IF(ISBLANK(Кабели!$F$175),"",Кабели!$F$175)</f>
        <v>32.62</v>
      </c>
      <c r="S171" s="292" t="str">
        <f aca="false">IF(ISBLANK(Кабели!$H$175),"",Кабели!$H$175)</f>
        <v/>
      </c>
    </row>
    <row r="172" customFormat="false" ht="66" hidden="false" customHeight="true" outlineLevel="0" collapsed="false">
      <c r="A172" s="291" t="str">
        <f aca="true">IF(ISNUMBER($J172),INDIRECT("L"&amp;($J172+4)),"")</f>
        <v/>
      </c>
      <c r="B172" s="291" t="str">
        <f aca="true">IF(ISNUMBER($J172),INDIRECT("M"&amp;($J172+4)),"")</f>
        <v/>
      </c>
      <c r="C172" s="296" t="str">
        <f aca="true">IF(ISNUMBER($J172),INDIRECT("N"&amp;($J172+4)),"")</f>
        <v/>
      </c>
      <c r="D172" s="291" t="str">
        <f aca="true">IF(ISNUMBER($J172),INDIRECT("O"&amp;($J172+4)),"")</f>
        <v/>
      </c>
      <c r="E172" s="291" t="str">
        <f aca="true">IF(ISNUMBER($J172),INDIRECT("P"&amp;($J172+4)),"")</f>
        <v/>
      </c>
      <c r="F172" s="300" t="str">
        <f aca="true">IF(ISNUMBER($J172),INDIRECT("Q"&amp;($J172+4)),"")</f>
        <v/>
      </c>
      <c r="G172" s="298" t="str">
        <f aca="true">IF(ISNUMBER($J172),INDIRECT("R"&amp;($J172+4)),"")</f>
        <v/>
      </c>
      <c r="H172" s="298" t="str">
        <f aca="true">IF(ISNUMBER($J172),INDIRECT("S"&amp;($J172+4)),"")</f>
        <v/>
      </c>
      <c r="J172" s="292" t="str">
        <f aca="true">IF(168&lt;=$K$1,MATCH(167.5,INDIRECT("$K$4:$K$1374"),1),"")</f>
        <v/>
      </c>
      <c r="K172" s="292" t="n">
        <f aca="false">$K$132+COUNTIF($Q$133:Q172,"&gt;0")</f>
        <v>0</v>
      </c>
      <c r="L172" s="292" t="str">
        <f aca="false">"Кабели"</f>
        <v>Кабели</v>
      </c>
      <c r="M172" s="292" t="str">
        <f aca="false">IF(ISBLANK(Кабели!$A$176),"",Кабели!$A$176)</f>
        <v>BX51 Triumph зарядный дата кабель для Type-C（В упаковке）</v>
      </c>
      <c r="N172" s="292" t="str">
        <f aca="false">IF(ISBLANK(Кабели!$D$176),"",Кабели!$D$176)</f>
        <v>6931474743930</v>
      </c>
      <c r="O172" s="292" t="str">
        <f aca="false">IF(ISBLANK(Кабели!$E$176),"",Кабели!$E$176)</f>
        <v>черный</v>
      </c>
      <c r="P172" s="292" t="str">
        <f aca="false">"ед."</f>
        <v>ед.</v>
      </c>
      <c r="Q172" s="292" t="n">
        <f aca="false">N(Кабели!$G$176)</f>
        <v>0</v>
      </c>
      <c r="R172" s="299" t="n">
        <f aca="false">IF(ISBLANK(Кабели!$F$176),"",Кабели!$F$176)</f>
        <v>39.14</v>
      </c>
      <c r="S172" s="292" t="str">
        <f aca="false">IF(ISBLANK(Кабели!$H$176),"",Кабели!$H$176)</f>
        <v/>
      </c>
    </row>
    <row r="173" customFormat="false" ht="66" hidden="false" customHeight="true" outlineLevel="0" collapsed="false">
      <c r="A173" s="291" t="str">
        <f aca="true">IF(ISNUMBER($J173),INDIRECT("L"&amp;($J173+4)),"")</f>
        <v/>
      </c>
      <c r="B173" s="291" t="str">
        <f aca="true">IF(ISNUMBER($J173),INDIRECT("M"&amp;($J173+4)),"")</f>
        <v/>
      </c>
      <c r="C173" s="296" t="str">
        <f aca="true">IF(ISNUMBER($J173),INDIRECT("N"&amp;($J173+4)),"")</f>
        <v/>
      </c>
      <c r="D173" s="291" t="str">
        <f aca="true">IF(ISNUMBER($J173),INDIRECT("O"&amp;($J173+4)),"")</f>
        <v/>
      </c>
      <c r="E173" s="291" t="str">
        <f aca="true">IF(ISNUMBER($J173),INDIRECT("P"&amp;($J173+4)),"")</f>
        <v/>
      </c>
      <c r="F173" s="300" t="str">
        <f aca="true">IF(ISNUMBER($J173),INDIRECT("Q"&amp;($J173+4)),"")</f>
        <v/>
      </c>
      <c r="G173" s="298" t="str">
        <f aca="true">IF(ISNUMBER($J173),INDIRECT("R"&amp;($J173+4)),"")</f>
        <v/>
      </c>
      <c r="H173" s="298" t="str">
        <f aca="true">IF(ISNUMBER($J173),INDIRECT("S"&amp;($J173+4)),"")</f>
        <v/>
      </c>
      <c r="J173" s="292" t="str">
        <f aca="true">IF(169&lt;=$K$1,MATCH(168.5,INDIRECT("$K$4:$K$1374"),1),"")</f>
        <v/>
      </c>
      <c r="K173" s="292" t="n">
        <f aca="false">$K$132+COUNTIF($Q$133:Q173,"&gt;0")</f>
        <v>0</v>
      </c>
      <c r="L173" s="292" t="str">
        <f aca="false">"Кабели"</f>
        <v>Кабели</v>
      </c>
      <c r="M173" s="292" t="str">
        <f aca="false">IF(ISBLANK(Кабели!$A$176),"",Кабели!$A$176)</f>
        <v>BX51 Triumph зарядный дата кабель для Type-C（В упаковке）</v>
      </c>
      <c r="N173" s="292" t="str">
        <f aca="false">IF(ISBLANK(Кабели!$D$177),"",Кабели!$D$177)</f>
        <v>6931474743947</v>
      </c>
      <c r="O173" s="292" t="str">
        <f aca="false">IF(ISBLANK(Кабели!$E$177),"",Кабели!$E$177)</f>
        <v>белый</v>
      </c>
      <c r="P173" s="292" t="str">
        <f aca="false">"ед."</f>
        <v>ед.</v>
      </c>
      <c r="Q173" s="292" t="n">
        <f aca="false">N(Кабели!$G$177)</f>
        <v>0</v>
      </c>
      <c r="R173" s="299" t="n">
        <f aca="false">IF(ISBLANK(Кабели!$F$177),"",Кабели!$F$177)</f>
        <v>39.14</v>
      </c>
      <c r="S173" s="292" t="str">
        <f aca="false">IF(ISBLANK(Кабели!$H$177),"",Кабели!$H$177)</f>
        <v/>
      </c>
    </row>
    <row r="174" customFormat="false" ht="66" hidden="false" customHeight="true" outlineLevel="0" collapsed="false">
      <c r="A174" s="291" t="str">
        <f aca="true">IF(ISNUMBER($J174),INDIRECT("L"&amp;($J174+4)),"")</f>
        <v/>
      </c>
      <c r="B174" s="291" t="str">
        <f aca="true">IF(ISNUMBER($J174),INDIRECT("M"&amp;($J174+4)),"")</f>
        <v/>
      </c>
      <c r="C174" s="296" t="str">
        <f aca="true">IF(ISNUMBER($J174),INDIRECT("N"&amp;($J174+4)),"")</f>
        <v/>
      </c>
      <c r="D174" s="291" t="str">
        <f aca="true">IF(ISNUMBER($J174),INDIRECT("O"&amp;($J174+4)),"")</f>
        <v/>
      </c>
      <c r="E174" s="291" t="str">
        <f aca="true">IF(ISNUMBER($J174),INDIRECT("P"&amp;($J174+4)),"")</f>
        <v/>
      </c>
      <c r="F174" s="300" t="str">
        <f aca="true">IF(ISNUMBER($J174),INDIRECT("Q"&amp;($J174+4)),"")</f>
        <v/>
      </c>
      <c r="G174" s="298" t="str">
        <f aca="true">IF(ISNUMBER($J174),INDIRECT("R"&amp;($J174+4)),"")</f>
        <v/>
      </c>
      <c r="H174" s="298" t="str">
        <f aca="true">IF(ISNUMBER($J174),INDIRECT("S"&amp;($J174+4)),"")</f>
        <v/>
      </c>
      <c r="J174" s="292" t="str">
        <f aca="true">IF(170&lt;=$K$1,MATCH(169.5,INDIRECT("$K$4:$K$1374"),1),"")</f>
        <v/>
      </c>
      <c r="K174" s="292" t="n">
        <f aca="false">$K$132+COUNTIF($Q$133:Q174,"&gt;0")</f>
        <v>0</v>
      </c>
      <c r="L174" s="292" t="str">
        <f aca="false">"Кабели"</f>
        <v>Кабели</v>
      </c>
      <c r="M174" s="292" t="str">
        <f aca="false">IF(ISBLANK(Кабели!$A$178),"",Кабели!$A$178)</f>
        <v>BX51 Triumph зарядный дата кабель для Type-C（Без упаковки）</v>
      </c>
      <c r="N174" s="292" t="str">
        <f aca="false">IF(ISBLANK(Кабели!$D$178),"",Кабели!$D$178)</f>
        <v>6931474743930</v>
      </c>
      <c r="O174" s="292" t="str">
        <f aca="false">IF(ISBLANK(Кабели!$E$178),"",Кабели!$E$178)</f>
        <v>черный</v>
      </c>
      <c r="P174" s="292" t="str">
        <f aca="false">"ед."</f>
        <v>ед.</v>
      </c>
      <c r="Q174" s="292" t="n">
        <f aca="false">N(Кабели!$G$178)</f>
        <v>0</v>
      </c>
      <c r="R174" s="299" t="n">
        <f aca="false">IF(ISBLANK(Кабели!$F$178),"",Кабели!$F$178)</f>
        <v>34.25</v>
      </c>
      <c r="S174" s="292" t="str">
        <f aca="false">IF(ISBLANK(Кабели!$H$178),"",Кабели!$H$178)</f>
        <v/>
      </c>
    </row>
    <row r="175" customFormat="false" ht="66" hidden="false" customHeight="true" outlineLevel="0" collapsed="false">
      <c r="A175" s="291" t="str">
        <f aca="true">IF(ISNUMBER($J175),INDIRECT("L"&amp;($J175+4)),"")</f>
        <v/>
      </c>
      <c r="B175" s="291" t="str">
        <f aca="true">IF(ISNUMBER($J175),INDIRECT("M"&amp;($J175+4)),"")</f>
        <v/>
      </c>
      <c r="C175" s="296" t="str">
        <f aca="true">IF(ISNUMBER($J175),INDIRECT("N"&amp;($J175+4)),"")</f>
        <v/>
      </c>
      <c r="D175" s="291" t="str">
        <f aca="true">IF(ISNUMBER($J175),INDIRECT("O"&amp;($J175+4)),"")</f>
        <v/>
      </c>
      <c r="E175" s="291" t="str">
        <f aca="true">IF(ISNUMBER($J175),INDIRECT("P"&amp;($J175+4)),"")</f>
        <v/>
      </c>
      <c r="F175" s="300" t="str">
        <f aca="true">IF(ISNUMBER($J175),INDIRECT("Q"&amp;($J175+4)),"")</f>
        <v/>
      </c>
      <c r="G175" s="298" t="str">
        <f aca="true">IF(ISNUMBER($J175),INDIRECT("R"&amp;($J175+4)),"")</f>
        <v/>
      </c>
      <c r="H175" s="298" t="str">
        <f aca="true">IF(ISNUMBER($J175),INDIRECT("S"&amp;($J175+4)),"")</f>
        <v/>
      </c>
      <c r="J175" s="292" t="str">
        <f aca="true">IF(171&lt;=$K$1,MATCH(170.5,INDIRECT("$K$4:$K$1374"),1),"")</f>
        <v/>
      </c>
      <c r="K175" s="292" t="n">
        <f aca="false">$K$132+COUNTIF($Q$133:Q175,"&gt;0")</f>
        <v>0</v>
      </c>
      <c r="L175" s="292" t="str">
        <f aca="false">"Кабели"</f>
        <v>Кабели</v>
      </c>
      <c r="M175" s="292" t="str">
        <f aca="false">IF(ISBLANK(Кабели!$A$178),"",Кабели!$A$178)</f>
        <v>BX51 Triumph зарядный дата кабель для Type-C（Без упаковки）</v>
      </c>
      <c r="N175" s="292" t="str">
        <f aca="false">IF(ISBLANK(Кабели!$D$179),"",Кабели!$D$179)</f>
        <v>6931474743947</v>
      </c>
      <c r="O175" s="292" t="str">
        <f aca="false">IF(ISBLANK(Кабели!$E$179),"",Кабели!$E$179)</f>
        <v>белый</v>
      </c>
      <c r="P175" s="292" t="str">
        <f aca="false">"ед."</f>
        <v>ед.</v>
      </c>
      <c r="Q175" s="292" t="n">
        <f aca="false">N(Кабели!$G$179)</f>
        <v>0</v>
      </c>
      <c r="R175" s="299" t="n">
        <f aca="false">IF(ISBLANK(Кабели!$F$179),"",Кабели!$F$179)</f>
        <v>34.25</v>
      </c>
      <c r="S175" s="292" t="str">
        <f aca="false">IF(ISBLANK(Кабели!$H$179),"",Кабели!$H$179)</f>
        <v/>
      </c>
    </row>
    <row r="176" customFormat="false" ht="66" hidden="false" customHeight="true" outlineLevel="0" collapsed="false">
      <c r="A176" s="291" t="str">
        <f aca="true">IF(ISNUMBER($J176),INDIRECT("L"&amp;($J176+4)),"")</f>
        <v/>
      </c>
      <c r="B176" s="291" t="str">
        <f aca="true">IF(ISNUMBER($J176),INDIRECT("M"&amp;($J176+4)),"")</f>
        <v/>
      </c>
      <c r="C176" s="296" t="str">
        <f aca="true">IF(ISNUMBER($J176),INDIRECT("N"&amp;($J176+4)),"")</f>
        <v/>
      </c>
      <c r="D176" s="291" t="str">
        <f aca="true">IF(ISNUMBER($J176),INDIRECT("O"&amp;($J176+4)),"")</f>
        <v/>
      </c>
      <c r="E176" s="291" t="str">
        <f aca="true">IF(ISNUMBER($J176),INDIRECT("P"&amp;($J176+4)),"")</f>
        <v/>
      </c>
      <c r="F176" s="300" t="str">
        <f aca="true">IF(ISNUMBER($J176),INDIRECT("Q"&amp;($J176+4)),"")</f>
        <v/>
      </c>
      <c r="G176" s="298" t="str">
        <f aca="true">IF(ISNUMBER($J176),INDIRECT("R"&amp;($J176+4)),"")</f>
        <v/>
      </c>
      <c r="H176" s="298" t="str">
        <f aca="true">IF(ISNUMBER($J176),INDIRECT("S"&amp;($J176+4)),"")</f>
        <v/>
      </c>
      <c r="J176" s="292" t="str">
        <f aca="true">IF(172&lt;=$K$1,MATCH(171.5,INDIRECT("$K$4:$K$1374"),1),"")</f>
        <v/>
      </c>
      <c r="K176" s="292" t="n">
        <f aca="false">$K$132+COUNTIF($Q$133:Q176,"&gt;0")</f>
        <v>0</v>
      </c>
      <c r="L176" s="292" t="str">
        <f aca="false">"Кабели"</f>
        <v>Кабели</v>
      </c>
      <c r="M176" s="292" t="str">
        <f aca="false">IF(ISBLANK(Кабели!$A$180),"",Кабели!$A$180)</f>
        <v>BX41 Amiable магнитный зарядный кабель для Micro</v>
      </c>
      <c r="N176" s="292" t="str">
        <f aca="false">IF(ISBLANK(Кабели!$D$180),"",Кабели!$D$180)</f>
        <v>6931474738455</v>
      </c>
      <c r="O176" s="292" t="str">
        <f aca="false">IF(ISBLANK(Кабели!$E$180),"",Кабели!$E$180)</f>
        <v>черный</v>
      </c>
      <c r="P176" s="292" t="str">
        <f aca="false">"ед."</f>
        <v>ед.</v>
      </c>
      <c r="Q176" s="292" t="n">
        <f aca="false">N(Кабели!$G$180)</f>
        <v>0</v>
      </c>
      <c r="R176" s="299" t="n">
        <f aca="false">IF(ISBLANK(Кабели!$F$180),"",Кабели!$F$180)</f>
        <v>89.7</v>
      </c>
      <c r="S176" s="292" t="str">
        <f aca="false">IF(ISBLANK(Кабели!$H$180),"",Кабели!$H$180)</f>
        <v/>
      </c>
    </row>
    <row r="177" customFormat="false" ht="66" hidden="false" customHeight="true" outlineLevel="0" collapsed="false">
      <c r="A177" s="291" t="str">
        <f aca="true">IF(ISNUMBER($J177),INDIRECT("L"&amp;($J177+4)),"")</f>
        <v/>
      </c>
      <c r="B177" s="291" t="str">
        <f aca="true">IF(ISNUMBER($J177),INDIRECT("M"&amp;($J177+4)),"")</f>
        <v/>
      </c>
      <c r="C177" s="296" t="str">
        <f aca="true">IF(ISNUMBER($J177),INDIRECT("N"&amp;($J177+4)),"")</f>
        <v/>
      </c>
      <c r="D177" s="291" t="str">
        <f aca="true">IF(ISNUMBER($J177),INDIRECT("O"&amp;($J177+4)),"")</f>
        <v/>
      </c>
      <c r="E177" s="291" t="str">
        <f aca="true">IF(ISNUMBER($J177),INDIRECT("P"&amp;($J177+4)),"")</f>
        <v/>
      </c>
      <c r="F177" s="300" t="str">
        <f aca="true">IF(ISNUMBER($J177),INDIRECT("Q"&amp;($J177+4)),"")</f>
        <v/>
      </c>
      <c r="G177" s="298" t="str">
        <f aca="true">IF(ISNUMBER($J177),INDIRECT("R"&amp;($J177+4)),"")</f>
        <v/>
      </c>
      <c r="H177" s="298" t="str">
        <f aca="true">IF(ISNUMBER($J177),INDIRECT("S"&amp;($J177+4)),"")</f>
        <v/>
      </c>
      <c r="J177" s="292" t="str">
        <f aca="true">IF(173&lt;=$K$1,MATCH(172.5,INDIRECT("$K$4:$K$1374"),1),"")</f>
        <v/>
      </c>
      <c r="K177" s="292" t="n">
        <f aca="false">$K$132+COUNTIF($Q$133:Q177,"&gt;0")</f>
        <v>0</v>
      </c>
      <c r="L177" s="292" t="str">
        <f aca="false">"Кабели"</f>
        <v>Кабели</v>
      </c>
      <c r="M177" s="292" t="str">
        <f aca="false">IF(ISBLANK(Кабели!$A$181),"",Кабели!$A$181)</f>
        <v>BX41 Amiable магнитный зарядный кабель для Type-C</v>
      </c>
      <c r="N177" s="292" t="str">
        <f aca="false">IF(ISBLANK(Кабели!$D$181),"",Кабели!$D$181)</f>
        <v>6931474738462</v>
      </c>
      <c r="O177" s="292" t="str">
        <f aca="false">IF(ISBLANK(Кабели!$E$181),"",Кабели!$E$181)</f>
        <v>черный</v>
      </c>
      <c r="P177" s="292" t="str">
        <f aca="false">"ед."</f>
        <v>ед.</v>
      </c>
      <c r="Q177" s="292" t="n">
        <f aca="false">N(Кабели!$G$181)</f>
        <v>0</v>
      </c>
      <c r="R177" s="299" t="n">
        <f aca="false">IF(ISBLANK(Кабели!$F$181),"",Кабели!$F$181)</f>
        <v>94.59</v>
      </c>
      <c r="S177" s="292" t="str">
        <f aca="false">IF(ISBLANK(Кабели!$H$181),"",Кабели!$H$181)</f>
        <v/>
      </c>
    </row>
    <row r="178" customFormat="false" ht="66" hidden="false" customHeight="true" outlineLevel="0" collapsed="false">
      <c r="A178" s="291" t="str">
        <f aca="true">IF(ISNUMBER($J178),INDIRECT("L"&amp;($J178+4)),"")</f>
        <v/>
      </c>
      <c r="B178" s="291" t="str">
        <f aca="true">IF(ISNUMBER($J178),INDIRECT("M"&amp;($J178+4)),"")</f>
        <v/>
      </c>
      <c r="C178" s="296" t="str">
        <f aca="true">IF(ISNUMBER($J178),INDIRECT("N"&amp;($J178+4)),"")</f>
        <v/>
      </c>
      <c r="D178" s="291" t="str">
        <f aca="true">IF(ISNUMBER($J178),INDIRECT("O"&amp;($J178+4)),"")</f>
        <v/>
      </c>
      <c r="E178" s="291" t="str">
        <f aca="true">IF(ISNUMBER($J178),INDIRECT("P"&amp;($J178+4)),"")</f>
        <v/>
      </c>
      <c r="F178" s="300" t="str">
        <f aca="true">IF(ISNUMBER($J178),INDIRECT("Q"&amp;($J178+4)),"")</f>
        <v/>
      </c>
      <c r="G178" s="298" t="str">
        <f aca="true">IF(ISNUMBER($J178),INDIRECT("R"&amp;($J178+4)),"")</f>
        <v/>
      </c>
      <c r="H178" s="298" t="str">
        <f aca="true">IF(ISNUMBER($J178),INDIRECT("S"&amp;($J178+4)),"")</f>
        <v/>
      </c>
      <c r="J178" s="292" t="str">
        <f aca="true">IF(174&lt;=$K$1,MATCH(173.5,INDIRECT("$K$4:$K$1374"),1),"")</f>
        <v/>
      </c>
      <c r="K178" s="292" t="n">
        <f aca="false">$K$132+COUNTIF($Q$133:Q178,"&gt;0")</f>
        <v>0</v>
      </c>
      <c r="L178" s="292" t="str">
        <f aca="false">"Кабели"</f>
        <v>Кабели</v>
      </c>
      <c r="M178" s="292" t="str">
        <f aca="false">IF(ISBLANK(Кабели!$A$182),"",Кабели!$A$182)</f>
        <v>BX32 Munificent зарядный дата кабель для iP</v>
      </c>
      <c r="N178" s="292" t="str">
        <f aca="false">IF(ISBLANK(Кабели!$D$182),"",Кабели!$D$182)</f>
        <v>6931474710413</v>
      </c>
      <c r="O178" s="292" t="str">
        <f aca="false">IF(ISBLANK(Кабели!$E$182),"",Кабели!$E$182)</f>
        <v>черный</v>
      </c>
      <c r="P178" s="292" t="str">
        <f aca="false">"ед."</f>
        <v>ед.</v>
      </c>
      <c r="Q178" s="292" t="n">
        <f aca="false">N(Кабели!$G$182)</f>
        <v>0</v>
      </c>
      <c r="R178" s="299" t="n">
        <f aca="false">IF(ISBLANK(Кабели!$F$182),"",Кабели!$F$182)</f>
        <v>84.81</v>
      </c>
      <c r="S178" s="292" t="str">
        <f aca="false">IF(ISBLANK(Кабели!$H$182),"",Кабели!$H$182)</f>
        <v/>
      </c>
    </row>
    <row r="179" customFormat="false" ht="66" hidden="false" customHeight="true" outlineLevel="0" collapsed="false">
      <c r="A179" s="291" t="str">
        <f aca="true">IF(ISNUMBER($J179),INDIRECT("L"&amp;($J179+4)),"")</f>
        <v/>
      </c>
      <c r="B179" s="291" t="str">
        <f aca="true">IF(ISNUMBER($J179),INDIRECT("M"&amp;($J179+4)),"")</f>
        <v/>
      </c>
      <c r="C179" s="296" t="str">
        <f aca="true">IF(ISNUMBER($J179),INDIRECT("N"&amp;($J179+4)),"")</f>
        <v/>
      </c>
      <c r="D179" s="291" t="str">
        <f aca="true">IF(ISNUMBER($J179),INDIRECT("O"&amp;($J179+4)),"")</f>
        <v/>
      </c>
      <c r="E179" s="291" t="str">
        <f aca="true">IF(ISNUMBER($J179),INDIRECT("P"&amp;($J179+4)),"")</f>
        <v/>
      </c>
      <c r="F179" s="300" t="str">
        <f aca="true">IF(ISNUMBER($J179),INDIRECT("Q"&amp;($J179+4)),"")</f>
        <v/>
      </c>
      <c r="G179" s="298" t="str">
        <f aca="true">IF(ISNUMBER($J179),INDIRECT("R"&amp;($J179+4)),"")</f>
        <v/>
      </c>
      <c r="H179" s="298" t="str">
        <f aca="true">IF(ISNUMBER($J179),INDIRECT("S"&amp;($J179+4)),"")</f>
        <v/>
      </c>
      <c r="J179" s="292" t="str">
        <f aca="true">IF(175&lt;=$K$1,MATCH(174.5,INDIRECT("$K$4:$K$1374"),1),"")</f>
        <v/>
      </c>
      <c r="K179" s="292" t="n">
        <f aca="false">$K$132+COUNTIF($Q$133:Q179,"&gt;0")</f>
        <v>0</v>
      </c>
      <c r="L179" s="292" t="str">
        <f aca="false">"Кабели"</f>
        <v>Кабели</v>
      </c>
      <c r="M179" s="292" t="str">
        <f aca="false">IF(ISBLANK(Кабели!$A$183),"",Кабели!$A$183)</f>
        <v>BX32 Munificent зарядный дата кабель для Micro-USB</v>
      </c>
      <c r="N179" s="292" t="str">
        <f aca="false">IF(ISBLANK(Кабели!$D$183),"",Кабели!$D$183)</f>
        <v>6931474710437</v>
      </c>
      <c r="O179" s="292" t="str">
        <f aca="false">IF(ISBLANK(Кабели!$E$183),"",Кабели!$E$183)</f>
        <v>черный</v>
      </c>
      <c r="P179" s="292" t="str">
        <f aca="false">"ед."</f>
        <v>ед.</v>
      </c>
      <c r="Q179" s="292" t="n">
        <f aca="false">N(Кабели!$G$183)</f>
        <v>0</v>
      </c>
      <c r="R179" s="299" t="n">
        <f aca="false">IF(ISBLANK(Кабели!$F$183),"",Кабели!$F$183)</f>
        <v>71.76</v>
      </c>
      <c r="S179" s="292" t="str">
        <f aca="false">IF(ISBLANK(Кабели!$H$183),"",Кабели!$H$183)</f>
        <v/>
      </c>
    </row>
    <row r="180" customFormat="false" ht="66" hidden="false" customHeight="true" outlineLevel="0" collapsed="false">
      <c r="A180" s="291" t="str">
        <f aca="true">IF(ISNUMBER($J180),INDIRECT("L"&amp;($J180+4)),"")</f>
        <v/>
      </c>
      <c r="B180" s="291" t="str">
        <f aca="true">IF(ISNUMBER($J180),INDIRECT("M"&amp;($J180+4)),"")</f>
        <v/>
      </c>
      <c r="C180" s="296" t="str">
        <f aca="true">IF(ISNUMBER($J180),INDIRECT("N"&amp;($J180+4)),"")</f>
        <v/>
      </c>
      <c r="D180" s="291" t="str">
        <f aca="true">IF(ISNUMBER($J180),INDIRECT("O"&amp;($J180+4)),"")</f>
        <v/>
      </c>
      <c r="E180" s="291" t="str">
        <f aca="true">IF(ISNUMBER($J180),INDIRECT("P"&amp;($J180+4)),"")</f>
        <v/>
      </c>
      <c r="F180" s="300" t="str">
        <f aca="true">IF(ISNUMBER($J180),INDIRECT("Q"&amp;($J180+4)),"")</f>
        <v/>
      </c>
      <c r="G180" s="298" t="str">
        <f aca="true">IF(ISNUMBER($J180),INDIRECT("R"&amp;($J180+4)),"")</f>
        <v/>
      </c>
      <c r="H180" s="298" t="str">
        <f aca="true">IF(ISNUMBER($J180),INDIRECT("S"&amp;($J180+4)),"")</f>
        <v/>
      </c>
      <c r="J180" s="292" t="str">
        <f aca="true">IF(176&lt;=$K$1,MATCH(175.5,INDIRECT("$K$4:$K$1374"),1),"")</f>
        <v/>
      </c>
      <c r="K180" s="292" t="n">
        <f aca="false">$K$132+COUNTIF($Q$133:Q180,"&gt;0")</f>
        <v>0</v>
      </c>
      <c r="L180" s="292" t="str">
        <f aca="false">"Кабели"</f>
        <v>Кабели</v>
      </c>
      <c r="M180" s="292" t="str">
        <f aca="false">IF(ISBLANK(Кабели!$A$184),"",Кабели!$A$184)</f>
        <v>BX32 Munificent зарядный дата кабель для Type-C</v>
      </c>
      <c r="N180" s="292" t="str">
        <f aca="false">IF(ISBLANK(Кабели!$D$184),"",Кабели!$D$184)</f>
        <v>6931474710451</v>
      </c>
      <c r="O180" s="292" t="str">
        <f aca="false">IF(ISBLANK(Кабели!$E$184),"",Кабели!$E$184)</f>
        <v>черный</v>
      </c>
      <c r="P180" s="292" t="str">
        <f aca="false">"ед."</f>
        <v>ед.</v>
      </c>
      <c r="Q180" s="292" t="n">
        <f aca="false">N(Кабели!$G$184)</f>
        <v>0</v>
      </c>
      <c r="R180" s="299" t="n">
        <f aca="false">IF(ISBLANK(Кабели!$F$184),"",Кабели!$F$184)</f>
        <v>84.81</v>
      </c>
      <c r="S180" s="292" t="str">
        <f aca="false">IF(ISBLANK(Кабели!$H$184),"",Кабели!$H$184)</f>
        <v/>
      </c>
    </row>
    <row r="181" customFormat="false" ht="66" hidden="false" customHeight="true" outlineLevel="0" collapsed="false">
      <c r="A181" s="291" t="str">
        <f aca="true">IF(ISNUMBER($J181),INDIRECT("L"&amp;($J181+4)),"")</f>
        <v/>
      </c>
      <c r="B181" s="291" t="str">
        <f aca="true">IF(ISNUMBER($J181),INDIRECT("M"&amp;($J181+4)),"")</f>
        <v/>
      </c>
      <c r="C181" s="296" t="str">
        <f aca="true">IF(ISNUMBER($J181),INDIRECT("N"&amp;($J181+4)),"")</f>
        <v/>
      </c>
      <c r="D181" s="291" t="str">
        <f aca="true">IF(ISNUMBER($J181),INDIRECT("O"&amp;($J181+4)),"")</f>
        <v/>
      </c>
      <c r="E181" s="291" t="str">
        <f aca="true">IF(ISNUMBER($J181),INDIRECT("P"&amp;($J181+4)),"")</f>
        <v/>
      </c>
      <c r="F181" s="300" t="str">
        <f aca="true">IF(ISNUMBER($J181),INDIRECT("Q"&amp;($J181+4)),"")</f>
        <v/>
      </c>
      <c r="G181" s="298" t="str">
        <f aca="true">IF(ISNUMBER($J181),INDIRECT("R"&amp;($J181+4)),"")</f>
        <v/>
      </c>
      <c r="H181" s="298" t="str">
        <f aca="true">IF(ISNUMBER($J181),INDIRECT("S"&amp;($J181+4)),"")</f>
        <v/>
      </c>
      <c r="J181" s="292" t="str">
        <f aca="true">IF(177&lt;=$K$1,MATCH(176.5,INDIRECT("$K$4:$K$1374"),1),"")</f>
        <v/>
      </c>
      <c r="K181" s="292" t="n">
        <f aca="false">$K$132+COUNTIF($Q$133:Q181,"&gt;0")</f>
        <v>0</v>
      </c>
      <c r="L181" s="292" t="str">
        <f aca="false">"Кабели"</f>
        <v>Кабели</v>
      </c>
      <c r="M181" s="292" t="str">
        <f aca="false">IF(ISBLANK(Кабели!$A$185),"",Кабели!$A$185)</f>
        <v>BX19 Benefit зарядный дата кабель для iP</v>
      </c>
      <c r="N181" s="292" t="str">
        <f aca="false">IF(ISBLANK(Кабели!$D$185),"",Кабели!$D$185)</f>
        <v>6931474701756</v>
      </c>
      <c r="O181" s="292" t="str">
        <f aca="false">IF(ISBLANK(Кабели!$E$185),"",Кабели!$E$185)</f>
        <v>черный</v>
      </c>
      <c r="P181" s="292" t="str">
        <f aca="false">"ед."</f>
        <v>ед.</v>
      </c>
      <c r="Q181" s="292" t="n">
        <f aca="false">N(Кабели!$G$185)</f>
        <v>0</v>
      </c>
      <c r="R181" s="299" t="n">
        <f aca="false">IF(ISBLANK(Кабели!$F$185),"",Кабели!$F$185)</f>
        <v>48.93</v>
      </c>
      <c r="S181" s="292" t="str">
        <f aca="false">IF(ISBLANK(Кабели!$H$185),"",Кабели!$H$185)</f>
        <v/>
      </c>
    </row>
    <row r="182" customFormat="false" ht="66" hidden="false" customHeight="true" outlineLevel="0" collapsed="false">
      <c r="A182" s="291" t="str">
        <f aca="true">IF(ISNUMBER($J182),INDIRECT("L"&amp;($J182+4)),"")</f>
        <v/>
      </c>
      <c r="B182" s="291" t="str">
        <f aca="true">IF(ISNUMBER($J182),INDIRECT("M"&amp;($J182+4)),"")</f>
        <v/>
      </c>
      <c r="C182" s="296" t="str">
        <f aca="true">IF(ISNUMBER($J182),INDIRECT("N"&amp;($J182+4)),"")</f>
        <v/>
      </c>
      <c r="D182" s="291" t="str">
        <f aca="true">IF(ISNUMBER($J182),INDIRECT("O"&amp;($J182+4)),"")</f>
        <v/>
      </c>
      <c r="E182" s="291" t="str">
        <f aca="true">IF(ISNUMBER($J182),INDIRECT("P"&amp;($J182+4)),"")</f>
        <v/>
      </c>
      <c r="F182" s="300" t="str">
        <f aca="true">IF(ISNUMBER($J182),INDIRECT("Q"&amp;($J182+4)),"")</f>
        <v/>
      </c>
      <c r="G182" s="298" t="str">
        <f aca="true">IF(ISNUMBER($J182),INDIRECT("R"&amp;($J182+4)),"")</f>
        <v/>
      </c>
      <c r="H182" s="298" t="str">
        <f aca="true">IF(ISNUMBER($J182),INDIRECT("S"&amp;($J182+4)),"")</f>
        <v/>
      </c>
      <c r="J182" s="292" t="str">
        <f aca="true">IF(178&lt;=$K$1,MATCH(177.5,INDIRECT("$K$4:$K$1374"),1),"")</f>
        <v/>
      </c>
      <c r="K182" s="292" t="n">
        <f aca="false">$K$132+COUNTIF($Q$133:Q182,"&gt;0")</f>
        <v>0</v>
      </c>
      <c r="L182" s="292" t="str">
        <f aca="false">"Кабели"</f>
        <v>Кабели</v>
      </c>
      <c r="M182" s="292" t="str">
        <f aca="false">IF(ISBLANK(Кабели!$A$185),"",Кабели!$A$185)</f>
        <v>BX19 Benefit зарядный дата кабель для iP</v>
      </c>
      <c r="N182" s="292" t="str">
        <f aca="false">IF(ISBLANK(Кабели!$D$186),"",Кабели!$D$186)</f>
        <v>6931474701763</v>
      </c>
      <c r="O182" s="292" t="str">
        <f aca="false">IF(ISBLANK(Кабели!$E$186),"",Кабели!$E$186)</f>
        <v>белый</v>
      </c>
      <c r="P182" s="292" t="str">
        <f aca="false">"ед."</f>
        <v>ед.</v>
      </c>
      <c r="Q182" s="292" t="n">
        <f aca="false">N(Кабели!$G$186)</f>
        <v>0</v>
      </c>
      <c r="R182" s="299" t="n">
        <f aca="false">IF(ISBLANK(Кабели!$F$186),"",Кабели!$F$186)</f>
        <v>48.93</v>
      </c>
      <c r="S182" s="292" t="str">
        <f aca="false">IF(ISBLANK(Кабели!$H$186),"",Кабели!$H$186)</f>
        <v/>
      </c>
    </row>
    <row r="183" customFormat="false" ht="66" hidden="false" customHeight="true" outlineLevel="0" collapsed="false">
      <c r="A183" s="291" t="str">
        <f aca="true">IF(ISNUMBER($J183),INDIRECT("L"&amp;($J183+4)),"")</f>
        <v/>
      </c>
      <c r="B183" s="291" t="str">
        <f aca="true">IF(ISNUMBER($J183),INDIRECT("M"&amp;($J183+4)),"")</f>
        <v/>
      </c>
      <c r="C183" s="296" t="str">
        <f aca="true">IF(ISNUMBER($J183),INDIRECT("N"&amp;($J183+4)),"")</f>
        <v/>
      </c>
      <c r="D183" s="291" t="str">
        <f aca="true">IF(ISNUMBER($J183),INDIRECT("O"&amp;($J183+4)),"")</f>
        <v/>
      </c>
      <c r="E183" s="291" t="str">
        <f aca="true">IF(ISNUMBER($J183),INDIRECT("P"&amp;($J183+4)),"")</f>
        <v/>
      </c>
      <c r="F183" s="300" t="str">
        <f aca="true">IF(ISNUMBER($J183),INDIRECT("Q"&amp;($J183+4)),"")</f>
        <v/>
      </c>
      <c r="G183" s="298" t="str">
        <f aca="true">IF(ISNUMBER($J183),INDIRECT("R"&amp;($J183+4)),"")</f>
        <v/>
      </c>
      <c r="H183" s="298" t="str">
        <f aca="true">IF(ISNUMBER($J183),INDIRECT("S"&amp;($J183+4)),"")</f>
        <v/>
      </c>
      <c r="J183" s="292" t="str">
        <f aca="true">IF(179&lt;=$K$1,MATCH(178.5,INDIRECT("$K$4:$K$1374"),1),"")</f>
        <v/>
      </c>
      <c r="K183" s="292" t="n">
        <f aca="false">$K$132+COUNTIF($Q$133:Q183,"&gt;0")</f>
        <v>0</v>
      </c>
      <c r="L183" s="292" t="str">
        <f aca="false">"Кабели"</f>
        <v>Кабели</v>
      </c>
      <c r="M183" s="292" t="str">
        <f aca="false">IF(ISBLANK(Кабели!$A$187),"",Кабели!$A$187)</f>
        <v>BX19 Benefit зарядный дата кабель для Micro-USB</v>
      </c>
      <c r="N183" s="292" t="str">
        <f aca="false">IF(ISBLANK(Кабели!$D$187),"",Кабели!$D$187)</f>
        <v>6931474701770</v>
      </c>
      <c r="O183" s="292" t="str">
        <f aca="false">IF(ISBLANK(Кабели!$E$187),"",Кабели!$E$187)</f>
        <v>черный</v>
      </c>
      <c r="P183" s="292" t="str">
        <f aca="false">"ед."</f>
        <v>ед.</v>
      </c>
      <c r="Q183" s="292" t="n">
        <f aca="false">N(Кабели!$G$187)</f>
        <v>0</v>
      </c>
      <c r="R183" s="299" t="n">
        <f aca="false">IF(ISBLANK(Кабели!$F$187),"",Кабели!$F$187)</f>
        <v>33.43</v>
      </c>
      <c r="S183" s="292" t="str">
        <f aca="false">IF(ISBLANK(Кабели!$H$187),"",Кабели!$H$187)</f>
        <v/>
      </c>
    </row>
    <row r="184" customFormat="false" ht="66" hidden="false" customHeight="true" outlineLevel="0" collapsed="false">
      <c r="A184" s="291" t="str">
        <f aca="true">IF(ISNUMBER($J184),INDIRECT("L"&amp;($J184+4)),"")</f>
        <v/>
      </c>
      <c r="B184" s="291" t="str">
        <f aca="true">IF(ISNUMBER($J184),INDIRECT("M"&amp;($J184+4)),"")</f>
        <v/>
      </c>
      <c r="C184" s="296" t="str">
        <f aca="true">IF(ISNUMBER($J184),INDIRECT("N"&amp;($J184+4)),"")</f>
        <v/>
      </c>
      <c r="D184" s="291" t="str">
        <f aca="true">IF(ISNUMBER($J184),INDIRECT("O"&amp;($J184+4)),"")</f>
        <v/>
      </c>
      <c r="E184" s="291" t="str">
        <f aca="true">IF(ISNUMBER($J184),INDIRECT("P"&amp;($J184+4)),"")</f>
        <v/>
      </c>
      <c r="F184" s="300" t="str">
        <f aca="true">IF(ISNUMBER($J184),INDIRECT("Q"&amp;($J184+4)),"")</f>
        <v/>
      </c>
      <c r="G184" s="298" t="str">
        <f aca="true">IF(ISNUMBER($J184),INDIRECT("R"&amp;($J184+4)),"")</f>
        <v/>
      </c>
      <c r="H184" s="298" t="str">
        <f aca="true">IF(ISNUMBER($J184),INDIRECT("S"&amp;($J184+4)),"")</f>
        <v/>
      </c>
      <c r="J184" s="292" t="str">
        <f aca="true">IF(180&lt;=$K$1,MATCH(179.5,INDIRECT("$K$4:$K$1374"),1),"")</f>
        <v/>
      </c>
      <c r="K184" s="292" t="n">
        <f aca="false">$K$132+COUNTIF($Q$133:Q184,"&gt;0")</f>
        <v>0</v>
      </c>
      <c r="L184" s="292" t="str">
        <f aca="false">"Кабели"</f>
        <v>Кабели</v>
      </c>
      <c r="M184" s="292" t="str">
        <f aca="false">IF(ISBLANK(Кабели!$A$187),"",Кабели!$A$187)</f>
        <v>BX19 Benefit зарядный дата кабель для Micro-USB</v>
      </c>
      <c r="N184" s="292" t="str">
        <f aca="false">IF(ISBLANK(Кабели!$D$188),"",Кабели!$D$188)</f>
        <v>6931474701787</v>
      </c>
      <c r="O184" s="292" t="str">
        <f aca="false">IF(ISBLANK(Кабели!$E$188),"",Кабели!$E$188)</f>
        <v>белый</v>
      </c>
      <c r="P184" s="292" t="str">
        <f aca="false">"ед."</f>
        <v>ед.</v>
      </c>
      <c r="Q184" s="292" t="n">
        <f aca="false">N(Кабели!$G$188)</f>
        <v>0</v>
      </c>
      <c r="R184" s="299" t="n">
        <f aca="false">IF(ISBLANK(Кабели!$F$188),"",Кабели!$F$188)</f>
        <v>33.43</v>
      </c>
      <c r="S184" s="292" t="str">
        <f aca="false">IF(ISBLANK(Кабели!$H$188),"",Кабели!$H$188)</f>
        <v/>
      </c>
    </row>
    <row r="185" customFormat="false" ht="66" hidden="false" customHeight="true" outlineLevel="0" collapsed="false">
      <c r="A185" s="291" t="str">
        <f aca="true">IF(ISNUMBER($J185),INDIRECT("L"&amp;($J185+4)),"")</f>
        <v/>
      </c>
      <c r="B185" s="291" t="str">
        <f aca="true">IF(ISNUMBER($J185),INDIRECT("M"&amp;($J185+4)),"")</f>
        <v/>
      </c>
      <c r="C185" s="296" t="str">
        <f aca="true">IF(ISNUMBER($J185),INDIRECT("N"&amp;($J185+4)),"")</f>
        <v/>
      </c>
      <c r="D185" s="291" t="str">
        <f aca="true">IF(ISNUMBER($J185),INDIRECT("O"&amp;($J185+4)),"")</f>
        <v/>
      </c>
      <c r="E185" s="291" t="str">
        <f aca="true">IF(ISNUMBER($J185),INDIRECT("P"&amp;($J185+4)),"")</f>
        <v/>
      </c>
      <c r="F185" s="300" t="str">
        <f aca="true">IF(ISNUMBER($J185),INDIRECT("Q"&amp;($J185+4)),"")</f>
        <v/>
      </c>
      <c r="G185" s="298" t="str">
        <f aca="true">IF(ISNUMBER($J185),INDIRECT("R"&amp;($J185+4)),"")</f>
        <v/>
      </c>
      <c r="H185" s="298" t="str">
        <f aca="true">IF(ISNUMBER($J185),INDIRECT("S"&amp;($J185+4)),"")</f>
        <v/>
      </c>
      <c r="J185" s="292" t="str">
        <f aca="true">IF(181&lt;=$K$1,MATCH(180.5,INDIRECT("$K$4:$K$1374"),1),"")</f>
        <v/>
      </c>
      <c r="K185" s="292" t="n">
        <f aca="false">$K$132+COUNTIF($Q$133:Q185,"&gt;0")</f>
        <v>0</v>
      </c>
      <c r="L185" s="292" t="str">
        <f aca="false">"Кабели"</f>
        <v>Кабели</v>
      </c>
      <c r="M185" s="292" t="str">
        <f aca="false">IF(ISBLANK(Кабели!$A$189),"",Кабели!$A$189)</f>
        <v>BX19 Benefit зарядный дата кабель для Type-C</v>
      </c>
      <c r="N185" s="292" t="str">
        <f aca="false">IF(ISBLANK(Кабели!$D$189),"",Кабели!$D$189)</f>
        <v>6931474701794</v>
      </c>
      <c r="O185" s="292" t="str">
        <f aca="false">IF(ISBLANK(Кабели!$E$189),"",Кабели!$E$189)</f>
        <v>черный</v>
      </c>
      <c r="P185" s="292" t="str">
        <f aca="false">"ед."</f>
        <v>ед.</v>
      </c>
      <c r="Q185" s="292" t="n">
        <f aca="false">N(Кабели!$G$189)</f>
        <v>0</v>
      </c>
      <c r="R185" s="299" t="n">
        <f aca="false">IF(ISBLANK(Кабели!$F$189),"",Кабели!$F$189)</f>
        <v>47.3</v>
      </c>
      <c r="S185" s="292" t="str">
        <f aca="false">IF(ISBLANK(Кабели!$H$189),"",Кабели!$H$189)</f>
        <v/>
      </c>
    </row>
    <row r="186" customFormat="false" ht="66" hidden="false" customHeight="true" outlineLevel="0" collapsed="false">
      <c r="A186" s="291" t="str">
        <f aca="true">IF(ISNUMBER($J186),INDIRECT("L"&amp;($J186+4)),"")</f>
        <v/>
      </c>
      <c r="B186" s="291" t="str">
        <f aca="true">IF(ISNUMBER($J186),INDIRECT("M"&amp;($J186+4)),"")</f>
        <v/>
      </c>
      <c r="C186" s="296" t="str">
        <f aca="true">IF(ISNUMBER($J186),INDIRECT("N"&amp;($J186+4)),"")</f>
        <v/>
      </c>
      <c r="D186" s="291" t="str">
        <f aca="true">IF(ISNUMBER($J186),INDIRECT("O"&amp;($J186+4)),"")</f>
        <v/>
      </c>
      <c r="E186" s="291" t="str">
        <f aca="true">IF(ISNUMBER($J186),INDIRECT("P"&amp;($J186+4)),"")</f>
        <v/>
      </c>
      <c r="F186" s="300" t="str">
        <f aca="true">IF(ISNUMBER($J186),INDIRECT("Q"&amp;($J186+4)),"")</f>
        <v/>
      </c>
      <c r="G186" s="298" t="str">
        <f aca="true">IF(ISNUMBER($J186),INDIRECT("R"&amp;($J186+4)),"")</f>
        <v/>
      </c>
      <c r="H186" s="298" t="str">
        <f aca="true">IF(ISNUMBER($J186),INDIRECT("S"&amp;($J186+4)),"")</f>
        <v/>
      </c>
      <c r="J186" s="292" t="str">
        <f aca="true">IF(182&lt;=$K$1,MATCH(181.5,INDIRECT("$K$4:$K$1374"),1),"")</f>
        <v/>
      </c>
      <c r="K186" s="292" t="n">
        <f aca="false">$K$132+COUNTIF($Q$133:Q186,"&gt;0")</f>
        <v>0</v>
      </c>
      <c r="L186" s="292" t="str">
        <f aca="false">"Кабели"</f>
        <v>Кабели</v>
      </c>
      <c r="M186" s="292" t="str">
        <f aca="false">IF(ISBLANK(Кабели!$A$189),"",Кабели!$A$189)</f>
        <v>BX19 Benefit зарядный дата кабель для Type-C</v>
      </c>
      <c r="N186" s="292" t="str">
        <f aca="false">IF(ISBLANK(Кабели!$D$190),"",Кабели!$D$190)</f>
        <v>6931474701800</v>
      </c>
      <c r="O186" s="292" t="str">
        <f aca="false">IF(ISBLANK(Кабели!$E$190),"",Кабели!$E$190)</f>
        <v>белый</v>
      </c>
      <c r="P186" s="292" t="str">
        <f aca="false">"ед."</f>
        <v>ед.</v>
      </c>
      <c r="Q186" s="292" t="n">
        <f aca="false">N(Кабели!$G$190)</f>
        <v>0</v>
      </c>
      <c r="R186" s="299" t="n">
        <f aca="false">IF(ISBLANK(Кабели!$F$190),"",Кабели!$F$190)</f>
        <v>47.3</v>
      </c>
      <c r="S186" s="292" t="str">
        <f aca="false">IF(ISBLANK(Кабели!$H$190),"",Кабели!$H$190)</f>
        <v/>
      </c>
    </row>
    <row r="187" customFormat="false" ht="66" hidden="false" customHeight="true" outlineLevel="0" collapsed="false">
      <c r="A187" s="291" t="str">
        <f aca="true">IF(ISNUMBER($J187),INDIRECT("L"&amp;($J187+4)),"")</f>
        <v/>
      </c>
      <c r="B187" s="291" t="str">
        <f aca="true">IF(ISNUMBER($J187),INDIRECT("M"&amp;($J187+4)),"")</f>
        <v/>
      </c>
      <c r="C187" s="296" t="str">
        <f aca="true">IF(ISNUMBER($J187),INDIRECT("N"&amp;($J187+4)),"")</f>
        <v/>
      </c>
      <c r="D187" s="291" t="str">
        <f aca="true">IF(ISNUMBER($J187),INDIRECT("O"&amp;($J187+4)),"")</f>
        <v/>
      </c>
      <c r="E187" s="291" t="str">
        <f aca="true">IF(ISNUMBER($J187),INDIRECT("P"&amp;($J187+4)),"")</f>
        <v/>
      </c>
      <c r="F187" s="300" t="str">
        <f aca="true">IF(ISNUMBER($J187),INDIRECT("Q"&amp;($J187+4)),"")</f>
        <v/>
      </c>
      <c r="G187" s="298" t="str">
        <f aca="true">IF(ISNUMBER($J187),INDIRECT("R"&amp;($J187+4)),"")</f>
        <v/>
      </c>
      <c r="H187" s="298" t="str">
        <f aca="true">IF(ISNUMBER($J187),INDIRECT("S"&amp;($J187+4)),"")</f>
        <v/>
      </c>
      <c r="J187" s="292" t="str">
        <f aca="true">IF(183&lt;=$K$1,MATCH(182.5,INDIRECT("$K$4:$K$1374"),1),"")</f>
        <v/>
      </c>
      <c r="K187" s="292" t="n">
        <f aca="false">$K$132+COUNTIF($Q$133:Q187,"&gt;0")</f>
        <v>0</v>
      </c>
      <c r="L187" s="292" t="str">
        <f aca="false">"Кабели"</f>
        <v>Кабели</v>
      </c>
      <c r="M187" s="292" t="str">
        <f aca="false">IF(ISBLANK(Кабели!$A$191),"",Кабели!$A$191)</f>
        <v>BX14 LinkJet USB кабель для iP (L=1м)</v>
      </c>
      <c r="N187" s="292" t="str">
        <f aca="false">IF(ISBLANK(Кабели!$D$191),"",Кабели!$D$191)</f>
        <v>6957531089971</v>
      </c>
      <c r="O187" s="292" t="str">
        <f aca="false">IF(ISBLANK(Кабели!$E$191),"",Кабели!$E$191)</f>
        <v>белый</v>
      </c>
      <c r="P187" s="292" t="str">
        <f aca="false">"ед."</f>
        <v>ед.</v>
      </c>
      <c r="Q187" s="292" t="n">
        <f aca="false">N(Кабели!$G$191)</f>
        <v>0</v>
      </c>
      <c r="R187" s="299" t="n">
        <f aca="false">IF(ISBLANK(Кабели!$F$191),"",Кабели!$F$191)</f>
        <v>61.98</v>
      </c>
      <c r="S187" s="292" t="str">
        <f aca="false">IF(ISBLANK(Кабели!$H$191),"",Кабели!$H$191)</f>
        <v/>
      </c>
    </row>
    <row r="188" customFormat="false" ht="66" hidden="false" customHeight="true" outlineLevel="0" collapsed="false">
      <c r="A188" s="291" t="str">
        <f aca="true">IF(ISNUMBER($J188),INDIRECT("L"&amp;($J188+4)),"")</f>
        <v/>
      </c>
      <c r="B188" s="291" t="str">
        <f aca="true">IF(ISNUMBER($J188),INDIRECT("M"&amp;($J188+4)),"")</f>
        <v/>
      </c>
      <c r="C188" s="296" t="str">
        <f aca="true">IF(ISNUMBER($J188),INDIRECT("N"&amp;($J188+4)),"")</f>
        <v/>
      </c>
      <c r="D188" s="291" t="str">
        <f aca="true">IF(ISNUMBER($J188),INDIRECT("O"&amp;($J188+4)),"")</f>
        <v/>
      </c>
      <c r="E188" s="291" t="str">
        <f aca="true">IF(ISNUMBER($J188),INDIRECT("P"&amp;($J188+4)),"")</f>
        <v/>
      </c>
      <c r="F188" s="300" t="str">
        <f aca="true">IF(ISNUMBER($J188),INDIRECT("Q"&amp;($J188+4)),"")</f>
        <v/>
      </c>
      <c r="G188" s="298" t="str">
        <f aca="true">IF(ISNUMBER($J188),INDIRECT("R"&amp;($J188+4)),"")</f>
        <v/>
      </c>
      <c r="H188" s="298" t="str">
        <f aca="true">IF(ISNUMBER($J188),INDIRECT("S"&amp;($J188+4)),"")</f>
        <v/>
      </c>
      <c r="J188" s="292" t="str">
        <f aca="true">IF(184&lt;=$K$1,MATCH(183.5,INDIRECT("$K$4:$K$1374"),1),"")</f>
        <v/>
      </c>
      <c r="K188" s="292" t="n">
        <f aca="false">$K$132+COUNTIF($Q$133:Q188,"&gt;0")</f>
        <v>0</v>
      </c>
      <c r="L188" s="292" t="str">
        <f aca="false">"Кабели"</f>
        <v>Кабели</v>
      </c>
      <c r="M188" s="292" t="str">
        <f aca="false">IF(ISBLANK(Кабели!$A$192),"",Кабели!$A$192)</f>
        <v>BX14 LinkJet USB кабель для Micro-USB (L=1м)</v>
      </c>
      <c r="N188" s="292" t="str">
        <f aca="false">IF(ISBLANK(Кабели!$D$192),"",Кабели!$D$192)</f>
        <v>6957531089988</v>
      </c>
      <c r="O188" s="292" t="str">
        <f aca="false">IF(ISBLANK(Кабели!$E$192),"",Кабели!$E$192)</f>
        <v>белый</v>
      </c>
      <c r="P188" s="292" t="str">
        <f aca="false">"ед."</f>
        <v>ед.</v>
      </c>
      <c r="Q188" s="292" t="n">
        <f aca="false">N(Кабели!$G$192)</f>
        <v>0</v>
      </c>
      <c r="R188" s="299" t="n">
        <f aca="false">IF(ISBLANK(Кабели!$F$192),"",Кабели!$F$192)</f>
        <v>45.67</v>
      </c>
      <c r="S188" s="292" t="str">
        <f aca="false">IF(ISBLANK(Кабели!$H$192),"",Кабели!$H$192)</f>
        <v/>
      </c>
    </row>
    <row r="189" customFormat="false" ht="66" hidden="false" customHeight="true" outlineLevel="0" collapsed="false">
      <c r="A189" s="291" t="str">
        <f aca="true">IF(ISNUMBER($J189),INDIRECT("L"&amp;($J189+4)),"")</f>
        <v/>
      </c>
      <c r="B189" s="291" t="str">
        <f aca="true">IF(ISNUMBER($J189),INDIRECT("M"&amp;($J189+4)),"")</f>
        <v/>
      </c>
      <c r="C189" s="296" t="str">
        <f aca="true">IF(ISNUMBER($J189),INDIRECT("N"&amp;($J189+4)),"")</f>
        <v/>
      </c>
      <c r="D189" s="291" t="str">
        <f aca="true">IF(ISNUMBER($J189),INDIRECT("O"&amp;($J189+4)),"")</f>
        <v/>
      </c>
      <c r="E189" s="291" t="str">
        <f aca="true">IF(ISNUMBER($J189),INDIRECT("P"&amp;($J189+4)),"")</f>
        <v/>
      </c>
      <c r="F189" s="300" t="str">
        <f aca="true">IF(ISNUMBER($J189),INDIRECT("Q"&amp;($J189+4)),"")</f>
        <v/>
      </c>
      <c r="G189" s="298" t="str">
        <f aca="true">IF(ISNUMBER($J189),INDIRECT("R"&amp;($J189+4)),"")</f>
        <v/>
      </c>
      <c r="H189" s="298" t="str">
        <f aca="true">IF(ISNUMBER($J189),INDIRECT("S"&amp;($J189+4)),"")</f>
        <v/>
      </c>
      <c r="J189" s="292" t="str">
        <f aca="true">IF(185&lt;=$K$1,MATCH(184.5,INDIRECT("$K$4:$K$1374"),1),"")</f>
        <v/>
      </c>
      <c r="K189" s="292" t="n">
        <f aca="false">$K$132+COUNTIF($Q$133:Q189,"&gt;0")</f>
        <v>0</v>
      </c>
      <c r="L189" s="292" t="str">
        <f aca="false">"Кабели"</f>
        <v>Кабели</v>
      </c>
      <c r="M189" s="292" t="str">
        <f aca="false">IF(ISBLANK(Кабели!$A$193),"",Кабели!$A$193)</f>
        <v>BX14 LinkJet USB кабель Type-С (L=1м)</v>
      </c>
      <c r="N189" s="292" t="str">
        <f aca="false">IF(ISBLANK(Кабели!$D$193),"",Кабели!$D$193)</f>
        <v>6957531089995</v>
      </c>
      <c r="O189" s="292" t="str">
        <f aca="false">IF(ISBLANK(Кабели!$E$193),"",Кабели!$E$193)</f>
        <v>белый</v>
      </c>
      <c r="P189" s="292" t="str">
        <f aca="false">"ед."</f>
        <v>ед.</v>
      </c>
      <c r="Q189" s="292" t="n">
        <f aca="false">N(Кабели!$G$193)</f>
        <v>0</v>
      </c>
      <c r="R189" s="299" t="n">
        <f aca="false">IF(ISBLANK(Кабели!$F$193),"",Кабели!$F$193)</f>
        <v>61.98</v>
      </c>
      <c r="S189" s="292" t="str">
        <f aca="false">IF(ISBLANK(Кабели!$H$193),"",Кабели!$H$193)</f>
        <v/>
      </c>
    </row>
    <row r="190" customFormat="false" ht="66" hidden="false" customHeight="true" outlineLevel="0" collapsed="false">
      <c r="A190" s="291" t="str">
        <f aca="true">IF(ISNUMBER($J190),INDIRECT("L"&amp;($J190+4)),"")</f>
        <v/>
      </c>
      <c r="B190" s="291" t="str">
        <f aca="true">IF(ISNUMBER($J190),INDIRECT("M"&amp;($J190+4)),"")</f>
        <v/>
      </c>
      <c r="C190" s="296" t="str">
        <f aca="true">IF(ISNUMBER($J190),INDIRECT("N"&amp;($J190+4)),"")</f>
        <v/>
      </c>
      <c r="D190" s="291" t="str">
        <f aca="true">IF(ISNUMBER($J190),INDIRECT("O"&amp;($J190+4)),"")</f>
        <v/>
      </c>
      <c r="E190" s="291" t="str">
        <f aca="true">IF(ISNUMBER($J190),INDIRECT("P"&amp;($J190+4)),"")</f>
        <v/>
      </c>
      <c r="F190" s="300" t="str">
        <f aca="true">IF(ISNUMBER($J190),INDIRECT("Q"&amp;($J190+4)),"")</f>
        <v/>
      </c>
      <c r="G190" s="298" t="str">
        <f aca="true">IF(ISNUMBER($J190),INDIRECT("R"&amp;($J190+4)),"")</f>
        <v/>
      </c>
      <c r="H190" s="298" t="str">
        <f aca="true">IF(ISNUMBER($J190),INDIRECT("S"&amp;($J190+4)),"")</f>
        <v/>
      </c>
      <c r="J190" s="292" t="str">
        <f aca="true">IF(186&lt;=$K$1,MATCH(185.5,INDIRECT("$K$4:$K$1374"),1),"")</f>
        <v/>
      </c>
      <c r="K190" s="292" t="n">
        <f aca="false">$K$132+COUNTIF($Q$133:Q190,"&gt;0")</f>
        <v>0</v>
      </c>
      <c r="L190" s="292" t="str">
        <f aca="false">"Кабели"</f>
        <v>Кабели</v>
      </c>
      <c r="M190" s="292" t="str">
        <f aca="false">IF(ISBLANK(Кабели!$A$194),"",Кабели!$A$194)</f>
        <v>BX14 LinkJet USB кабель для iP (L=2м)</v>
      </c>
      <c r="N190" s="292" t="str">
        <f aca="false">IF(ISBLANK(Кабели!$D$194),"",Кабели!$D$194)</f>
        <v>6957531090007</v>
      </c>
      <c r="O190" s="292" t="str">
        <f aca="false">IF(ISBLANK(Кабели!$E$194),"",Кабели!$E$194)</f>
        <v>белый</v>
      </c>
      <c r="P190" s="292" t="str">
        <f aca="false">"ед."</f>
        <v>ед.</v>
      </c>
      <c r="Q190" s="292" t="n">
        <f aca="false">N(Кабели!$G$194)</f>
        <v>0</v>
      </c>
      <c r="R190" s="299" t="n">
        <f aca="false">IF(ISBLANK(Кабели!$F$194),"",Кабели!$F$194)</f>
        <v>89.7</v>
      </c>
      <c r="S190" s="292" t="str">
        <f aca="false">IF(ISBLANK(Кабели!$H$194),"",Кабели!$H$194)</f>
        <v/>
      </c>
    </row>
    <row r="191" customFormat="false" ht="66" hidden="false" customHeight="true" outlineLevel="0" collapsed="false">
      <c r="A191" s="291" t="str">
        <f aca="true">IF(ISNUMBER($J191),INDIRECT("L"&amp;($J191+4)),"")</f>
        <v/>
      </c>
      <c r="B191" s="291" t="str">
        <f aca="true">IF(ISNUMBER($J191),INDIRECT("M"&amp;($J191+4)),"")</f>
        <v/>
      </c>
      <c r="C191" s="296" t="str">
        <f aca="true">IF(ISNUMBER($J191),INDIRECT("N"&amp;($J191+4)),"")</f>
        <v/>
      </c>
      <c r="D191" s="291" t="str">
        <f aca="true">IF(ISNUMBER($J191),INDIRECT("O"&amp;($J191+4)),"")</f>
        <v/>
      </c>
      <c r="E191" s="291" t="str">
        <f aca="true">IF(ISNUMBER($J191),INDIRECT("P"&amp;($J191+4)),"")</f>
        <v/>
      </c>
      <c r="F191" s="300" t="str">
        <f aca="true">IF(ISNUMBER($J191),INDIRECT("Q"&amp;($J191+4)),"")</f>
        <v/>
      </c>
      <c r="G191" s="298" t="str">
        <f aca="true">IF(ISNUMBER($J191),INDIRECT("R"&amp;($J191+4)),"")</f>
        <v/>
      </c>
      <c r="H191" s="298" t="str">
        <f aca="true">IF(ISNUMBER($J191),INDIRECT("S"&amp;($J191+4)),"")</f>
        <v/>
      </c>
      <c r="J191" s="292" t="str">
        <f aca="true">IF(187&lt;=$K$1,MATCH(186.5,INDIRECT("$K$4:$K$1374"),1),"")</f>
        <v/>
      </c>
      <c r="K191" s="292" t="n">
        <f aca="false">$K$132+COUNTIF($Q$133:Q191,"&gt;0")</f>
        <v>0</v>
      </c>
      <c r="L191" s="292" t="str">
        <f aca="false">"Кабели"</f>
        <v>Кабели</v>
      </c>
      <c r="M191" s="292" t="str">
        <f aca="false">IF(ISBLANK(Кабели!$A$195),"",Кабели!$A$195)</f>
        <v>BX14 LinkJet USB кабель для Micro-USB (L=2м)</v>
      </c>
      <c r="N191" s="292" t="str">
        <f aca="false">IF(ISBLANK(Кабели!$D$195),"",Кабели!$D$195)</f>
        <v>6957531090014</v>
      </c>
      <c r="O191" s="292" t="str">
        <f aca="false">IF(ISBLANK(Кабели!$E$195),"",Кабели!$E$195)</f>
        <v>белый</v>
      </c>
      <c r="P191" s="292" t="str">
        <f aca="false">"ед."</f>
        <v>ед.</v>
      </c>
      <c r="Q191" s="292" t="n">
        <f aca="false">N(Кабели!$G$195)</f>
        <v>0</v>
      </c>
      <c r="R191" s="299" t="n">
        <f aca="false">IF(ISBLANK(Кабели!$F$195),"",Кабели!$F$195)</f>
        <v>73.39</v>
      </c>
      <c r="S191" s="292" t="str">
        <f aca="false">IF(ISBLANK(Кабели!$H$195),"",Кабели!$H$195)</f>
        <v/>
      </c>
    </row>
    <row r="192" customFormat="false" ht="66" hidden="false" customHeight="true" outlineLevel="0" collapsed="false">
      <c r="A192" s="291" t="str">
        <f aca="true">IF(ISNUMBER($J192),INDIRECT("L"&amp;($J192+4)),"")</f>
        <v/>
      </c>
      <c r="B192" s="291" t="str">
        <f aca="true">IF(ISNUMBER($J192),INDIRECT("M"&amp;($J192+4)),"")</f>
        <v/>
      </c>
      <c r="C192" s="296" t="str">
        <f aca="true">IF(ISNUMBER($J192),INDIRECT("N"&amp;($J192+4)),"")</f>
        <v/>
      </c>
      <c r="D192" s="291" t="str">
        <f aca="true">IF(ISNUMBER($J192),INDIRECT("O"&amp;($J192+4)),"")</f>
        <v/>
      </c>
      <c r="E192" s="291" t="str">
        <f aca="true">IF(ISNUMBER($J192),INDIRECT("P"&amp;($J192+4)),"")</f>
        <v/>
      </c>
      <c r="F192" s="300" t="str">
        <f aca="true">IF(ISNUMBER($J192),INDIRECT("Q"&amp;($J192+4)),"")</f>
        <v/>
      </c>
      <c r="G192" s="298" t="str">
        <f aca="true">IF(ISNUMBER($J192),INDIRECT("R"&amp;($J192+4)),"")</f>
        <v/>
      </c>
      <c r="H192" s="298" t="str">
        <f aca="true">IF(ISNUMBER($J192),INDIRECT("S"&amp;($J192+4)),"")</f>
        <v/>
      </c>
      <c r="J192" s="292" t="str">
        <f aca="true">IF(188&lt;=$K$1,MATCH(187.5,INDIRECT("$K$4:$K$1374"),1),"")</f>
        <v/>
      </c>
      <c r="K192" s="292" t="n">
        <f aca="false">$K$132+COUNTIF($Q$133:Q192,"&gt;0")</f>
        <v>0</v>
      </c>
      <c r="L192" s="292" t="str">
        <f aca="false">"Кабели"</f>
        <v>Кабели</v>
      </c>
      <c r="M192" s="292" t="str">
        <f aca="false">IF(ISBLANK(Кабели!$A$196),"",Кабели!$A$196)</f>
        <v>BX14 LinkJet USB кабель для Type-С (L=2м)</v>
      </c>
      <c r="N192" s="292" t="str">
        <f aca="false">IF(ISBLANK(Кабели!$D$196),"",Кабели!$D$196)</f>
        <v>6957531090021</v>
      </c>
      <c r="O192" s="292" t="str">
        <f aca="false">IF(ISBLANK(Кабели!$E$196),"",Кабели!$E$196)</f>
        <v>белый</v>
      </c>
      <c r="P192" s="292" t="str">
        <f aca="false">"ед."</f>
        <v>ед.</v>
      </c>
      <c r="Q192" s="292" t="n">
        <f aca="false">N(Кабели!$G$196)</f>
        <v>0</v>
      </c>
      <c r="R192" s="299" t="n">
        <f aca="false">IF(ISBLANK(Кабели!$F$196),"",Кабели!$F$196)</f>
        <v>89.7</v>
      </c>
      <c r="S192" s="292" t="str">
        <f aca="false">IF(ISBLANK(Кабели!$H$196),"",Кабели!$H$196)</f>
        <v/>
      </c>
    </row>
    <row r="193" customFormat="false" ht="66" hidden="false" customHeight="true" outlineLevel="0" collapsed="false">
      <c r="A193" s="291" t="str">
        <f aca="true">IF(ISNUMBER($J193),INDIRECT("L"&amp;($J193+4)),"")</f>
        <v/>
      </c>
      <c r="B193" s="291" t="str">
        <f aca="true">IF(ISNUMBER($J193),INDIRECT("M"&amp;($J193+4)),"")</f>
        <v/>
      </c>
      <c r="C193" s="296" t="str">
        <f aca="true">IF(ISNUMBER($J193),INDIRECT("N"&amp;($J193+4)),"")</f>
        <v/>
      </c>
      <c r="D193" s="291" t="str">
        <f aca="true">IF(ISNUMBER($J193),INDIRECT("O"&amp;($J193+4)),"")</f>
        <v/>
      </c>
      <c r="E193" s="291" t="str">
        <f aca="true">IF(ISNUMBER($J193),INDIRECT("P"&amp;($J193+4)),"")</f>
        <v/>
      </c>
      <c r="F193" s="300" t="str">
        <f aca="true">IF(ISNUMBER($J193),INDIRECT("Q"&amp;($J193+4)),"")</f>
        <v/>
      </c>
      <c r="G193" s="298" t="str">
        <f aca="true">IF(ISNUMBER($J193),INDIRECT("R"&amp;($J193+4)),"")</f>
        <v/>
      </c>
      <c r="H193" s="298" t="str">
        <f aca="true">IF(ISNUMBER($J193),INDIRECT("S"&amp;($J193+4)),"")</f>
        <v/>
      </c>
      <c r="J193" s="292" t="str">
        <f aca="true">IF(189&lt;=$K$1,MATCH(188.5,INDIRECT("$K$4:$K$1374"),1),"")</f>
        <v/>
      </c>
      <c r="K193" s="292" t="n">
        <f aca="false">$K$132+COUNTIF($Q$133:Q193,"&gt;0")</f>
        <v>0</v>
      </c>
      <c r="L193" s="292" t="str">
        <f aca="false">"Кабели"</f>
        <v>Кабели</v>
      </c>
      <c r="M193" s="292" t="str">
        <f aca="false">IF(ISBLANK(Кабели!$A$197),"",Кабели!$A$197)</f>
        <v>BX14 LinkJet USB кабель для  iP (L=3м)</v>
      </c>
      <c r="N193" s="292" t="str">
        <f aca="false">IF(ISBLANK(Кабели!$D$197),"",Кабели!$D$197)</f>
        <v>6957531090373</v>
      </c>
      <c r="O193" s="292" t="str">
        <f aca="false">IF(ISBLANK(Кабели!$E$197),"",Кабели!$E$197)</f>
        <v>белый</v>
      </c>
      <c r="P193" s="292" t="str">
        <f aca="false">"ед."</f>
        <v>ед.</v>
      </c>
      <c r="Q193" s="292" t="n">
        <f aca="false">N(Кабели!$G$197)</f>
        <v>0</v>
      </c>
      <c r="R193" s="299" t="n">
        <f aca="false">IF(ISBLANK(Кабели!$F$197),"",Кабели!$F$197)</f>
        <v>122.32</v>
      </c>
      <c r="S193" s="292" t="str">
        <f aca="false">IF(ISBLANK(Кабели!$H$197),"",Кабели!$H$197)</f>
        <v/>
      </c>
    </row>
    <row r="194" customFormat="false" ht="66" hidden="false" customHeight="true" outlineLevel="0" collapsed="false">
      <c r="A194" s="291" t="str">
        <f aca="true">IF(ISNUMBER($J194),INDIRECT("L"&amp;($J194+4)),"")</f>
        <v/>
      </c>
      <c r="B194" s="291" t="str">
        <f aca="true">IF(ISNUMBER($J194),INDIRECT("M"&amp;($J194+4)),"")</f>
        <v/>
      </c>
      <c r="C194" s="296" t="str">
        <f aca="true">IF(ISNUMBER($J194),INDIRECT("N"&amp;($J194+4)),"")</f>
        <v/>
      </c>
      <c r="D194" s="291" t="str">
        <f aca="true">IF(ISNUMBER($J194),INDIRECT("O"&amp;($J194+4)),"")</f>
        <v/>
      </c>
      <c r="E194" s="291" t="str">
        <f aca="true">IF(ISNUMBER($J194),INDIRECT("P"&amp;($J194+4)),"")</f>
        <v/>
      </c>
      <c r="F194" s="300" t="str">
        <f aca="true">IF(ISNUMBER($J194),INDIRECT("Q"&amp;($J194+4)),"")</f>
        <v/>
      </c>
      <c r="G194" s="298" t="str">
        <f aca="true">IF(ISNUMBER($J194),INDIRECT("R"&amp;($J194+4)),"")</f>
        <v/>
      </c>
      <c r="H194" s="298" t="str">
        <f aca="true">IF(ISNUMBER($J194),INDIRECT("S"&amp;($J194+4)),"")</f>
        <v/>
      </c>
      <c r="J194" s="292" t="str">
        <f aca="true">IF(190&lt;=$K$1,MATCH(189.5,INDIRECT("$K$4:$K$1374"),1),"")</f>
        <v/>
      </c>
      <c r="K194" s="292" t="n">
        <f aca="false">$K$132+COUNTIF($Q$133:Q194,"&gt;0")</f>
        <v>0</v>
      </c>
      <c r="L194" s="292" t="str">
        <f aca="false">"Кабели"</f>
        <v>Кабели</v>
      </c>
      <c r="M194" s="292" t="str">
        <f aca="false">IF(ISBLANK(Кабели!$A$198),"",Кабели!$A$198)</f>
        <v>BX14 LinkJet USB кабель для Micro-USB (L=3м)</v>
      </c>
      <c r="N194" s="292" t="str">
        <f aca="false">IF(ISBLANK(Кабели!$D$198),"",Кабели!$D$198)</f>
        <v>6957531090380</v>
      </c>
      <c r="O194" s="292" t="str">
        <f aca="false">IF(ISBLANK(Кабели!$E$198),"",Кабели!$E$198)</f>
        <v>белый</v>
      </c>
      <c r="P194" s="292" t="str">
        <f aca="false">"ед."</f>
        <v>ед.</v>
      </c>
      <c r="Q194" s="292" t="n">
        <f aca="false">N(Кабели!$G$198)</f>
        <v>0</v>
      </c>
      <c r="R194" s="299" t="n">
        <f aca="false">IF(ISBLANK(Кабели!$F$198),"",Кабели!$F$198)</f>
        <v>106.01</v>
      </c>
      <c r="S194" s="292" t="str">
        <f aca="false">IF(ISBLANK(Кабели!$H$198),"",Кабели!$H$198)</f>
        <v/>
      </c>
    </row>
    <row r="195" customFormat="false" ht="66" hidden="false" customHeight="true" outlineLevel="0" collapsed="false">
      <c r="A195" s="291" t="str">
        <f aca="true">IF(ISNUMBER($J195),INDIRECT("L"&amp;($J195+4)),"")</f>
        <v/>
      </c>
      <c r="B195" s="291" t="str">
        <f aca="true">IF(ISNUMBER($J195),INDIRECT("M"&amp;($J195+4)),"")</f>
        <v/>
      </c>
      <c r="C195" s="296" t="str">
        <f aca="true">IF(ISNUMBER($J195),INDIRECT("N"&amp;($J195+4)),"")</f>
        <v/>
      </c>
      <c r="D195" s="291" t="str">
        <f aca="true">IF(ISNUMBER($J195),INDIRECT("O"&amp;($J195+4)),"")</f>
        <v/>
      </c>
      <c r="E195" s="291" t="str">
        <f aca="true">IF(ISNUMBER($J195),INDIRECT("P"&amp;($J195+4)),"")</f>
        <v/>
      </c>
      <c r="F195" s="300" t="str">
        <f aca="true">IF(ISNUMBER($J195),INDIRECT("Q"&amp;($J195+4)),"")</f>
        <v/>
      </c>
      <c r="G195" s="298" t="str">
        <f aca="true">IF(ISNUMBER($J195),INDIRECT("R"&amp;($J195+4)),"")</f>
        <v/>
      </c>
      <c r="H195" s="298" t="str">
        <f aca="true">IF(ISNUMBER($J195),INDIRECT("S"&amp;($J195+4)),"")</f>
        <v/>
      </c>
      <c r="J195" s="292" t="str">
        <f aca="true">IF(191&lt;=$K$1,MATCH(190.5,INDIRECT("$K$4:$K$1374"),1),"")</f>
        <v/>
      </c>
      <c r="K195" s="292" t="n">
        <f aca="false">$K$132+COUNTIF($Q$133:Q195,"&gt;0")</f>
        <v>0</v>
      </c>
      <c r="L195" s="292" t="str">
        <f aca="false">"Кабели"</f>
        <v>Кабели</v>
      </c>
      <c r="M195" s="292" t="str">
        <f aca="false">IF(ISBLANK(Кабели!$A$199),"",Кабели!$A$199)</f>
        <v>BX14 LinkJet USB кабель для Type-С (L=3м)</v>
      </c>
      <c r="N195" s="292" t="str">
        <f aca="false">IF(ISBLANK(Кабели!$D$199),"",Кабели!$D$199)</f>
        <v>6957531090397</v>
      </c>
      <c r="O195" s="292" t="str">
        <f aca="false">IF(ISBLANK(Кабели!$E$199),"",Кабели!$E$199)</f>
        <v>белый</v>
      </c>
      <c r="P195" s="292" t="str">
        <f aca="false">"ед."</f>
        <v>ед.</v>
      </c>
      <c r="Q195" s="292" t="n">
        <f aca="false">N(Кабели!$G$199)</f>
        <v>0</v>
      </c>
      <c r="R195" s="299" t="n">
        <f aca="false">IF(ISBLANK(Кабели!$F$199),"",Кабели!$F$199)</f>
        <v>122.32</v>
      </c>
      <c r="S195" s="292" t="str">
        <f aca="false">IF(ISBLANK(Кабели!$H$199),"",Кабели!$H$199)</f>
        <v/>
      </c>
    </row>
    <row r="196" customFormat="false" ht="66" hidden="false" customHeight="true" outlineLevel="0" collapsed="false">
      <c r="A196" s="291" t="str">
        <f aca="true">IF(ISNUMBER($J196),INDIRECT("L"&amp;($J196+4)),"")</f>
        <v/>
      </c>
      <c r="B196" s="291" t="str">
        <f aca="true">IF(ISNUMBER($J196),INDIRECT("M"&amp;($J196+4)),"")</f>
        <v/>
      </c>
      <c r="C196" s="296" t="str">
        <f aca="true">IF(ISNUMBER($J196),INDIRECT("N"&amp;($J196+4)),"")</f>
        <v/>
      </c>
      <c r="D196" s="291" t="str">
        <f aca="true">IF(ISNUMBER($J196),INDIRECT("O"&amp;($J196+4)),"")</f>
        <v/>
      </c>
      <c r="E196" s="291" t="str">
        <f aca="true">IF(ISNUMBER($J196),INDIRECT("P"&amp;($J196+4)),"")</f>
        <v/>
      </c>
      <c r="F196" s="300" t="str">
        <f aca="true">IF(ISNUMBER($J196),INDIRECT("Q"&amp;($J196+4)),"")</f>
        <v/>
      </c>
      <c r="G196" s="298" t="str">
        <f aca="true">IF(ISNUMBER($J196),INDIRECT("R"&amp;($J196+4)),"")</f>
        <v/>
      </c>
      <c r="H196" s="298" t="str">
        <f aca="true">IF(ISNUMBER($J196),INDIRECT("S"&amp;($J196+4)),"")</f>
        <v/>
      </c>
      <c r="J196" s="292" t="str">
        <f aca="true">IF(192&lt;=$K$1,MATCH(191.5,INDIRECT("$K$4:$K$1374"),1),"")</f>
        <v/>
      </c>
      <c r="K196" s="292" t="n">
        <f aca="false">$K$132+COUNTIF($Q$133:Q196,"&gt;0")</f>
        <v>0</v>
      </c>
      <c r="L196" s="292" t="str">
        <f aca="false">"Переходники и хабы"</f>
        <v>Переходники и хабы</v>
      </c>
      <c r="M196" s="292" t="str">
        <f aca="false">IF(ISBLANK('Переходники и хабы'!$A$5),"",'Переходники и хабы'!$A$5)</f>
        <v>FH1 4-в-1 конвертер (USB на USB2.0*3+USB3.0)</v>
      </c>
      <c r="N196" s="292" t="str">
        <f aca="false">IF(ISBLANK('Переходники и хабы'!$D$5),"",'Переходники и хабы'!$D$5)</f>
        <v>6941991126116</v>
      </c>
      <c r="O196" s="292" t="str">
        <f aca="false">IF(ISBLANK('Переходники и хабы'!$E$5),"",'Переходники и хабы'!$E$5)</f>
        <v>металлик</v>
      </c>
      <c r="P196" s="292" t="str">
        <f aca="false">"ед."</f>
        <v>ед.</v>
      </c>
      <c r="Q196" s="292" t="n">
        <f aca="false">N('Переходники и хабы'!$G$5)</f>
        <v>0</v>
      </c>
      <c r="R196" s="299" t="n">
        <f aca="false">IF(ISBLANK('Переходники и хабы'!$F$5),"",'Переходники и хабы'!$F$5)</f>
        <v>120.69</v>
      </c>
      <c r="S196" s="292" t="str">
        <f aca="false">IF(ISBLANK('Переходники и хабы'!$H$5),"",'Переходники и хабы'!$H$5)</f>
        <v/>
      </c>
    </row>
    <row r="197" customFormat="false" ht="66" hidden="false" customHeight="true" outlineLevel="0" collapsed="false">
      <c r="A197" s="291" t="str">
        <f aca="true">IF(ISNUMBER($J197),INDIRECT("L"&amp;($J197+4)),"")</f>
        <v/>
      </c>
      <c r="B197" s="291" t="str">
        <f aca="true">IF(ISNUMBER($J197),INDIRECT("M"&amp;($J197+4)),"")</f>
        <v/>
      </c>
      <c r="C197" s="296" t="str">
        <f aca="true">IF(ISNUMBER($J197),INDIRECT("N"&amp;($J197+4)),"")</f>
        <v/>
      </c>
      <c r="D197" s="291" t="str">
        <f aca="true">IF(ISNUMBER($J197),INDIRECT("O"&amp;($J197+4)),"")</f>
        <v/>
      </c>
      <c r="E197" s="291" t="str">
        <f aca="true">IF(ISNUMBER($J197),INDIRECT("P"&amp;($J197+4)),"")</f>
        <v/>
      </c>
      <c r="F197" s="300" t="str">
        <f aca="true">IF(ISNUMBER($J197),INDIRECT("Q"&amp;($J197+4)),"")</f>
        <v/>
      </c>
      <c r="G197" s="298" t="str">
        <f aca="true">IF(ISNUMBER($J197),INDIRECT("R"&amp;($J197+4)),"")</f>
        <v/>
      </c>
      <c r="H197" s="298" t="str">
        <f aca="true">IF(ISNUMBER($J197),INDIRECT("S"&amp;($J197+4)),"")</f>
        <v/>
      </c>
      <c r="J197" s="292" t="str">
        <f aca="true">IF(193&lt;=$K$1,MATCH(192.5,INDIRECT("$K$4:$K$1374"),1),"")</f>
        <v/>
      </c>
      <c r="K197" s="292" t="n">
        <f aca="false">$K$132+COUNTIF($Q$133:Q197,"&gt;0")</f>
        <v>0</v>
      </c>
      <c r="L197" s="292" t="str">
        <f aca="false">"Переходники и хабы"</f>
        <v>Переходники и хабы</v>
      </c>
      <c r="M197" s="292" t="str">
        <f aca="false">IF(ISBLANK('Переходники и хабы'!$A$6),"",'Переходники и хабы'!$A$6)</f>
        <v>FH1A 4-в-1 конвертер (Type-C на USB2.0*3+USB3.0)</v>
      </c>
      <c r="N197" s="292" t="str">
        <f aca="false">IF(ISBLANK('Переходники и хабы'!$D$6),"",'Переходники и хабы'!$D$6)</f>
        <v>6941991126123</v>
      </c>
      <c r="O197" s="292" t="str">
        <f aca="false">IF(ISBLANK('Переходники и хабы'!$E$6),"",'Переходники и хабы'!$E$6)</f>
        <v>металлик</v>
      </c>
      <c r="P197" s="292" t="str">
        <f aca="false">"ед."</f>
        <v>ед.</v>
      </c>
      <c r="Q197" s="292" t="n">
        <f aca="false">N('Переходники и хабы'!$G$6)</f>
        <v>0</v>
      </c>
      <c r="R197" s="299" t="n">
        <f aca="false">IF(ISBLANK('Переходники и хабы'!$F$6),"",'Переходники и хабы'!$F$6)</f>
        <v>120.69</v>
      </c>
      <c r="S197" s="292" t="str">
        <f aca="false">IF(ISBLANK('Переходники и хабы'!$H$6),"",'Переходники и хабы'!$H$6)</f>
        <v/>
      </c>
    </row>
    <row r="198" customFormat="false" ht="66" hidden="false" customHeight="true" outlineLevel="0" collapsed="false">
      <c r="A198" s="291" t="str">
        <f aca="true">IF(ISNUMBER($J198),INDIRECT("L"&amp;($J198+4)),"")</f>
        <v/>
      </c>
      <c r="B198" s="291" t="str">
        <f aca="true">IF(ISNUMBER($J198),INDIRECT("M"&amp;($J198+4)),"")</f>
        <v/>
      </c>
      <c r="C198" s="296" t="str">
        <f aca="true">IF(ISNUMBER($J198),INDIRECT("N"&amp;($J198+4)),"")</f>
        <v/>
      </c>
      <c r="D198" s="291" t="str">
        <f aca="true">IF(ISNUMBER($J198),INDIRECT("O"&amp;($J198+4)),"")</f>
        <v/>
      </c>
      <c r="E198" s="291" t="str">
        <f aca="true">IF(ISNUMBER($J198),INDIRECT("P"&amp;($J198+4)),"")</f>
        <v/>
      </c>
      <c r="F198" s="300" t="str">
        <f aca="true">IF(ISNUMBER($J198),INDIRECT("Q"&amp;($J198+4)),"")</f>
        <v/>
      </c>
      <c r="G198" s="298" t="str">
        <f aca="true">IF(ISNUMBER($J198),INDIRECT("R"&amp;($J198+4)),"")</f>
        <v/>
      </c>
      <c r="H198" s="298" t="str">
        <f aca="true">IF(ISNUMBER($J198),INDIRECT("S"&amp;($J198+4)),"")</f>
        <v/>
      </c>
      <c r="J198" s="292" t="str">
        <f aca="true">IF(194&lt;=$K$1,MATCH(193.5,INDIRECT("$K$4:$K$1374"),1),"")</f>
        <v/>
      </c>
      <c r="K198" s="292" t="n">
        <f aca="false">$K$132+COUNTIF($Q$133:Q198,"&gt;0")</f>
        <v>0</v>
      </c>
      <c r="L198" s="292" t="str">
        <f aca="false">"Переходники и хабы"</f>
        <v>Переходники и хабы</v>
      </c>
      <c r="M198" s="292" t="str">
        <f aca="false">IF(ISBLANK('Переходники и хабы'!$A$9),"",'Переходники и хабы'!$A$9)</f>
        <v>DH8 USB BT адаптер</v>
      </c>
      <c r="N198" s="292" t="str">
        <f aca="false">IF(ISBLANK('Переходники и хабы'!$D$9),"",'Переходники и хабы'!$D$9)</f>
        <v>6941991109652</v>
      </c>
      <c r="O198" s="292" t="str">
        <f aca="false">IF(ISBLANK('Переходники и хабы'!$E$9),"",'Переходники и хабы'!$E$9)</f>
        <v>черный</v>
      </c>
      <c r="P198" s="292" t="str">
        <f aca="false">"ед."</f>
        <v>ед.</v>
      </c>
      <c r="Q198" s="292" t="n">
        <f aca="false">N('Переходники и хабы'!$G$9)</f>
        <v>0</v>
      </c>
      <c r="R198" s="299" t="n">
        <f aca="false">IF(ISBLANK('Переходники и хабы'!$F$9),"",'Переходники и хабы'!$F$9)</f>
        <v>171.25</v>
      </c>
      <c r="S198" s="292" t="str">
        <f aca="false">IF(ISBLANK('Переходники и хабы'!$H$9),"",'Переходники и хабы'!$H$9)</f>
        <v/>
      </c>
    </row>
    <row r="199" customFormat="false" ht="66" hidden="false" customHeight="true" outlineLevel="0" collapsed="false">
      <c r="A199" s="291" t="str">
        <f aca="true">IF(ISNUMBER($J199),INDIRECT("L"&amp;($J199+4)),"")</f>
        <v/>
      </c>
      <c r="B199" s="291" t="str">
        <f aca="true">IF(ISNUMBER($J199),INDIRECT("M"&amp;($J199+4)),"")</f>
        <v/>
      </c>
      <c r="C199" s="296" t="str">
        <f aca="true">IF(ISNUMBER($J199),INDIRECT("N"&amp;($J199+4)),"")</f>
        <v/>
      </c>
      <c r="D199" s="291" t="str">
        <f aca="true">IF(ISNUMBER($J199),INDIRECT("O"&amp;($J199+4)),"")</f>
        <v/>
      </c>
      <c r="E199" s="291" t="str">
        <f aca="true">IF(ISNUMBER($J199),INDIRECT("P"&amp;($J199+4)),"")</f>
        <v/>
      </c>
      <c r="F199" s="300" t="str">
        <f aca="true">IF(ISNUMBER($J199),INDIRECT("Q"&amp;($J199+4)),"")</f>
        <v/>
      </c>
      <c r="G199" s="298" t="str">
        <f aca="true">IF(ISNUMBER($J199),INDIRECT("R"&amp;($J199+4)),"")</f>
        <v/>
      </c>
      <c r="H199" s="298" t="str">
        <f aca="true">IF(ISNUMBER($J199),INDIRECT("S"&amp;($J199+4)),"")</f>
        <v/>
      </c>
      <c r="J199" s="292" t="str">
        <f aca="true">IF(195&lt;=$K$1,MATCH(194.5,INDIRECT("$K$4:$K$1374"),1),"")</f>
        <v/>
      </c>
      <c r="K199" s="292" t="n">
        <f aca="false">$K$132+COUNTIF($Q$133:Q199,"&gt;0")</f>
        <v>0</v>
      </c>
      <c r="L199" s="292" t="str">
        <f aca="false">"Переходники и хабы"</f>
        <v>Переходники и хабы</v>
      </c>
      <c r="M199" s="292" t="str">
        <f aca="false">IF(ISBLANK('Переходники и хабы'!$A$12),"",'Переходники и хабы'!$A$12)</f>
        <v>BV26 iP штекер на USB гнездо USB2.0 адаптер</v>
      </c>
      <c r="N199" s="292" t="str">
        <f aca="false">IF(ISBLANK('Переходники и хабы'!$D$12),"",'Переходники и хабы'!$D$12)</f>
        <v>6941991123979</v>
      </c>
      <c r="O199" s="292" t="str">
        <f aca="false">IF(ISBLANK('Переходники и хабы'!$E$12),"",'Переходники и хабы'!$E$12)</f>
        <v>чёрный</v>
      </c>
      <c r="P199" s="292" t="str">
        <f aca="false">"ед."</f>
        <v>ед.</v>
      </c>
      <c r="Q199" s="292" t="n">
        <f aca="false">N('Переходники и хабы'!$G$12)</f>
        <v>0</v>
      </c>
      <c r="R199" s="299" t="n">
        <f aca="false">IF(ISBLANK('Переходники и хабы'!$F$12),"",'Переходники и хабы'!$F$12)</f>
        <v>89.7</v>
      </c>
      <c r="S199" s="292" t="str">
        <f aca="false">IF(ISBLANK('Переходники и хабы'!$H$12),"",'Переходники и хабы'!$H$12)</f>
        <v/>
      </c>
    </row>
    <row r="200" customFormat="false" ht="66" hidden="false" customHeight="true" outlineLevel="0" collapsed="false">
      <c r="A200" s="291" t="str">
        <f aca="true">IF(ISNUMBER($J200),INDIRECT("L"&amp;($J200+4)),"")</f>
        <v/>
      </c>
      <c r="B200" s="291" t="str">
        <f aca="true">IF(ISNUMBER($J200),INDIRECT("M"&amp;($J200+4)),"")</f>
        <v/>
      </c>
      <c r="C200" s="296" t="str">
        <f aca="true">IF(ISNUMBER($J200),INDIRECT("N"&amp;($J200+4)),"")</f>
        <v/>
      </c>
      <c r="D200" s="291" t="str">
        <f aca="true">IF(ISNUMBER($J200),INDIRECT("O"&amp;($J200+4)),"")</f>
        <v/>
      </c>
      <c r="E200" s="291" t="str">
        <f aca="true">IF(ISNUMBER($J200),INDIRECT("P"&amp;($J200+4)),"")</f>
        <v/>
      </c>
      <c r="F200" s="300" t="str">
        <f aca="true">IF(ISNUMBER($J200),INDIRECT("Q"&amp;($J200+4)),"")</f>
        <v/>
      </c>
      <c r="G200" s="298" t="str">
        <f aca="true">IF(ISNUMBER($J200),INDIRECT("R"&amp;($J200+4)),"")</f>
        <v/>
      </c>
      <c r="H200" s="298" t="str">
        <f aca="true">IF(ISNUMBER($J200),INDIRECT("S"&amp;($J200+4)),"")</f>
        <v/>
      </c>
      <c r="J200" s="292" t="str">
        <f aca="true">IF(196&lt;=$K$1,MATCH(195.5,INDIRECT("$K$4:$K$1374"),1),"")</f>
        <v/>
      </c>
      <c r="K200" s="292" t="n">
        <f aca="false">$K$132+COUNTIF($Q$133:Q200,"&gt;0")</f>
        <v>0</v>
      </c>
      <c r="L200" s="292" t="str">
        <f aca="false">"Переходники и хабы"</f>
        <v>Переходники и хабы</v>
      </c>
      <c r="M200" s="292" t="str">
        <f aca="false">IF(ISBLANK('Переходники и хабы'!$A$13),"",'Переходники и хабы'!$A$13)</f>
        <v>BV26A iP штекер на Type-C гнездо USB2.0 адаптер</v>
      </c>
      <c r="N200" s="292" t="str">
        <f aca="false">IF(ISBLANK('Переходники и хабы'!$D$13),"",'Переходники и хабы'!$D$13)</f>
        <v>6941991123986</v>
      </c>
      <c r="O200" s="292" t="str">
        <f aca="false">IF(ISBLANK('Переходники и хабы'!$E$13),"",'Переходники и хабы'!$E$13)</f>
        <v>чёрный</v>
      </c>
      <c r="P200" s="292" t="str">
        <f aca="false">"ед."</f>
        <v>ед.</v>
      </c>
      <c r="Q200" s="292" t="n">
        <f aca="false">N('Переходники и хабы'!$G$13)</f>
        <v>0</v>
      </c>
      <c r="R200" s="299" t="n">
        <f aca="false">IF(ISBLANK('Переходники и хабы'!$F$13),"",'Переходники и хабы'!$F$13)</f>
        <v>58.71</v>
      </c>
      <c r="S200" s="292" t="str">
        <f aca="false">IF(ISBLANK('Переходники и хабы'!$H$13),"",'Переходники и хабы'!$H$13)</f>
        <v/>
      </c>
    </row>
    <row r="201" customFormat="false" ht="66" hidden="false" customHeight="true" outlineLevel="0" collapsed="false">
      <c r="A201" s="291" t="str">
        <f aca="true">IF(ISNUMBER($J201),INDIRECT("L"&amp;($J201+4)),"")</f>
        <v/>
      </c>
      <c r="B201" s="291" t="str">
        <f aca="true">IF(ISNUMBER($J201),INDIRECT("M"&amp;($J201+4)),"")</f>
        <v/>
      </c>
      <c r="C201" s="296" t="str">
        <f aca="true">IF(ISNUMBER($J201),INDIRECT("N"&amp;($J201+4)),"")</f>
        <v/>
      </c>
      <c r="D201" s="291" t="str">
        <f aca="true">IF(ISNUMBER($J201),INDIRECT("O"&amp;($J201+4)),"")</f>
        <v/>
      </c>
      <c r="E201" s="291" t="str">
        <f aca="true">IF(ISNUMBER($J201),INDIRECT("P"&amp;($J201+4)),"")</f>
        <v/>
      </c>
      <c r="F201" s="300" t="str">
        <f aca="true">IF(ISNUMBER($J201),INDIRECT("Q"&amp;($J201+4)),"")</f>
        <v/>
      </c>
      <c r="G201" s="298" t="str">
        <f aca="true">IF(ISNUMBER($J201),INDIRECT("R"&amp;($J201+4)),"")</f>
        <v/>
      </c>
      <c r="H201" s="298" t="str">
        <f aca="true">IF(ISNUMBER($J201),INDIRECT("S"&amp;($J201+4)),"")</f>
        <v/>
      </c>
      <c r="J201" s="292" t="str">
        <f aca="true">IF(197&lt;=$K$1,MATCH(196.5,INDIRECT("$K$4:$K$1374"),1),"")</f>
        <v/>
      </c>
      <c r="K201" s="292" t="n">
        <f aca="false">$K$132+COUNTIF($Q$133:Q201,"&gt;0")</f>
        <v>0</v>
      </c>
      <c r="L201" s="292" t="str">
        <f aca="false">"Переходники и хабы"</f>
        <v>Переходники и хабы</v>
      </c>
      <c r="M201" s="292" t="str">
        <f aca="false">IF(ISBLANK('Переходники и хабы'!$A$14),"",'Переходники и хабы'!$A$14)</f>
        <v>BV26B USB штекер на Type-C гнездо USB3.0 адаптер</v>
      </c>
      <c r="N201" s="292" t="str">
        <f aca="false">IF(ISBLANK('Переходники и хабы'!$D$14),"",'Переходники и хабы'!$D$14)</f>
        <v>6941991123993</v>
      </c>
      <c r="O201" s="292" t="str">
        <f aca="false">IF(ISBLANK('Переходники и хабы'!$E$14),"",'Переходники и хабы'!$E$14)</f>
        <v>чёрный</v>
      </c>
      <c r="P201" s="292" t="str">
        <f aca="false">"ед."</f>
        <v>ед.</v>
      </c>
      <c r="Q201" s="292" t="n">
        <f aca="false">N('Переходники и хабы'!$G$14)</f>
        <v>0</v>
      </c>
      <c r="R201" s="299" t="n">
        <f aca="false">IF(ISBLANK('Переходники и хабы'!$F$14),"",'Переходники и хабы'!$F$14)</f>
        <v>34.25</v>
      </c>
      <c r="S201" s="292" t="str">
        <f aca="false">IF(ISBLANK('Переходники и хабы'!$H$14),"",'Переходники и хабы'!$H$14)</f>
        <v/>
      </c>
    </row>
    <row r="202" customFormat="false" ht="66" hidden="false" customHeight="true" outlineLevel="0" collapsed="false">
      <c r="A202" s="291" t="str">
        <f aca="true">IF(ISNUMBER($J202),INDIRECT("L"&amp;($J202+4)),"")</f>
        <v/>
      </c>
      <c r="B202" s="291" t="str">
        <f aca="true">IF(ISNUMBER($J202),INDIRECT("M"&amp;($J202+4)),"")</f>
        <v/>
      </c>
      <c r="C202" s="296" t="str">
        <f aca="true">IF(ISNUMBER($J202),INDIRECT("N"&amp;($J202+4)),"")</f>
        <v/>
      </c>
      <c r="D202" s="291" t="str">
        <f aca="true">IF(ISNUMBER($J202),INDIRECT("O"&amp;($J202+4)),"")</f>
        <v/>
      </c>
      <c r="E202" s="291" t="str">
        <f aca="true">IF(ISNUMBER($J202),INDIRECT("P"&amp;($J202+4)),"")</f>
        <v/>
      </c>
      <c r="F202" s="300" t="str">
        <f aca="true">IF(ISNUMBER($J202),INDIRECT("Q"&amp;($J202+4)),"")</f>
        <v/>
      </c>
      <c r="G202" s="298" t="str">
        <f aca="true">IF(ISNUMBER($J202),INDIRECT("R"&amp;($J202+4)),"")</f>
        <v/>
      </c>
      <c r="H202" s="298" t="str">
        <f aca="true">IF(ISNUMBER($J202),INDIRECT("S"&amp;($J202+4)),"")</f>
        <v/>
      </c>
      <c r="J202" s="292" t="str">
        <f aca="true">IF(198&lt;=$K$1,MATCH(197.5,INDIRECT("$K$4:$K$1374"),1),"")</f>
        <v/>
      </c>
      <c r="K202" s="292" t="n">
        <f aca="false">$K$132+COUNTIF($Q$133:Q202,"&gt;0")</f>
        <v>0</v>
      </c>
      <c r="L202" s="292" t="str">
        <f aca="false">"Переходники и хабы"</f>
        <v>Переходники и хабы</v>
      </c>
      <c r="M202" s="292" t="str">
        <f aca="false">IF(ISBLANK('Переходники и хабы'!$A$15),"",'Переходники и хабы'!$A$15)</f>
        <v>BV26C Type-C штекер на USB гнездо USB3.0 адаптер</v>
      </c>
      <c r="N202" s="292" t="str">
        <f aca="false">IF(ISBLANK('Переходники и хабы'!$D$15),"",'Переходники и хабы'!$D$15)</f>
        <v>6941991123962</v>
      </c>
      <c r="O202" s="292" t="str">
        <f aca="false">IF(ISBLANK('Переходники и хабы'!$E$15),"",'Переходники и хабы'!$E$15)</f>
        <v>чёрный</v>
      </c>
      <c r="P202" s="292" t="str">
        <f aca="false">"ед."</f>
        <v>ед.</v>
      </c>
      <c r="Q202" s="292" t="n">
        <f aca="false">N('Переходники и хабы'!$G$15)</f>
        <v>0</v>
      </c>
      <c r="R202" s="299" t="n">
        <f aca="false">IF(ISBLANK('Переходники и хабы'!$F$15),"",'Переходники и хабы'!$F$15)</f>
        <v>26.1</v>
      </c>
      <c r="S202" s="292" t="str">
        <f aca="false">IF(ISBLANK('Переходники и хабы'!$H$15),"",'Переходники и хабы'!$H$15)</f>
        <v/>
      </c>
    </row>
    <row r="203" customFormat="false" ht="66" hidden="false" customHeight="true" outlineLevel="0" collapsed="false">
      <c r="A203" s="291" t="str">
        <f aca="true">IF(ISNUMBER($J203),INDIRECT("L"&amp;($J203+4)),"")</f>
        <v/>
      </c>
      <c r="B203" s="291" t="str">
        <f aca="true">IF(ISNUMBER($J203),INDIRECT("M"&amp;($J203+4)),"")</f>
        <v/>
      </c>
      <c r="C203" s="296" t="str">
        <f aca="true">IF(ISNUMBER($J203),INDIRECT("N"&amp;($J203+4)),"")</f>
        <v/>
      </c>
      <c r="D203" s="291" t="str">
        <f aca="true">IF(ISNUMBER($J203),INDIRECT("O"&amp;($J203+4)),"")</f>
        <v/>
      </c>
      <c r="E203" s="291" t="str">
        <f aca="true">IF(ISNUMBER($J203),INDIRECT("P"&amp;($J203+4)),"")</f>
        <v/>
      </c>
      <c r="F203" s="300" t="str">
        <f aca="true">IF(ISNUMBER($J203),INDIRECT("Q"&amp;($J203+4)),"")</f>
        <v/>
      </c>
      <c r="G203" s="298" t="str">
        <f aca="true">IF(ISNUMBER($J203),INDIRECT("R"&amp;($J203+4)),"")</f>
        <v/>
      </c>
      <c r="H203" s="298" t="str">
        <f aca="true">IF(ISNUMBER($J203),INDIRECT("S"&amp;($J203+4)),"")</f>
        <v/>
      </c>
      <c r="J203" s="292" t="str">
        <f aca="true">IF(199&lt;=$K$1,MATCH(198.5,INDIRECT("$K$4:$K$1374"),1),"")</f>
        <v/>
      </c>
      <c r="K203" s="292" t="n">
        <f aca="false">$K$132+COUNTIF($Q$133:Q203,"&gt;0")</f>
        <v>0</v>
      </c>
      <c r="L203" s="292" t="str">
        <f aca="false">"Переходники и хабы"</f>
        <v>Переходники и хабы</v>
      </c>
      <c r="M203" s="292" t="str">
        <f aca="false">IF(ISBLANK('Переходники и хабы'!$A$16),"",'Переходники и хабы'!$A$16)</f>
        <v>BV26D iP штекер/Type-C штекер/Micro штекер на USB гнездо USB2.0 3-в-1 адаптер</v>
      </c>
      <c r="N203" s="292" t="str">
        <f aca="false">IF(ISBLANK('Переходники и хабы'!$D$16),"",'Переходники и хабы'!$D$16)</f>
        <v>6941991124006</v>
      </c>
      <c r="O203" s="292" t="str">
        <f aca="false">IF(ISBLANK('Переходники и хабы'!$E$16),"",'Переходники и хабы'!$E$16)</f>
        <v>чёрный</v>
      </c>
      <c r="P203" s="292" t="str">
        <f aca="false">"ед."</f>
        <v>ед.</v>
      </c>
      <c r="Q203" s="292" t="n">
        <f aca="false">N('Переходники и хабы'!$G$16)</f>
        <v>0</v>
      </c>
      <c r="R203" s="299" t="n">
        <f aca="false">IF(ISBLANK('Переходники и хабы'!$F$16),"",'Переходники и хабы'!$F$16)</f>
        <v>138.63</v>
      </c>
      <c r="S203" s="292" t="str">
        <f aca="false">IF(ISBLANK('Переходники и хабы'!$H$16),"",'Переходники и хабы'!$H$16)</f>
        <v/>
      </c>
    </row>
    <row r="204" customFormat="false" ht="66" hidden="false" customHeight="true" outlineLevel="0" collapsed="false">
      <c r="A204" s="291" t="str">
        <f aca="true">IF(ISNUMBER($J204),INDIRECT("L"&amp;($J204+4)),"")</f>
        <v/>
      </c>
      <c r="B204" s="291" t="str">
        <f aca="true">IF(ISNUMBER($J204),INDIRECT("M"&amp;($J204+4)),"")</f>
        <v/>
      </c>
      <c r="C204" s="296" t="str">
        <f aca="true">IF(ISNUMBER($J204),INDIRECT("N"&amp;($J204+4)),"")</f>
        <v/>
      </c>
      <c r="D204" s="291" t="str">
        <f aca="true">IF(ISNUMBER($J204),INDIRECT("O"&amp;($J204+4)),"")</f>
        <v/>
      </c>
      <c r="E204" s="291" t="str">
        <f aca="true">IF(ISNUMBER($J204),INDIRECT("P"&amp;($J204+4)),"")</f>
        <v/>
      </c>
      <c r="F204" s="300" t="str">
        <f aca="true">IF(ISNUMBER($J204),INDIRECT("Q"&amp;($J204+4)),"")</f>
        <v/>
      </c>
      <c r="G204" s="298" t="str">
        <f aca="true">IF(ISNUMBER($J204),INDIRECT("R"&amp;($J204+4)),"")</f>
        <v/>
      </c>
      <c r="H204" s="298" t="str">
        <f aca="true">IF(ISNUMBER($J204),INDIRECT("S"&amp;($J204+4)),"")</f>
        <v/>
      </c>
      <c r="J204" s="292" t="str">
        <f aca="true">IF(200&lt;=$K$1,MATCH(199.5,INDIRECT("$K$4:$K$1374"),1),"")</f>
        <v/>
      </c>
      <c r="K204" s="292" t="n">
        <f aca="false">$K$132+COUNTIF($Q$133:Q204,"&gt;0")</f>
        <v>0</v>
      </c>
      <c r="L204" s="292" t="str">
        <f aca="false">"Переходники и хабы"</f>
        <v>Переходники и хабы</v>
      </c>
      <c r="M204" s="292" t="str">
        <f aca="false">IF(ISBLANK('Переходники и хабы'!$A$17),"",'Переходники и хабы'!$A$17)</f>
        <v>BV18 USB штекер на Type-C гнездо USB2.0 адаптер</v>
      </c>
      <c r="N204" s="292" t="str">
        <f aca="false">IF(ISBLANK('Переходники и хабы'!$D$17),"",'Переходники и хабы'!$D$17)</f>
        <v>6941991104008</v>
      </c>
      <c r="O204" s="292" t="str">
        <f aca="false">IF(ISBLANK('Переходники и хабы'!$E$17),"",'Переходники и хабы'!$E$17)</f>
        <v>черный</v>
      </c>
      <c r="P204" s="292" t="str">
        <f aca="false">"ед."</f>
        <v>ед.</v>
      </c>
      <c r="Q204" s="292" t="n">
        <f aca="false">N('Переходники и хабы'!$G$17)</f>
        <v>0</v>
      </c>
      <c r="R204" s="299" t="n">
        <f aca="false">IF(ISBLANK('Переходники и хабы'!$F$17),"",'Переходники и хабы'!$F$17)</f>
        <v>68.5</v>
      </c>
      <c r="S204" s="292" t="str">
        <f aca="false">IF(ISBLANK('Переходники и хабы'!$H$17),"",'Переходники и хабы'!$H$17)</f>
        <v/>
      </c>
    </row>
    <row r="205" customFormat="false" ht="66" hidden="false" customHeight="true" outlineLevel="0" collapsed="false">
      <c r="A205" s="291" t="str">
        <f aca="true">IF(ISNUMBER($J205),INDIRECT("L"&amp;($J205+4)),"")</f>
        <v/>
      </c>
      <c r="B205" s="291" t="str">
        <f aca="true">IF(ISNUMBER($J205),INDIRECT("M"&amp;($J205+4)),"")</f>
        <v/>
      </c>
      <c r="C205" s="296" t="str">
        <f aca="true">IF(ISNUMBER($J205),INDIRECT("N"&amp;($J205+4)),"")</f>
        <v/>
      </c>
      <c r="D205" s="291" t="str">
        <f aca="true">IF(ISNUMBER($J205),INDIRECT("O"&amp;($J205+4)),"")</f>
        <v/>
      </c>
      <c r="E205" s="291" t="str">
        <f aca="true">IF(ISNUMBER($J205),INDIRECT("P"&amp;($J205+4)),"")</f>
        <v/>
      </c>
      <c r="F205" s="300" t="str">
        <f aca="true">IF(ISNUMBER($J205),INDIRECT("Q"&amp;($J205+4)),"")</f>
        <v/>
      </c>
      <c r="G205" s="298" t="str">
        <f aca="true">IF(ISNUMBER($J205),INDIRECT("R"&amp;($J205+4)),"")</f>
        <v/>
      </c>
      <c r="H205" s="298" t="str">
        <f aca="true">IF(ISNUMBER($J205),INDIRECT("S"&amp;($J205+4)),"")</f>
        <v/>
      </c>
      <c r="J205" s="292" t="str">
        <f aca="true">IF(201&lt;=$K$1,MATCH(200.5,INDIRECT("$K$4:$K$1374"),1),"")</f>
        <v/>
      </c>
      <c r="K205" s="292" t="n">
        <f aca="false">$K$132+COUNTIF($Q$133:Q205,"&gt;0")</f>
        <v>0</v>
      </c>
      <c r="L205" s="292" t="str">
        <f aca="false">"Переходники и хабы"</f>
        <v>Переходники и хабы</v>
      </c>
      <c r="M205" s="292" t="str">
        <f aca="false">IF(ISBLANK('Переходники и хабы'!$A$18),"",'Переходники и хабы'!$A$18)</f>
        <v>BV18 Type-C штекер на USB гнездо USB3.0 адаптер</v>
      </c>
      <c r="N205" s="292" t="str">
        <f aca="false">IF(ISBLANK('Переходники и хабы'!$D$18),"",'Переходники и хабы'!$D$18)</f>
        <v>6941991104015</v>
      </c>
      <c r="O205" s="292" t="str">
        <f aca="false">IF(ISBLANK('Переходники и хабы'!$E$18),"",'Переходники и хабы'!$E$18)</f>
        <v>черный</v>
      </c>
      <c r="P205" s="292" t="str">
        <f aca="false">"ед."</f>
        <v>ед.</v>
      </c>
      <c r="Q205" s="292" t="n">
        <f aca="false">N('Переходники и хабы'!$G$18)</f>
        <v>0</v>
      </c>
      <c r="R205" s="299" t="n">
        <f aca="false">IF(ISBLANK('Переходники и хабы'!$F$18),"",'Переходники и хабы'!$F$18)</f>
        <v>68.5</v>
      </c>
      <c r="S205" s="292" t="str">
        <f aca="false">IF(ISBLANK('Переходники и хабы'!$H$18),"",'Переходники и хабы'!$H$18)</f>
        <v/>
      </c>
    </row>
    <row r="206" customFormat="false" ht="66" hidden="false" customHeight="true" outlineLevel="0" collapsed="false">
      <c r="A206" s="291" t="str">
        <f aca="true">IF(ISNUMBER($J206),INDIRECT("L"&amp;($J206+4)),"")</f>
        <v/>
      </c>
      <c r="B206" s="291" t="str">
        <f aca="true">IF(ISNUMBER($J206),INDIRECT("M"&amp;($J206+4)),"")</f>
        <v/>
      </c>
      <c r="C206" s="296" t="str">
        <f aca="true">IF(ISNUMBER($J206),INDIRECT("N"&amp;($J206+4)),"")</f>
        <v/>
      </c>
      <c r="D206" s="291" t="str">
        <f aca="true">IF(ISNUMBER($J206),INDIRECT("O"&amp;($J206+4)),"")</f>
        <v/>
      </c>
      <c r="E206" s="291" t="str">
        <f aca="true">IF(ISNUMBER($J206),INDIRECT("P"&amp;($J206+4)),"")</f>
        <v/>
      </c>
      <c r="F206" s="300" t="str">
        <f aca="true">IF(ISNUMBER($J206),INDIRECT("Q"&amp;($J206+4)),"")</f>
        <v/>
      </c>
      <c r="G206" s="298" t="str">
        <f aca="true">IF(ISNUMBER($J206),INDIRECT("R"&amp;($J206+4)),"")</f>
        <v/>
      </c>
      <c r="H206" s="298" t="str">
        <f aca="true">IF(ISNUMBER($J206),INDIRECT("S"&amp;($J206+4)),"")</f>
        <v/>
      </c>
      <c r="J206" s="292" t="str">
        <f aca="true">IF(202&lt;=$K$1,MATCH(201.5,INDIRECT("$K$4:$K$1374"),1),"")</f>
        <v/>
      </c>
      <c r="K206" s="292" t="n">
        <f aca="false">$K$132+COUNTIF($Q$133:Q206,"&gt;0")</f>
        <v>0</v>
      </c>
      <c r="L206" s="292" t="str">
        <f aca="false">"Переходники и хабы"</f>
        <v>Переходники и хабы</v>
      </c>
      <c r="M206" s="292" t="str">
        <f aca="false">IF(ISBLANK('Переходники и хабы'!$A$19),"",'Переходники и хабы'!$A$19)</f>
        <v>BV3 Type-C OTG адаптер</v>
      </c>
      <c r="N206" s="292" t="str">
        <f aca="false">IF(ISBLANK('Переходники и хабы'!$D$19),"",'Переходники и хабы'!$D$19)</f>
        <v>6957531090328</v>
      </c>
      <c r="O206" s="292" t="str">
        <f aca="false">IF(ISBLANK('Переходники и хабы'!$E$19),"",'Переходники и хабы'!$E$19)</f>
        <v>серебро</v>
      </c>
      <c r="P206" s="292" t="str">
        <f aca="false">"ед."</f>
        <v>ед.</v>
      </c>
      <c r="Q206" s="292" t="n">
        <f aca="false">N('Переходники и хабы'!$G$19)</f>
        <v>0</v>
      </c>
      <c r="R206" s="299" t="n">
        <f aca="false">IF(ISBLANK('Переходники и хабы'!$F$19),"",'Переходники и хабы'!$F$19)</f>
        <v>81.55</v>
      </c>
      <c r="S206" s="292" t="str">
        <f aca="false">IF(ISBLANK('Переходники и хабы'!$H$19),"",'Переходники и хабы'!$H$19)</f>
        <v/>
      </c>
    </row>
    <row r="207" customFormat="false" ht="66" hidden="false" customHeight="true" outlineLevel="0" collapsed="false">
      <c r="A207" s="291" t="str">
        <f aca="true">IF(ISNUMBER($J207),INDIRECT("L"&amp;($J207+4)),"")</f>
        <v/>
      </c>
      <c r="B207" s="291" t="str">
        <f aca="true">IF(ISNUMBER($J207),INDIRECT("M"&amp;($J207+4)),"")</f>
        <v/>
      </c>
      <c r="C207" s="296" t="str">
        <f aca="true">IF(ISNUMBER($J207),INDIRECT("N"&amp;($J207+4)),"")</f>
        <v/>
      </c>
      <c r="D207" s="291" t="str">
        <f aca="true">IF(ISNUMBER($J207),INDIRECT("O"&amp;($J207+4)),"")</f>
        <v/>
      </c>
      <c r="E207" s="291" t="str">
        <f aca="true">IF(ISNUMBER($J207),INDIRECT("P"&amp;($J207+4)),"")</f>
        <v/>
      </c>
      <c r="F207" s="300" t="str">
        <f aca="true">IF(ISNUMBER($J207),INDIRECT("Q"&amp;($J207+4)),"")</f>
        <v/>
      </c>
      <c r="G207" s="298" t="str">
        <f aca="true">IF(ISNUMBER($J207),INDIRECT("R"&amp;($J207+4)),"")</f>
        <v/>
      </c>
      <c r="H207" s="298" t="str">
        <f aca="true">IF(ISNUMBER($J207),INDIRECT("S"&amp;($J207+4)),"")</f>
        <v/>
      </c>
      <c r="J207" s="292" t="str">
        <f aca="true">IF(203&lt;=$K$1,MATCH(202.5,INDIRECT("$K$4:$K$1374"),1),"")</f>
        <v/>
      </c>
      <c r="K207" s="292" t="n">
        <f aca="false">$K$132+COUNTIF($Q$133:Q207,"&gt;0")</f>
        <v>0</v>
      </c>
      <c r="L207" s="292" t="str">
        <f aca="false">"Переходники и хабы"</f>
        <v>Переходники и хабы</v>
      </c>
      <c r="M207" s="292" t="str">
        <f aca="false">IF(ISBLANK('Переходники и хабы'!$A$22),"",'Переходники и хабы'!$A$22)</f>
        <v>BUS01 Category 6 Gigabit network cable(L=1M)</v>
      </c>
      <c r="N207" s="292" t="str">
        <f aca="false">IF(ISBLANK('Переходники и хабы'!$D$22),"",'Переходники и хабы'!$D$22)</f>
        <v>6941991103933</v>
      </c>
      <c r="O207" s="292" t="str">
        <f aca="false">IF(ISBLANK('Переходники и хабы'!$E$22),"",'Переходники и хабы'!$E$22)</f>
        <v>черный</v>
      </c>
      <c r="P207" s="292" t="str">
        <f aca="false">"ед."</f>
        <v>ед.</v>
      </c>
      <c r="Q207" s="292" t="n">
        <f aca="false">N('Переходники и хабы'!$G$22)</f>
        <v>0</v>
      </c>
      <c r="R207" s="299" t="n">
        <f aca="false">IF(ISBLANK('Переходники и хабы'!$F$22),"",'Переходники и хабы'!$F$22)</f>
        <v>73.39</v>
      </c>
      <c r="S207" s="292" t="str">
        <f aca="false">IF(ISBLANK('Переходники и хабы'!$H$22),"",'Переходники и хабы'!$H$22)</f>
        <v/>
      </c>
    </row>
    <row r="208" customFormat="false" ht="66" hidden="false" customHeight="true" outlineLevel="0" collapsed="false">
      <c r="A208" s="291" t="str">
        <f aca="true">IF(ISNUMBER($J208),INDIRECT("L"&amp;($J208+4)),"")</f>
        <v/>
      </c>
      <c r="B208" s="291" t="str">
        <f aca="true">IF(ISNUMBER($J208),INDIRECT("M"&amp;($J208+4)),"")</f>
        <v/>
      </c>
      <c r="C208" s="296" t="str">
        <f aca="true">IF(ISNUMBER($J208),INDIRECT("N"&amp;($J208+4)),"")</f>
        <v/>
      </c>
      <c r="D208" s="291" t="str">
        <f aca="true">IF(ISNUMBER($J208),INDIRECT("O"&amp;($J208+4)),"")</f>
        <v/>
      </c>
      <c r="E208" s="291" t="str">
        <f aca="true">IF(ISNUMBER($J208),INDIRECT("P"&amp;($J208+4)),"")</f>
        <v/>
      </c>
      <c r="F208" s="300" t="str">
        <f aca="true">IF(ISNUMBER($J208),INDIRECT("Q"&amp;($J208+4)),"")</f>
        <v/>
      </c>
      <c r="G208" s="298" t="str">
        <f aca="true">IF(ISNUMBER($J208),INDIRECT("R"&amp;($J208+4)),"")</f>
        <v/>
      </c>
      <c r="H208" s="298" t="str">
        <f aca="true">IF(ISNUMBER($J208),INDIRECT("S"&amp;($J208+4)),"")</f>
        <v/>
      </c>
      <c r="J208" s="292" t="str">
        <f aca="true">IF(204&lt;=$K$1,MATCH(203.5,INDIRECT("$K$4:$K$1374"),1),"")</f>
        <v/>
      </c>
      <c r="K208" s="292" t="n">
        <f aca="false">$K$132+COUNTIF($Q$133:Q208,"&gt;0")</f>
        <v>0</v>
      </c>
      <c r="L208" s="292" t="str">
        <f aca="false">"Переходники и хабы"</f>
        <v>Переходники и хабы</v>
      </c>
      <c r="M208" s="292" t="str">
        <f aca="false">IF(ISBLANK('Переходники и хабы'!$A$23),"",'Переходники и хабы'!$A$23)</f>
        <v>BUS01 Category 6 Gigabit network cable(L=3M)</v>
      </c>
      <c r="N208" s="292" t="str">
        <f aca="false">IF(ISBLANK('Переходники и хабы'!$D$23),"",'Переходники и хабы'!$D$23)</f>
        <v>6941991103940</v>
      </c>
      <c r="O208" s="292" t="str">
        <f aca="false">IF(ISBLANK('Переходники и хабы'!$E$23),"",'Переходники и хабы'!$E$23)</f>
        <v>черный</v>
      </c>
      <c r="P208" s="292" t="str">
        <f aca="false">"ед."</f>
        <v>ед.</v>
      </c>
      <c r="Q208" s="292" t="n">
        <f aca="false">N('Переходники и хабы'!$G$23)</f>
        <v>0</v>
      </c>
      <c r="R208" s="299" t="n">
        <f aca="false">IF(ISBLANK('Переходники и хабы'!$F$23),"",'Переходники и хабы'!$F$23)</f>
        <v>97.86</v>
      </c>
      <c r="S208" s="292" t="str">
        <f aca="false">IF(ISBLANK('Переходники и хабы'!$H$23),"",'Переходники и хабы'!$H$23)</f>
        <v/>
      </c>
    </row>
    <row r="209" customFormat="false" ht="66" hidden="false" customHeight="true" outlineLevel="0" collapsed="false">
      <c r="A209" s="291" t="str">
        <f aca="true">IF(ISNUMBER($J209),INDIRECT("L"&amp;($J209+4)),"")</f>
        <v/>
      </c>
      <c r="B209" s="291" t="str">
        <f aca="true">IF(ISNUMBER($J209),INDIRECT("M"&amp;($J209+4)),"")</f>
        <v/>
      </c>
      <c r="C209" s="296" t="str">
        <f aca="true">IF(ISNUMBER($J209),INDIRECT("N"&amp;($J209+4)),"")</f>
        <v/>
      </c>
      <c r="D209" s="291" t="str">
        <f aca="true">IF(ISNUMBER($J209),INDIRECT("O"&amp;($J209+4)),"")</f>
        <v/>
      </c>
      <c r="E209" s="291" t="str">
        <f aca="true">IF(ISNUMBER($J209),INDIRECT("P"&amp;($J209+4)),"")</f>
        <v/>
      </c>
      <c r="F209" s="300" t="str">
        <f aca="true">IF(ISNUMBER($J209),INDIRECT("Q"&amp;($J209+4)),"")</f>
        <v/>
      </c>
      <c r="G209" s="298" t="str">
        <f aca="true">IF(ISNUMBER($J209),INDIRECT("R"&amp;($J209+4)),"")</f>
        <v/>
      </c>
      <c r="H209" s="298" t="str">
        <f aca="true">IF(ISNUMBER($J209),INDIRECT("S"&amp;($J209+4)),"")</f>
        <v/>
      </c>
      <c r="J209" s="292" t="str">
        <f aca="true">IF(205&lt;=$K$1,MATCH(204.5,INDIRECT("$K$4:$K$1374"),1),"")</f>
        <v/>
      </c>
      <c r="K209" s="292" t="n">
        <f aca="false">$K$132+COUNTIF($Q$133:Q209,"&gt;0")</f>
        <v>0</v>
      </c>
      <c r="L209" s="292" t="str">
        <f aca="false">"Переходники и хабы"</f>
        <v>Переходники и хабы</v>
      </c>
      <c r="M209" s="292" t="str">
        <f aca="false">IF(ISBLANK('Переходники и хабы'!$A$24),"",'Переходники и хабы'!$A$24)</f>
        <v>BUS01 Category 6 Gigabit network cable(L=5M)</v>
      </c>
      <c r="N209" s="292" t="str">
        <f aca="false">IF(ISBLANK('Переходники и хабы'!$D$24),"",'Переходники и хабы'!$D$24)</f>
        <v>6941991103957</v>
      </c>
      <c r="O209" s="292" t="str">
        <f aca="false">IF(ISBLANK('Переходники и хабы'!$E$24),"",'Переходники и хабы'!$E$24)</f>
        <v>черный</v>
      </c>
      <c r="P209" s="292" t="str">
        <f aca="false">"ед."</f>
        <v>ед.</v>
      </c>
      <c r="Q209" s="292" t="n">
        <f aca="false">N('Переходники и хабы'!$G$24)</f>
        <v>0</v>
      </c>
      <c r="R209" s="299" t="n">
        <f aca="false">IF(ISBLANK('Переходники и хабы'!$F$24),"",'Переходники и хабы'!$F$24)</f>
        <v>146.78</v>
      </c>
      <c r="S209" s="292" t="str">
        <f aca="false">IF(ISBLANK('Переходники и хабы'!$H$24),"",'Переходники и хабы'!$H$24)</f>
        <v/>
      </c>
    </row>
    <row r="210" customFormat="false" ht="66" hidden="false" customHeight="true" outlineLevel="0" collapsed="false">
      <c r="A210" s="291" t="str">
        <f aca="true">IF(ISNUMBER($J210),INDIRECT("L"&amp;($J210+4)),"")</f>
        <v/>
      </c>
      <c r="B210" s="291" t="str">
        <f aca="true">IF(ISNUMBER($J210),INDIRECT("M"&amp;($J210+4)),"")</f>
        <v/>
      </c>
      <c r="C210" s="296" t="str">
        <f aca="true">IF(ISNUMBER($J210),INDIRECT("N"&amp;($J210+4)),"")</f>
        <v/>
      </c>
      <c r="D210" s="291" t="str">
        <f aca="true">IF(ISNUMBER($J210),INDIRECT("O"&amp;($J210+4)),"")</f>
        <v/>
      </c>
      <c r="E210" s="291" t="str">
        <f aca="true">IF(ISNUMBER($J210),INDIRECT("P"&amp;($J210+4)),"")</f>
        <v/>
      </c>
      <c r="F210" s="300" t="str">
        <f aca="true">IF(ISNUMBER($J210),INDIRECT("Q"&amp;($J210+4)),"")</f>
        <v/>
      </c>
      <c r="G210" s="298" t="str">
        <f aca="true">IF(ISNUMBER($J210),INDIRECT("R"&amp;($J210+4)),"")</f>
        <v/>
      </c>
      <c r="H210" s="298" t="str">
        <f aca="true">IF(ISNUMBER($J210),INDIRECT("S"&amp;($J210+4)),"")</f>
        <v/>
      </c>
      <c r="J210" s="292" t="str">
        <f aca="true">IF(206&lt;=$K$1,MATCH(205.5,INDIRECT("$K$4:$K$1374"),1),"")</f>
        <v/>
      </c>
      <c r="K210" s="292" t="n">
        <f aca="false">$K$132+COUNTIF($Q$133:Q210,"&gt;0")</f>
        <v>0</v>
      </c>
      <c r="L210" s="292" t="str">
        <f aca="false">"Переходники и хабы"</f>
        <v>Переходники и хабы</v>
      </c>
      <c r="M210" s="292" t="str">
        <f aca="false">IF(ISBLANK('Переходники и хабы'!$A$25),"",'Переходники и хабы'!$A$25)</f>
        <v>BUS01 Category 6 Gigabit network cable(L=8M)</v>
      </c>
      <c r="N210" s="292" t="str">
        <f aca="false">IF(ISBLANK('Переходники и хабы'!$D$25),"",'Переходники и хабы'!$D$25)</f>
        <v>6941991103964</v>
      </c>
      <c r="O210" s="292" t="str">
        <f aca="false">IF(ISBLANK('Переходники и хабы'!$E$25),"",'Переходники и хабы'!$E$25)</f>
        <v>черный</v>
      </c>
      <c r="P210" s="292" t="str">
        <f aca="false">"ед."</f>
        <v>ед.</v>
      </c>
      <c r="Q210" s="292" t="n">
        <f aca="false">N('Переходники и хабы'!$G$25)</f>
        <v>0</v>
      </c>
      <c r="R210" s="299" t="n">
        <f aca="false">IF(ISBLANK('Переходники и хабы'!$F$25),"",'Переходники и хабы'!$F$25)</f>
        <v>212.02</v>
      </c>
      <c r="S210" s="292" t="str">
        <f aca="false">IF(ISBLANK('Переходники и хабы'!$H$25),"",'Переходники и хабы'!$H$25)</f>
        <v/>
      </c>
    </row>
    <row r="211" customFormat="false" ht="66" hidden="false" customHeight="true" outlineLevel="0" collapsed="false">
      <c r="A211" s="291" t="str">
        <f aca="true">IF(ISNUMBER($J211),INDIRECT("L"&amp;($J211+4)),"")</f>
        <v/>
      </c>
      <c r="B211" s="291" t="str">
        <f aca="true">IF(ISNUMBER($J211),INDIRECT("M"&amp;($J211+4)),"")</f>
        <v/>
      </c>
      <c r="C211" s="296" t="str">
        <f aca="true">IF(ISNUMBER($J211),INDIRECT("N"&amp;($J211+4)),"")</f>
        <v/>
      </c>
      <c r="D211" s="291" t="str">
        <f aca="true">IF(ISNUMBER($J211),INDIRECT("O"&amp;($J211+4)),"")</f>
        <v/>
      </c>
      <c r="E211" s="291" t="str">
        <f aca="true">IF(ISNUMBER($J211),INDIRECT("P"&amp;($J211+4)),"")</f>
        <v/>
      </c>
      <c r="F211" s="300" t="str">
        <f aca="true">IF(ISNUMBER($J211),INDIRECT("Q"&amp;($J211+4)),"")</f>
        <v/>
      </c>
      <c r="G211" s="298" t="str">
        <f aca="true">IF(ISNUMBER($J211),INDIRECT("R"&amp;($J211+4)),"")</f>
        <v/>
      </c>
      <c r="H211" s="298" t="str">
        <f aca="true">IF(ISNUMBER($J211),INDIRECT("S"&amp;($J211+4)),"")</f>
        <v/>
      </c>
      <c r="J211" s="292" t="str">
        <f aca="true">IF(207&lt;=$K$1,MATCH(206.5,INDIRECT("$K$4:$K$1374"),1),"")</f>
        <v/>
      </c>
      <c r="K211" s="292" t="n">
        <f aca="false">$K$132+COUNTIF($Q$133:Q211,"&gt;0")</f>
        <v>0</v>
      </c>
      <c r="L211" s="292" t="str">
        <f aca="false">"Переходники и хабы"</f>
        <v>Переходники и хабы</v>
      </c>
      <c r="M211" s="292" t="str">
        <f aca="false">IF(ISBLANK('Переходники и хабы'!$A$26),"",'Переходники и хабы'!$A$26)</f>
        <v>BUS01 Category 6 Gigabit network cable(L=10M)</v>
      </c>
      <c r="N211" s="292" t="str">
        <f aca="false">IF(ISBLANK('Переходники и хабы'!$D$26),"",'Переходники и хабы'!$D$26)</f>
        <v>6941991103971</v>
      </c>
      <c r="O211" s="292" t="str">
        <f aca="false">IF(ISBLANK('Переходники и хабы'!$E$26),"",'Переходники и хабы'!$E$26)</f>
        <v>черный</v>
      </c>
      <c r="P211" s="292" t="str">
        <f aca="false">"ед."</f>
        <v>ед.</v>
      </c>
      <c r="Q211" s="292" t="n">
        <f aca="false">N('Переходники и хабы'!$G$26)</f>
        <v>0</v>
      </c>
      <c r="R211" s="299" t="n">
        <f aca="false">IF(ISBLANK('Переходники и хабы'!$F$26),"",'Переходники и хабы'!$F$26)</f>
        <v>244.64</v>
      </c>
      <c r="S211" s="292" t="str">
        <f aca="false">IF(ISBLANK('Переходники и хабы'!$H$26),"",'Переходники и хабы'!$H$26)</f>
        <v/>
      </c>
    </row>
    <row r="212" customFormat="false" ht="66" hidden="false" customHeight="true" outlineLevel="0" collapsed="false">
      <c r="A212" s="291" t="str">
        <f aca="true">IF(ISNUMBER($J212),INDIRECT("L"&amp;($J212+4)),"")</f>
        <v/>
      </c>
      <c r="B212" s="291" t="str">
        <f aca="true">IF(ISNUMBER($J212),INDIRECT("M"&amp;($J212+4)),"")</f>
        <v/>
      </c>
      <c r="C212" s="296" t="str">
        <f aca="true">IF(ISNUMBER($J212),INDIRECT("N"&amp;($J212+4)),"")</f>
        <v/>
      </c>
      <c r="D212" s="291" t="str">
        <f aca="true">IF(ISNUMBER($J212),INDIRECT("O"&amp;($J212+4)),"")</f>
        <v/>
      </c>
      <c r="E212" s="291" t="str">
        <f aca="true">IF(ISNUMBER($J212),INDIRECT("P"&amp;($J212+4)),"")</f>
        <v/>
      </c>
      <c r="F212" s="300" t="str">
        <f aca="true">IF(ISNUMBER($J212),INDIRECT("Q"&amp;($J212+4)),"")</f>
        <v/>
      </c>
      <c r="G212" s="298" t="str">
        <f aca="true">IF(ISNUMBER($J212),INDIRECT("R"&amp;($J212+4)),"")</f>
        <v/>
      </c>
      <c r="H212" s="298" t="str">
        <f aca="true">IF(ISNUMBER($J212),INDIRECT("S"&amp;($J212+4)),"")</f>
        <v/>
      </c>
      <c r="J212" s="292" t="str">
        <f aca="true">IF(208&lt;=$K$1,MATCH(207.5,INDIRECT("$K$4:$K$1374"),1),"")</f>
        <v/>
      </c>
      <c r="K212" s="292" t="n">
        <f aca="false">$K$132+COUNTIF($Q$133:Q212,"&gt;0")</f>
        <v>0</v>
      </c>
      <c r="L212" s="292" t="str">
        <f aca="false">"Внешние аккумуляторы"</f>
        <v>Внешние аккумуляторы</v>
      </c>
      <c r="M212" s="292" t="str">
        <f aca="false">IF(ISBLANK('Внешние аккумуляторы'!$A$5),"",'Внешние аккумуляторы'!$A$5)</f>
        <v>BJ94 Origium PD20W магнитный пауэрбанк (10000mAh)(CCC)</v>
      </c>
      <c r="N212" s="292" t="str">
        <f aca="false">IF(ISBLANK('Внешние аккумуляторы'!$D$5),"",'Внешние аккумуляторы'!$D$5)</f>
        <v>6941991130007</v>
      </c>
      <c r="O212" s="292" t="str">
        <f aca="false">IF(ISBLANK('Внешние аккумуляторы'!$E$5),"",'Внешние аккумуляторы'!$E$5)</f>
        <v>белый</v>
      </c>
      <c r="P212" s="292" t="str">
        <f aca="false">"ед."</f>
        <v>ед.</v>
      </c>
      <c r="Q212" s="292" t="n">
        <f aca="false">N('Внешние аккумуляторы'!$G$5)</f>
        <v>0</v>
      </c>
      <c r="R212" s="299" t="n">
        <f aca="false">IF(ISBLANK('Внешние аккумуляторы'!$F$5),"",'Внешние аккумуляторы'!$F$5)</f>
        <v>1060.11</v>
      </c>
      <c r="S212" s="292" t="str">
        <f aca="false">IF(ISBLANK('Внешние аккумуляторы'!$H$5),"",'Внешние аккумуляторы'!$H$5)</f>
        <v/>
      </c>
    </row>
    <row r="213" customFormat="false" ht="66" hidden="false" customHeight="true" outlineLevel="0" collapsed="false">
      <c r="A213" s="291" t="str">
        <f aca="true">IF(ISNUMBER($J213),INDIRECT("L"&amp;($J213+4)),"")</f>
        <v/>
      </c>
      <c r="B213" s="291" t="str">
        <f aca="true">IF(ISNUMBER($J213),INDIRECT("M"&amp;($J213+4)),"")</f>
        <v/>
      </c>
      <c r="C213" s="296" t="str">
        <f aca="true">IF(ISNUMBER($J213),INDIRECT("N"&amp;($J213+4)),"")</f>
        <v/>
      </c>
      <c r="D213" s="291" t="str">
        <f aca="true">IF(ISNUMBER($J213),INDIRECT("O"&amp;($J213+4)),"")</f>
        <v/>
      </c>
      <c r="E213" s="291" t="str">
        <f aca="true">IF(ISNUMBER($J213),INDIRECT("P"&amp;($J213+4)),"")</f>
        <v/>
      </c>
      <c r="F213" s="300" t="str">
        <f aca="true">IF(ISNUMBER($J213),INDIRECT("Q"&amp;($J213+4)),"")</f>
        <v/>
      </c>
      <c r="G213" s="298" t="str">
        <f aca="true">IF(ISNUMBER($J213),INDIRECT("R"&amp;($J213+4)),"")</f>
        <v/>
      </c>
      <c r="H213" s="298" t="str">
        <f aca="true">IF(ISNUMBER($J213),INDIRECT("S"&amp;($J213+4)),"")</f>
        <v/>
      </c>
      <c r="J213" s="292" t="str">
        <f aca="true">IF(209&lt;=$K$1,MATCH(208.5,INDIRECT("$K$4:$K$1374"),1),"")</f>
        <v/>
      </c>
      <c r="K213" s="292" t="n">
        <f aca="false">$K$132+COUNTIF($Q$133:Q213,"&gt;0")</f>
        <v>0</v>
      </c>
      <c r="L213" s="292" t="str">
        <f aca="false">"Внешние аккумуляторы"</f>
        <v>Внешние аккумуляторы</v>
      </c>
      <c r="M213" s="292" t="str">
        <f aca="false">IF(ISBLANK('Внешние аккумуляторы'!$A$6),"",'Внешние аккумуляторы'!$A$6)</f>
        <v>BJ93 Skillux PD20W пауэрбанк с кабелем (10000mAh)(CCC)「Неопасные товары」</v>
      </c>
      <c r="N213" s="292" t="str">
        <f aca="false">IF(ISBLANK('Внешние аккумуляторы'!$D$6),"",'Внешние аккумуляторы'!$D$6)</f>
        <v>6941991129995</v>
      </c>
      <c r="O213" s="292" t="str">
        <f aca="false">IF(ISBLANK('Внешние аккумуляторы'!$E$6),"",'Внешние аккумуляторы'!$E$6)</f>
        <v>серебро</v>
      </c>
      <c r="P213" s="292" t="str">
        <f aca="false">"ед."</f>
        <v>ед.</v>
      </c>
      <c r="Q213" s="292" t="n">
        <f aca="false">N('Внешние аккумуляторы'!$G$6)</f>
        <v>0</v>
      </c>
      <c r="R213" s="299" t="n">
        <f aca="false">IF(ISBLANK('Внешние аккумуляторы'!$F$6),"",'Внешние аккумуляторы'!$F$6)</f>
        <v>1092.73</v>
      </c>
      <c r="S213" s="292" t="str">
        <f aca="false">IF(ISBLANK('Внешние аккумуляторы'!$H$6),"",'Внешние аккумуляторы'!$H$6)</f>
        <v/>
      </c>
    </row>
    <row r="214" customFormat="false" ht="66" hidden="false" customHeight="true" outlineLevel="0" collapsed="false">
      <c r="A214" s="291" t="str">
        <f aca="true">IF(ISNUMBER($J214),INDIRECT("L"&amp;($J214+4)),"")</f>
        <v/>
      </c>
      <c r="B214" s="291" t="str">
        <f aca="true">IF(ISNUMBER($J214),INDIRECT("M"&amp;($J214+4)),"")</f>
        <v/>
      </c>
      <c r="C214" s="296" t="str">
        <f aca="true">IF(ISNUMBER($J214),INDIRECT("N"&amp;($J214+4)),"")</f>
        <v/>
      </c>
      <c r="D214" s="291" t="str">
        <f aca="true">IF(ISNUMBER($J214),INDIRECT("O"&amp;($J214+4)),"")</f>
        <v/>
      </c>
      <c r="E214" s="291" t="str">
        <f aca="true">IF(ISNUMBER($J214),INDIRECT("P"&amp;($J214+4)),"")</f>
        <v/>
      </c>
      <c r="F214" s="300" t="str">
        <f aca="true">IF(ISNUMBER($J214),INDIRECT("Q"&amp;($J214+4)),"")</f>
        <v/>
      </c>
      <c r="G214" s="298" t="str">
        <f aca="true">IF(ISNUMBER($J214),INDIRECT("R"&amp;($J214+4)),"")</f>
        <v/>
      </c>
      <c r="H214" s="298" t="str">
        <f aca="true">IF(ISNUMBER($J214),INDIRECT("S"&amp;($J214+4)),"")</f>
        <v/>
      </c>
      <c r="J214" s="292" t="str">
        <f aca="true">IF(210&lt;=$K$1,MATCH(209.5,INDIRECT("$K$4:$K$1374"),1),"")</f>
        <v/>
      </c>
      <c r="K214" s="292" t="n">
        <f aca="false">$K$132+COUNTIF($Q$133:Q214,"&gt;0")</f>
        <v>0</v>
      </c>
      <c r="L214" s="292" t="str">
        <f aca="false">"Внешние аккумуляторы"</f>
        <v>Внешние аккумуляторы</v>
      </c>
      <c r="M214" s="292" t="str">
        <f aca="false">IF(ISBLANK('Внешние аккумуляторы'!$A$7),"",'Внешние аккумуляторы'!$A$7)</f>
        <v>BJ90 Pasar пауэрбанк (10000mAh)(CCC)</v>
      </c>
      <c r="N214" s="292" t="str">
        <f aca="false">IF(ISBLANK('Внешние аккумуляторы'!$D$7),"",'Внешние аккумуляторы'!$D$7)</f>
        <v>6941991129292</v>
      </c>
      <c r="O214" s="292" t="str">
        <f aca="false">IF(ISBLANK('Внешние аккумуляторы'!$E$7),"",'Внешние аккумуляторы'!$E$7)</f>
        <v>чёрный</v>
      </c>
      <c r="P214" s="292" t="str">
        <f aca="false">"ед."</f>
        <v>ед.</v>
      </c>
      <c r="Q214" s="292" t="n">
        <f aca="false">N('Внешние аккумуляторы'!$G$7)</f>
        <v>0</v>
      </c>
      <c r="R214" s="299" t="n">
        <f aca="false">IF(ISBLANK('Внешние аккумуляторы'!$F$7),"",'Внешние аккумуляторы'!$F$7)</f>
        <v>497.44</v>
      </c>
      <c r="S214" s="292" t="str">
        <f aca="false">IF(ISBLANK('Внешние аккумуляторы'!$H$7),"",'Внешние аккумуляторы'!$H$7)</f>
        <v/>
      </c>
    </row>
    <row r="215" customFormat="false" ht="66" hidden="false" customHeight="true" outlineLevel="0" collapsed="false">
      <c r="A215" s="291" t="str">
        <f aca="true">IF(ISNUMBER($J215),INDIRECT("L"&amp;($J215+4)),"")</f>
        <v/>
      </c>
      <c r="B215" s="291" t="str">
        <f aca="true">IF(ISNUMBER($J215),INDIRECT("M"&amp;($J215+4)),"")</f>
        <v/>
      </c>
      <c r="C215" s="296" t="str">
        <f aca="true">IF(ISNUMBER($J215),INDIRECT("N"&amp;($J215+4)),"")</f>
        <v/>
      </c>
      <c r="D215" s="291" t="str">
        <f aca="true">IF(ISNUMBER($J215),INDIRECT("O"&amp;($J215+4)),"")</f>
        <v/>
      </c>
      <c r="E215" s="291" t="str">
        <f aca="true">IF(ISNUMBER($J215),INDIRECT("P"&amp;($J215+4)),"")</f>
        <v/>
      </c>
      <c r="F215" s="300" t="str">
        <f aca="true">IF(ISNUMBER($J215),INDIRECT("Q"&amp;($J215+4)),"")</f>
        <v/>
      </c>
      <c r="G215" s="298" t="str">
        <f aca="true">IF(ISNUMBER($J215),INDIRECT("R"&amp;($J215+4)),"")</f>
        <v/>
      </c>
      <c r="H215" s="298" t="str">
        <f aca="true">IF(ISNUMBER($J215),INDIRECT("S"&amp;($J215+4)),"")</f>
        <v/>
      </c>
      <c r="J215" s="292" t="str">
        <f aca="true">IF(211&lt;=$K$1,MATCH(210.5,INDIRECT("$K$4:$K$1374"),1),"")</f>
        <v/>
      </c>
      <c r="K215" s="292" t="n">
        <f aca="false">$K$132+COUNTIF($Q$133:Q215,"&gt;0")</f>
        <v>0</v>
      </c>
      <c r="L215" s="292" t="str">
        <f aca="false">"Внешние аккумуляторы"</f>
        <v>Внешние аккумуляторы</v>
      </c>
      <c r="M215" s="292" t="str">
        <f aca="false">IF(ISBLANK('Внешние аккумуляторы'!$A$8),"",'Внешние аккумуляторы'!$A$8)</f>
        <v>BJ90A Pasar пауэрбанк (20000mAh)(CCC)「Неопасные товары」</v>
      </c>
      <c r="N215" s="292" t="str">
        <f aca="false">IF(ISBLANK('Внешние аккумуляторы'!$D$8),"",'Внешние аккумуляторы'!$D$8)</f>
        <v>6941991129308</v>
      </c>
      <c r="O215" s="292" t="str">
        <f aca="false">IF(ISBLANK('Внешние аккумуляторы'!$E$8),"",'Внешние аккумуляторы'!$E$8)</f>
        <v>чёрный</v>
      </c>
      <c r="P215" s="292" t="str">
        <f aca="false">"ед."</f>
        <v>ед.</v>
      </c>
      <c r="Q215" s="292" t="n">
        <f aca="false">N('Внешние аккумуляторы'!$G$8)</f>
        <v>0</v>
      </c>
      <c r="R215" s="299" t="n">
        <f aca="false">IF(ISBLANK('Внешние аккумуляторы'!$F$8),"",'Внешние аккумуляторы'!$F$8)</f>
        <v>782.85</v>
      </c>
      <c r="S215" s="292" t="str">
        <f aca="false">IF(ISBLANK('Внешние аккумуляторы'!$H$8),"",'Внешние аккумуляторы'!$H$8)</f>
        <v/>
      </c>
    </row>
    <row r="216" customFormat="false" ht="66" hidden="false" customHeight="true" outlineLevel="0" collapsed="false">
      <c r="A216" s="291" t="str">
        <f aca="true">IF(ISNUMBER($J216),INDIRECT("L"&amp;($J216+4)),"")</f>
        <v/>
      </c>
      <c r="B216" s="291" t="str">
        <f aca="true">IF(ISNUMBER($J216),INDIRECT("M"&amp;($J216+4)),"")</f>
        <v/>
      </c>
      <c r="C216" s="296" t="str">
        <f aca="true">IF(ISNUMBER($J216),INDIRECT("N"&amp;($J216+4)),"")</f>
        <v/>
      </c>
      <c r="D216" s="291" t="str">
        <f aca="true">IF(ISNUMBER($J216),INDIRECT("O"&amp;($J216+4)),"")</f>
        <v/>
      </c>
      <c r="E216" s="291" t="str">
        <f aca="true">IF(ISNUMBER($J216),INDIRECT("P"&amp;($J216+4)),"")</f>
        <v/>
      </c>
      <c r="F216" s="300" t="str">
        <f aca="true">IF(ISNUMBER($J216),INDIRECT("Q"&amp;($J216+4)),"")</f>
        <v/>
      </c>
      <c r="G216" s="298" t="str">
        <f aca="true">IF(ISNUMBER($J216),INDIRECT("R"&amp;($J216+4)),"")</f>
        <v/>
      </c>
      <c r="H216" s="298" t="str">
        <f aca="true">IF(ISNUMBER($J216),INDIRECT("S"&amp;($J216+4)),"")</f>
        <v/>
      </c>
      <c r="J216" s="292" t="str">
        <f aca="true">IF(212&lt;=$K$1,MATCH(211.5,INDIRECT("$K$4:$K$1374"),1),"")</f>
        <v/>
      </c>
      <c r="K216" s="292" t="n">
        <f aca="false">$K$132+COUNTIF($Q$133:Q216,"&gt;0")</f>
        <v>0</v>
      </c>
      <c r="L216" s="292" t="str">
        <f aca="false">"Внешние аккумуляторы"</f>
        <v>Внешние аккумуляторы</v>
      </c>
      <c r="M216" s="292" t="str">
        <f aca="false">IF(ISBLANK('Внешние аккумуляторы'!$A$11),"",'Внешние аккумуляторы'!$A$11)</f>
        <v>BJ91 Alba 22.5W+PD20W 4-cable+lighting power bank(40000mAh)</v>
      </c>
      <c r="N216" s="292" t="str">
        <f aca="false">IF(ISBLANK('Внешние аккумуляторы'!$D$11),"",'Внешние аккумуляторы'!$D$11)</f>
        <v>6941991129759</v>
      </c>
      <c r="O216" s="292" t="str">
        <f aca="false">IF(ISBLANK('Внешние аккумуляторы'!$E$11),"",'Внешние аккумуляторы'!$E$11)</f>
        <v>чёрный</v>
      </c>
      <c r="P216" s="292" t="str">
        <f aca="false">"ед."</f>
        <v>ед.</v>
      </c>
      <c r="Q216" s="292" t="n">
        <f aca="false">N('Внешние аккумуляторы'!$G$11)</f>
        <v>0</v>
      </c>
      <c r="R216" s="299" t="n">
        <f aca="false">IF(ISBLANK('Внешние аккумуляторы'!$F$11),"",'Внешние аккумуляторы'!$F$11)</f>
        <v>2152.84</v>
      </c>
      <c r="S216" s="292" t="str">
        <f aca="false">IF(ISBLANK('Внешние аккумуляторы'!$H$11),"",'Внешние аккумуляторы'!$H$11)</f>
        <v/>
      </c>
    </row>
    <row r="217" customFormat="false" ht="66" hidden="false" customHeight="true" outlineLevel="0" collapsed="false">
      <c r="A217" s="291" t="str">
        <f aca="true">IF(ISNUMBER($J217),INDIRECT("L"&amp;($J217+4)),"")</f>
        <v/>
      </c>
      <c r="B217" s="291" t="str">
        <f aca="true">IF(ISNUMBER($J217),INDIRECT("M"&amp;($J217+4)),"")</f>
        <v/>
      </c>
      <c r="C217" s="296" t="str">
        <f aca="true">IF(ISNUMBER($J217),INDIRECT("N"&amp;($J217+4)),"")</f>
        <v/>
      </c>
      <c r="D217" s="291" t="str">
        <f aca="true">IF(ISNUMBER($J217),INDIRECT("O"&amp;($J217+4)),"")</f>
        <v/>
      </c>
      <c r="E217" s="291" t="str">
        <f aca="true">IF(ISNUMBER($J217),INDIRECT("P"&amp;($J217+4)),"")</f>
        <v/>
      </c>
      <c r="F217" s="300" t="str">
        <f aca="true">IF(ISNUMBER($J217),INDIRECT("Q"&amp;($J217+4)),"")</f>
        <v/>
      </c>
      <c r="G217" s="298" t="str">
        <f aca="true">IF(ISNUMBER($J217),INDIRECT("R"&amp;($J217+4)),"")</f>
        <v/>
      </c>
      <c r="H217" s="298" t="str">
        <f aca="true">IF(ISNUMBER($J217),INDIRECT("S"&amp;($J217+4)),"")</f>
        <v/>
      </c>
      <c r="J217" s="292" t="str">
        <f aca="true">IF(213&lt;=$K$1,MATCH(212.5,INDIRECT("$K$4:$K$1374"),1),"")</f>
        <v/>
      </c>
      <c r="K217" s="292" t="n">
        <f aca="false">$K$132+COUNTIF($Q$133:Q217,"&gt;0")</f>
        <v>0</v>
      </c>
      <c r="L217" s="292" t="str">
        <f aca="false">"Внешние аккумуляторы"</f>
        <v>Внешние аккумуляторы</v>
      </c>
      <c r="M217" s="292" t="str">
        <f aca="false">IF(ISBLANK('Внешние аккумуляторы'!$A$12),"",'Внешние аккумуляторы'!$A$12)</f>
        <v>BJ91A Alba 22.5W+PD20W 4-cable+lighting power bank(60000mAh)</v>
      </c>
      <c r="N217" s="292" t="str">
        <f aca="false">IF(ISBLANK('Внешние аккумуляторы'!$D$12),"",'Внешние аккумуляторы'!$D$12)</f>
        <v>6941991129896</v>
      </c>
      <c r="O217" s="292" t="str">
        <f aca="false">IF(ISBLANK('Внешние аккумуляторы'!$E$12),"",'Внешние аккумуляторы'!$E$12)</f>
        <v>чёрный</v>
      </c>
      <c r="P217" s="292" t="str">
        <f aca="false">"ед."</f>
        <v>ед.</v>
      </c>
      <c r="Q217" s="292" t="n">
        <f aca="false">N('Внешние аккумуляторы'!$G$12)</f>
        <v>0</v>
      </c>
      <c r="R217" s="299" t="n">
        <f aca="false">IF(ISBLANK('Внешние аккумуляторы'!$F$12),"",'Внешние аккумуляторы'!$F$12)</f>
        <v>2739.98</v>
      </c>
      <c r="S217" s="292" t="str">
        <f aca="false">IF(ISBLANK('Внешние аккумуляторы'!$H$12),"",'Внешние аккумуляторы'!$H$12)</f>
        <v/>
      </c>
    </row>
    <row r="218" customFormat="false" ht="66" hidden="false" customHeight="true" outlineLevel="0" collapsed="false">
      <c r="A218" s="291" t="str">
        <f aca="true">IF(ISNUMBER($J218),INDIRECT("L"&amp;($J218+4)),"")</f>
        <v/>
      </c>
      <c r="B218" s="291" t="str">
        <f aca="true">IF(ISNUMBER($J218),INDIRECT("M"&amp;($J218+4)),"")</f>
        <v/>
      </c>
      <c r="C218" s="296" t="str">
        <f aca="true">IF(ISNUMBER($J218),INDIRECT("N"&amp;($J218+4)),"")</f>
        <v/>
      </c>
      <c r="D218" s="291" t="str">
        <f aca="true">IF(ISNUMBER($J218),INDIRECT("O"&amp;($J218+4)),"")</f>
        <v/>
      </c>
      <c r="E218" s="291" t="str">
        <f aca="true">IF(ISNUMBER($J218),INDIRECT("P"&amp;($J218+4)),"")</f>
        <v/>
      </c>
      <c r="F218" s="300" t="str">
        <f aca="true">IF(ISNUMBER($J218),INDIRECT("Q"&amp;($J218+4)),"")</f>
        <v/>
      </c>
      <c r="G218" s="298" t="str">
        <f aca="true">IF(ISNUMBER($J218),INDIRECT("R"&amp;($J218+4)),"")</f>
        <v/>
      </c>
      <c r="H218" s="298" t="str">
        <f aca="true">IF(ISNUMBER($J218),INDIRECT("S"&amp;($J218+4)),"")</f>
        <v/>
      </c>
      <c r="J218" s="292" t="str">
        <f aca="true">IF(214&lt;=$K$1,MATCH(213.5,INDIRECT("$K$4:$K$1374"),1),"")</f>
        <v/>
      </c>
      <c r="K218" s="292" t="n">
        <f aca="false">$K$132+COUNTIF($Q$133:Q218,"&gt;0")</f>
        <v>0</v>
      </c>
      <c r="L218" s="292" t="str">
        <f aca="false">"Внешние аккумуляторы"</f>
        <v>Внешние аккумуляторы</v>
      </c>
      <c r="M218" s="292" t="str">
        <f aca="false">IF(ISBLANK('Внешние аккумуляторы'!$A$13),"",'Внешние аккумуляторы'!$A$13)</f>
        <v>BJ89 Salte PD20W портативный аккумулятор с лампой и 2 кабелями (10000mAh)</v>
      </c>
      <c r="N218" s="292" t="str">
        <f aca="false">IF(ISBLANK('Внешние аккумуляторы'!$D$13),"",'Внешние аккумуляторы'!$D$13)</f>
        <v>6941991128448</v>
      </c>
      <c r="O218" s="292" t="str">
        <f aca="false">IF(ISBLANK('Внешние аккумуляторы'!$E$13),"",'Внешние аккумуляторы'!$E$13)</f>
        <v>чёрный</v>
      </c>
      <c r="P218" s="292" t="str">
        <f aca="false">"ед."</f>
        <v>ед.</v>
      </c>
      <c r="Q218" s="292" t="n">
        <f aca="false">N('Внешние аккумуляторы'!$G$13)</f>
        <v>0</v>
      </c>
      <c r="R218" s="299" t="n">
        <f aca="false">IF(ISBLANK('Внешние аккумуляторы'!$F$13),"",'Внешние аккумуляторы'!$F$13)</f>
        <v>1035.65</v>
      </c>
      <c r="S218" s="292" t="str">
        <f aca="false">IF(ISBLANK('Внешние аккумуляторы'!$H$13),"",'Внешние аккумуляторы'!$H$13)</f>
        <v/>
      </c>
    </row>
    <row r="219" customFormat="false" ht="66" hidden="false" customHeight="true" outlineLevel="0" collapsed="false">
      <c r="A219" s="291" t="str">
        <f aca="true">IF(ISNUMBER($J219),INDIRECT("L"&amp;($J219+4)),"")</f>
        <v/>
      </c>
      <c r="B219" s="291" t="str">
        <f aca="true">IF(ISNUMBER($J219),INDIRECT("M"&amp;($J219+4)),"")</f>
        <v/>
      </c>
      <c r="C219" s="296" t="str">
        <f aca="true">IF(ISNUMBER($J219),INDIRECT("N"&amp;($J219+4)),"")</f>
        <v/>
      </c>
      <c r="D219" s="291" t="str">
        <f aca="true">IF(ISNUMBER($J219),INDIRECT("O"&amp;($J219+4)),"")</f>
        <v/>
      </c>
      <c r="E219" s="291" t="str">
        <f aca="true">IF(ISNUMBER($J219),INDIRECT("P"&amp;($J219+4)),"")</f>
        <v/>
      </c>
      <c r="F219" s="300" t="str">
        <f aca="true">IF(ISNUMBER($J219),INDIRECT("Q"&amp;($J219+4)),"")</f>
        <v/>
      </c>
      <c r="G219" s="298" t="str">
        <f aca="true">IF(ISNUMBER($J219),INDIRECT("R"&amp;($J219+4)),"")</f>
        <v/>
      </c>
      <c r="H219" s="298" t="str">
        <f aca="true">IF(ISNUMBER($J219),INDIRECT("S"&amp;($J219+4)),"")</f>
        <v/>
      </c>
      <c r="J219" s="292" t="str">
        <f aca="true">IF(215&lt;=$K$1,MATCH(214.5,INDIRECT("$K$4:$K$1374"),1),"")</f>
        <v/>
      </c>
      <c r="K219" s="292" t="n">
        <f aca="false">$K$132+COUNTIF($Q$133:Q219,"&gt;0")</f>
        <v>0</v>
      </c>
      <c r="L219" s="292" t="str">
        <f aca="false">"Внешние аккумуляторы"</f>
        <v>Внешние аккумуляторы</v>
      </c>
      <c r="M219" s="292" t="str">
        <f aca="false">IF(ISBLANK('Внешние аккумуляторы'!$A$14),"",'Внешние аккумуляторы'!$A$14)</f>
        <v>BJ87 Star портативный аккумулятор с фонариком и кабелем (5000mAh)「Неопасные товары」</v>
      </c>
      <c r="N219" s="292" t="str">
        <f aca="false">IF(ISBLANK('Внешние аккумуляторы'!$D$14),"",'Внешние аккумуляторы'!$D$14)</f>
        <v>6941991126901</v>
      </c>
      <c r="O219" s="292" t="str">
        <f aca="false">IF(ISBLANK('Внешние аккумуляторы'!$E$14),"",'Внешние аккумуляторы'!$E$14)</f>
        <v>чёрный и серый</v>
      </c>
      <c r="P219" s="292" t="str">
        <f aca="false">"ед."</f>
        <v>ед.</v>
      </c>
      <c r="Q219" s="292" t="n">
        <f aca="false">N('Внешние аккумуляторы'!$G$14)</f>
        <v>0</v>
      </c>
      <c r="R219" s="299" t="n">
        <f aca="false">IF(ISBLANK('Внешние аккумуляторы'!$F$14),"",'Внешние аккумуляторы'!$F$14)</f>
        <v>546.37</v>
      </c>
      <c r="S219" s="292" t="str">
        <f aca="false">IF(ISBLANK('Внешние аккумуляторы'!$H$14),"",'Внешние аккумуляторы'!$H$14)</f>
        <v/>
      </c>
    </row>
    <row r="220" customFormat="false" ht="66" hidden="false" customHeight="true" outlineLevel="0" collapsed="false">
      <c r="A220" s="291" t="str">
        <f aca="true">IF(ISNUMBER($J220),INDIRECT("L"&amp;($J220+4)),"")</f>
        <v/>
      </c>
      <c r="B220" s="291" t="str">
        <f aca="true">IF(ISNUMBER($J220),INDIRECT("M"&amp;($J220+4)),"")</f>
        <v/>
      </c>
      <c r="C220" s="296" t="str">
        <f aca="true">IF(ISNUMBER($J220),INDIRECT("N"&amp;($J220+4)),"")</f>
        <v/>
      </c>
      <c r="D220" s="291" t="str">
        <f aca="true">IF(ISNUMBER($J220),INDIRECT("O"&amp;($J220+4)),"")</f>
        <v/>
      </c>
      <c r="E220" s="291" t="str">
        <f aca="true">IF(ISNUMBER($J220),INDIRECT("P"&amp;($J220+4)),"")</f>
        <v/>
      </c>
      <c r="F220" s="300" t="str">
        <f aca="true">IF(ISNUMBER($J220),INDIRECT("Q"&amp;($J220+4)),"")</f>
        <v/>
      </c>
      <c r="G220" s="298" t="str">
        <f aca="true">IF(ISNUMBER($J220),INDIRECT("R"&amp;($J220+4)),"")</f>
        <v/>
      </c>
      <c r="H220" s="298" t="str">
        <f aca="true">IF(ISNUMBER($J220),INDIRECT("S"&amp;($J220+4)),"")</f>
        <v/>
      </c>
      <c r="J220" s="292" t="str">
        <f aca="true">IF(216&lt;=$K$1,MATCH(215.5,INDIRECT("$K$4:$K$1374"),1),"")</f>
        <v/>
      </c>
      <c r="K220" s="292" t="n">
        <f aca="false">$K$132+COUNTIF($Q$133:Q220,"&gt;0")</f>
        <v>0</v>
      </c>
      <c r="L220" s="292" t="str">
        <f aca="false">"Внешние аккумуляторы"</f>
        <v>Внешние аккумуляторы</v>
      </c>
      <c r="M220" s="292" t="str">
        <f aca="false">IF(ISBLANK('Внешние аккумуляторы'!$A$15),"",'Внешние аккумуляторы'!$A$15)</f>
        <v>BJ85 Myriad портативный аккумулятор 22.5W+PD20W+лампа (100000mAh)</v>
      </c>
      <c r="N220" s="292" t="str">
        <f aca="false">IF(ISBLANK('Внешние аккумуляторы'!$D$15),"",'Внешние аккумуляторы'!$D$15)</f>
        <v>6941991125560</v>
      </c>
      <c r="O220" s="292" t="str">
        <f aca="false">IF(ISBLANK('Внешние аккумуляторы'!$E$15),"",'Внешние аккумуляторы'!$E$15)</f>
        <v>чёрный</v>
      </c>
      <c r="P220" s="292" t="str">
        <f aca="false">"ед."</f>
        <v>ед.</v>
      </c>
      <c r="Q220" s="292" t="n">
        <f aca="false">N('Внешние аккумуляторы'!$G$15)</f>
        <v>0</v>
      </c>
      <c r="R220" s="299" t="n">
        <f aca="false">IF(ISBLANK('Внешние аккумуляторы'!$F$15),"",'Внешние аккумуляторы'!$F$15)</f>
        <v>3800.09</v>
      </c>
      <c r="S220" s="292" t="str">
        <f aca="false">IF(ISBLANK('Внешние аккумуляторы'!$H$15),"",'Внешние аккумуляторы'!$H$15)</f>
        <v/>
      </c>
    </row>
    <row r="221" customFormat="false" ht="66" hidden="false" customHeight="true" outlineLevel="0" collapsed="false">
      <c r="A221" s="291" t="str">
        <f aca="true">IF(ISNUMBER($J221),INDIRECT("L"&amp;($J221+4)),"")</f>
        <v/>
      </c>
      <c r="B221" s="291" t="str">
        <f aca="true">IF(ISNUMBER($J221),INDIRECT("M"&amp;($J221+4)),"")</f>
        <v/>
      </c>
      <c r="C221" s="296" t="str">
        <f aca="true">IF(ISNUMBER($J221),INDIRECT("N"&amp;($J221+4)),"")</f>
        <v/>
      </c>
      <c r="D221" s="291" t="str">
        <f aca="true">IF(ISNUMBER($J221),INDIRECT("O"&amp;($J221+4)),"")</f>
        <v/>
      </c>
      <c r="E221" s="291" t="str">
        <f aca="true">IF(ISNUMBER($J221),INDIRECT("P"&amp;($J221+4)),"")</f>
        <v/>
      </c>
      <c r="F221" s="300" t="str">
        <f aca="true">IF(ISNUMBER($J221),INDIRECT("Q"&amp;($J221+4)),"")</f>
        <v/>
      </c>
      <c r="G221" s="298" t="str">
        <f aca="true">IF(ISNUMBER($J221),INDIRECT("R"&amp;($J221+4)),"")</f>
        <v/>
      </c>
      <c r="H221" s="298" t="str">
        <f aca="true">IF(ISNUMBER($J221),INDIRECT("S"&amp;($J221+4)),"")</f>
        <v/>
      </c>
      <c r="J221" s="292" t="str">
        <f aca="true">IF(217&lt;=$K$1,MATCH(216.5,INDIRECT("$K$4:$K$1374"),1),"")</f>
        <v/>
      </c>
      <c r="K221" s="292" t="n">
        <f aca="false">$K$132+COUNTIF($Q$133:Q221,"&gt;0")</f>
        <v>0</v>
      </c>
      <c r="L221" s="292" t="str">
        <f aca="false">"Внешние аккумуляторы"</f>
        <v>Внешние аккумуляторы</v>
      </c>
      <c r="M221" s="292" t="str">
        <f aca="false">IF(ISBLANK('Внешние аккумуляторы'!$A$16),"",'Внешние аккумуляторы'!$A$16)</f>
        <v>BJ84 Smooth портативный аккумулятор с 4 кабелями (10000mAh)</v>
      </c>
      <c r="N221" s="292" t="str">
        <f aca="false">IF(ISBLANK('Внешние аккумуляторы'!$D$16),"",'Внешние аккумуляторы'!$D$16)</f>
        <v>6941991126161</v>
      </c>
      <c r="O221" s="292" t="str">
        <f aca="false">IF(ISBLANK('Внешние аккумуляторы'!$E$16),"",'Внешние аккумуляторы'!$E$16)</f>
        <v>чёрный</v>
      </c>
      <c r="P221" s="292" t="str">
        <f aca="false">"ед."</f>
        <v>ед.</v>
      </c>
      <c r="Q221" s="292" t="n">
        <f aca="false">N('Внешние аккумуляторы'!$G$16)</f>
        <v>0</v>
      </c>
      <c r="R221" s="299" t="n">
        <f aca="false">IF(ISBLANK('Внешние аккумуляторы'!$F$16),"",'Внешние аккумуляторы'!$F$16)</f>
        <v>521.9</v>
      </c>
      <c r="S221" s="292" t="str">
        <f aca="false">IF(ISBLANK('Внешние аккумуляторы'!$H$16),"",'Внешние аккумуляторы'!$H$16)</f>
        <v/>
      </c>
    </row>
    <row r="222" customFormat="false" ht="66" hidden="false" customHeight="true" outlineLevel="0" collapsed="false">
      <c r="A222" s="291" t="str">
        <f aca="true">IF(ISNUMBER($J222),INDIRECT("L"&amp;($J222+4)),"")</f>
        <v/>
      </c>
      <c r="B222" s="291" t="str">
        <f aca="true">IF(ISNUMBER($J222),INDIRECT("M"&amp;($J222+4)),"")</f>
        <v/>
      </c>
      <c r="C222" s="296" t="str">
        <f aca="true">IF(ISNUMBER($J222),INDIRECT("N"&amp;($J222+4)),"")</f>
        <v/>
      </c>
      <c r="D222" s="291" t="str">
        <f aca="true">IF(ISNUMBER($J222),INDIRECT("O"&amp;($J222+4)),"")</f>
        <v/>
      </c>
      <c r="E222" s="291" t="str">
        <f aca="true">IF(ISNUMBER($J222),INDIRECT("P"&amp;($J222+4)),"")</f>
        <v/>
      </c>
      <c r="F222" s="300" t="str">
        <f aca="true">IF(ISNUMBER($J222),INDIRECT("Q"&amp;($J222+4)),"")</f>
        <v/>
      </c>
      <c r="G222" s="298" t="str">
        <f aca="true">IF(ISNUMBER($J222),INDIRECT("R"&amp;($J222+4)),"")</f>
        <v/>
      </c>
      <c r="H222" s="298" t="str">
        <f aca="true">IF(ISNUMBER($J222),INDIRECT("S"&amp;($J222+4)),"")</f>
        <v/>
      </c>
      <c r="J222" s="292" t="str">
        <f aca="true">IF(218&lt;=$K$1,MATCH(217.5,INDIRECT("$K$4:$K$1374"),1),"")</f>
        <v/>
      </c>
      <c r="K222" s="292" t="n">
        <f aca="false">$K$132+COUNTIF($Q$133:Q222,"&gt;0")</f>
        <v>0</v>
      </c>
      <c r="L222" s="292" t="str">
        <f aca="false">"Внешние аккумуляторы"</f>
        <v>Внешние аккумуляторы</v>
      </c>
      <c r="M222" s="292" t="str">
        <f aca="false">IF(ISBLANK('Внешние аккумуляторы'!$A$17),"",'Внешние аккумуляторы'!$A$17)</f>
        <v>BJ84A Smooth портативный аккумулятор с 4 кабелями (20000mAh)「Неопасные товары」</v>
      </c>
      <c r="N222" s="292" t="str">
        <f aca="false">IF(ISBLANK('Внешние аккумуляторы'!$D$17),"",'Внешние аккумуляторы'!$D$17)</f>
        <v>6941991126178</v>
      </c>
      <c r="O222" s="292" t="str">
        <f aca="false">IF(ISBLANK('Внешние аккумуляторы'!$E$17),"",'Внешние аккумуляторы'!$E$17)</f>
        <v>чёрный</v>
      </c>
      <c r="P222" s="292" t="str">
        <f aca="false">"ед."</f>
        <v>ед.</v>
      </c>
      <c r="Q222" s="292" t="n">
        <f aca="false">N('Внешние аккумуляторы'!$G$17)</f>
        <v>0</v>
      </c>
      <c r="R222" s="299" t="n">
        <f aca="false">IF(ISBLANK('Внешние аккумуляторы'!$F$17),"",'Внешние аккумуляторы'!$F$17)</f>
        <v>815.47</v>
      </c>
      <c r="S222" s="292" t="str">
        <f aca="false">IF(ISBLANK('Внешние аккумуляторы'!$H$17),"",'Внешние аккумуляторы'!$H$17)</f>
        <v/>
      </c>
    </row>
    <row r="223" customFormat="false" ht="66" hidden="false" customHeight="true" outlineLevel="0" collapsed="false">
      <c r="A223" s="291" t="str">
        <f aca="true">IF(ISNUMBER($J223),INDIRECT("L"&amp;($J223+4)),"")</f>
        <v/>
      </c>
      <c r="B223" s="291" t="str">
        <f aca="true">IF(ISNUMBER($J223),INDIRECT("M"&amp;($J223+4)),"")</f>
        <v/>
      </c>
      <c r="C223" s="296" t="str">
        <f aca="true">IF(ISNUMBER($J223),INDIRECT("N"&amp;($J223+4)),"")</f>
        <v/>
      </c>
      <c r="D223" s="291" t="str">
        <f aca="true">IF(ISNUMBER($J223),INDIRECT("O"&amp;($J223+4)),"")</f>
        <v/>
      </c>
      <c r="E223" s="291" t="str">
        <f aca="true">IF(ISNUMBER($J223),INDIRECT("P"&amp;($J223+4)),"")</f>
        <v/>
      </c>
      <c r="F223" s="300" t="str">
        <f aca="true">IF(ISNUMBER($J223),INDIRECT("Q"&amp;($J223+4)),"")</f>
        <v/>
      </c>
      <c r="G223" s="298" t="str">
        <f aca="true">IF(ISNUMBER($J223),INDIRECT("R"&amp;($J223+4)),"")</f>
        <v/>
      </c>
      <c r="H223" s="298" t="str">
        <f aca="true">IF(ISNUMBER($J223),INDIRECT("S"&amp;($J223+4)),"")</f>
        <v/>
      </c>
      <c r="J223" s="292" t="str">
        <f aca="true">IF(219&lt;=$K$1,MATCH(218.5,INDIRECT("$K$4:$K$1374"),1),"")</f>
        <v/>
      </c>
      <c r="K223" s="292" t="n">
        <f aca="false">$K$132+COUNTIF($Q$133:Q223,"&gt;0")</f>
        <v>0</v>
      </c>
      <c r="L223" s="292" t="str">
        <f aca="false">"Внешние аккумуляторы"</f>
        <v>Внешние аккумуляторы</v>
      </c>
      <c r="M223" s="292" t="str">
        <f aca="false">IF(ISBLANK('Внешние аккумуляторы'!$A$18),"",'Внешние аккумуляторы'!$A$18)</f>
        <v>BJ82 Dawn магнитный портативный аккумулятор (5000mAh)「Неопасные товары」</v>
      </c>
      <c r="N223" s="292" t="str">
        <f aca="false">IF(ISBLANK('Внешние аккумуляторы'!$D$18),"",'Внешние аккумуляторы'!$D$18)</f>
        <v>6941991124792</v>
      </c>
      <c r="O223" s="292" t="str">
        <f aca="false">IF(ISBLANK('Внешние аккумуляторы'!$E$18),"",'Внешние аккумуляторы'!$E$18)</f>
        <v>чёрный</v>
      </c>
      <c r="P223" s="292" t="str">
        <f aca="false">"ед."</f>
        <v>ед.</v>
      </c>
      <c r="Q223" s="292" t="n">
        <f aca="false">N('Внешние аккумуляторы'!$G$18)</f>
        <v>0</v>
      </c>
      <c r="R223" s="299" t="n">
        <f aca="false">IF(ISBLANK('Внешние аккумуляторы'!$F$18),"",'Внешние аккумуляторы'!$F$18)</f>
        <v>685</v>
      </c>
      <c r="S223" s="292" t="str">
        <f aca="false">IF(ISBLANK('Внешние аккумуляторы'!$H$18),"",'Внешние аккумуляторы'!$H$18)</f>
        <v/>
      </c>
    </row>
    <row r="224" customFormat="false" ht="66" hidden="false" customHeight="true" outlineLevel="0" collapsed="false">
      <c r="A224" s="291" t="str">
        <f aca="true">IF(ISNUMBER($J224),INDIRECT("L"&amp;($J224+4)),"")</f>
        <v/>
      </c>
      <c r="B224" s="291" t="str">
        <f aca="true">IF(ISNUMBER($J224),INDIRECT("M"&amp;($J224+4)),"")</f>
        <v/>
      </c>
      <c r="C224" s="296" t="str">
        <f aca="true">IF(ISNUMBER($J224),INDIRECT("N"&amp;($J224+4)),"")</f>
        <v/>
      </c>
      <c r="D224" s="291" t="str">
        <f aca="true">IF(ISNUMBER($J224),INDIRECT("O"&amp;($J224+4)),"")</f>
        <v/>
      </c>
      <c r="E224" s="291" t="str">
        <f aca="true">IF(ISNUMBER($J224),INDIRECT("P"&amp;($J224+4)),"")</f>
        <v/>
      </c>
      <c r="F224" s="300" t="str">
        <f aca="true">IF(ISNUMBER($J224),INDIRECT("Q"&amp;($J224+4)),"")</f>
        <v/>
      </c>
      <c r="G224" s="298" t="str">
        <f aca="true">IF(ISNUMBER($J224),INDIRECT("R"&amp;($J224+4)),"")</f>
        <v/>
      </c>
      <c r="H224" s="298" t="str">
        <f aca="true">IF(ISNUMBER($J224),INDIRECT("S"&amp;($J224+4)),"")</f>
        <v/>
      </c>
      <c r="J224" s="292" t="str">
        <f aca="true">IF(220&lt;=$K$1,MATCH(219.5,INDIRECT("$K$4:$K$1374"),1),"")</f>
        <v/>
      </c>
      <c r="K224" s="292" t="n">
        <f aca="false">$K$132+COUNTIF($Q$133:Q224,"&gt;0")</f>
        <v>0</v>
      </c>
      <c r="L224" s="292" t="str">
        <f aca="false">"Внешние аккумуляторы"</f>
        <v>Внешние аккумуляторы</v>
      </c>
      <c r="M224" s="292" t="str">
        <f aca="false">IF(ISBLANK('Внешние аккумуляторы'!$A$19),"",'Внешние аккумуляторы'!$A$19)</f>
        <v>BJ82A Dawn PD20W магнитный портативный аккумулятор (10000mAh)</v>
      </c>
      <c r="N224" s="292" t="str">
        <f aca="false">IF(ISBLANK('Внешние аккумуляторы'!$D$19),"",'Внешние аккумуляторы'!$D$19)</f>
        <v>6941991124808</v>
      </c>
      <c r="O224" s="292" t="str">
        <f aca="false">IF(ISBLANK('Внешние аккумуляторы'!$E$19),"",'Внешние аккумуляторы'!$E$19)</f>
        <v>чёрный</v>
      </c>
      <c r="P224" s="292" t="str">
        <f aca="false">"ед."</f>
        <v>ед.</v>
      </c>
      <c r="Q224" s="292" t="n">
        <f aca="false">N('Внешние аккумуляторы'!$G$19)</f>
        <v>0</v>
      </c>
      <c r="R224" s="299" t="n">
        <f aca="false">IF(ISBLANK('Внешние аккумуляторы'!$F$19),"",'Внешние аккумуляторы'!$F$19)</f>
        <v>1019.34</v>
      </c>
      <c r="S224" s="292" t="str">
        <f aca="false">IF(ISBLANK('Внешние аккумуляторы'!$H$19),"",'Внешние аккумуляторы'!$H$19)</f>
        <v/>
      </c>
    </row>
    <row r="225" customFormat="false" ht="66" hidden="false" customHeight="true" outlineLevel="0" collapsed="false">
      <c r="A225" s="291" t="str">
        <f aca="true">IF(ISNUMBER($J225),INDIRECT("L"&amp;($J225+4)),"")</f>
        <v/>
      </c>
      <c r="B225" s="291" t="str">
        <f aca="true">IF(ISNUMBER($J225),INDIRECT("M"&amp;($J225+4)),"")</f>
        <v/>
      </c>
      <c r="C225" s="296" t="str">
        <f aca="true">IF(ISNUMBER($J225),INDIRECT("N"&amp;($J225+4)),"")</f>
        <v/>
      </c>
      <c r="D225" s="291" t="str">
        <f aca="true">IF(ISNUMBER($J225),INDIRECT("O"&amp;($J225+4)),"")</f>
        <v/>
      </c>
      <c r="E225" s="291" t="str">
        <f aca="true">IF(ISNUMBER($J225),INDIRECT("P"&amp;($J225+4)),"")</f>
        <v/>
      </c>
      <c r="F225" s="300" t="str">
        <f aca="true">IF(ISNUMBER($J225),INDIRECT("Q"&amp;($J225+4)),"")</f>
        <v/>
      </c>
      <c r="G225" s="298" t="str">
        <f aca="true">IF(ISNUMBER($J225),INDIRECT("R"&amp;($J225+4)),"")</f>
        <v/>
      </c>
      <c r="H225" s="298" t="str">
        <f aca="true">IF(ISNUMBER($J225),INDIRECT("S"&amp;($J225+4)),"")</f>
        <v/>
      </c>
      <c r="J225" s="292" t="str">
        <f aca="true">IF(221&lt;=$K$1,MATCH(220.5,INDIRECT("$K$4:$K$1374"),1),"")</f>
        <v/>
      </c>
      <c r="K225" s="292" t="n">
        <f aca="false">$K$132+COUNTIF($Q$133:Q225,"&gt;0")</f>
        <v>0</v>
      </c>
      <c r="L225" s="292" t="str">
        <f aca="false">"Внешние аккумуляторы"</f>
        <v>Внешние аккумуляторы</v>
      </c>
      <c r="M225" s="292" t="str">
        <f aca="false">IF(ISBLANK('Внешние аккумуляторы'!$A$20),"",'Внешние аккумуляторы'!$A$20)</f>
        <v>BJ80 Clever 22.5W+PD20W универсальный портативный аккумулятор (10000mAh)</v>
      </c>
      <c r="N225" s="292" t="str">
        <f aca="false">IF(ISBLANK('Внешние аккумуляторы'!$D$20),"",'Внешние аккумуляторы'!$D$20)</f>
        <v>6941991121593</v>
      </c>
      <c r="O225" s="292" t="str">
        <f aca="false">IF(ISBLANK('Внешние аккумуляторы'!$E$20),"",'Внешние аккумуляторы'!$E$20)</f>
        <v>чёрный</v>
      </c>
      <c r="P225" s="292" t="str">
        <f aca="false">"ед."</f>
        <v>ед.</v>
      </c>
      <c r="Q225" s="292" t="n">
        <f aca="false">N('Внешние аккумуляторы'!$G$20)</f>
        <v>0</v>
      </c>
      <c r="R225" s="299" t="n">
        <f aca="false">IF(ISBLANK('Внешние аккумуляторы'!$F$20),"",'Внешние аккумуляторы'!$F$20)</f>
        <v>660.53</v>
      </c>
      <c r="S225" s="292" t="str">
        <f aca="false">IF(ISBLANK('Внешние аккумуляторы'!$H$20),"",'Внешние аккумуляторы'!$H$20)</f>
        <v/>
      </c>
    </row>
    <row r="226" customFormat="false" ht="66" hidden="false" customHeight="true" outlineLevel="0" collapsed="false">
      <c r="A226" s="291" t="str">
        <f aca="true">IF(ISNUMBER($J226),INDIRECT("L"&amp;($J226+4)),"")</f>
        <v/>
      </c>
      <c r="B226" s="291" t="str">
        <f aca="true">IF(ISNUMBER($J226),INDIRECT("M"&amp;($J226+4)),"")</f>
        <v/>
      </c>
      <c r="C226" s="296" t="str">
        <f aca="true">IF(ISNUMBER($J226),INDIRECT("N"&amp;($J226+4)),"")</f>
        <v/>
      </c>
      <c r="D226" s="291" t="str">
        <f aca="true">IF(ISNUMBER($J226),INDIRECT("O"&amp;($J226+4)),"")</f>
        <v/>
      </c>
      <c r="E226" s="291" t="str">
        <f aca="true">IF(ISNUMBER($J226),INDIRECT("P"&amp;($J226+4)),"")</f>
        <v/>
      </c>
      <c r="F226" s="300" t="str">
        <f aca="true">IF(ISNUMBER($J226),INDIRECT("Q"&amp;($J226+4)),"")</f>
        <v/>
      </c>
      <c r="G226" s="298" t="str">
        <f aca="true">IF(ISNUMBER($J226),INDIRECT("R"&amp;($J226+4)),"")</f>
        <v/>
      </c>
      <c r="H226" s="298" t="str">
        <f aca="true">IF(ISNUMBER($J226),INDIRECT("S"&amp;($J226+4)),"")</f>
        <v/>
      </c>
      <c r="J226" s="292" t="str">
        <f aca="true">IF(222&lt;=$K$1,MATCH(221.5,INDIRECT("$K$4:$K$1374"),1),"")</f>
        <v/>
      </c>
      <c r="K226" s="292" t="n">
        <f aca="false">$K$132+COUNTIF($Q$133:Q226,"&gt;0")</f>
        <v>0</v>
      </c>
      <c r="L226" s="292" t="str">
        <f aca="false">"Внешние аккумуляторы"</f>
        <v>Внешние аккумуляторы</v>
      </c>
      <c r="M226" s="292" t="str">
        <f aca="false">IF(ISBLANK('Внешние аккумуляторы'!$A$20),"",'Внешние аккумуляторы'!$A$20)</f>
        <v>BJ80 Clever 22.5W+PD20W универсальный портативный аккумулятор (10000mAh)</v>
      </c>
      <c r="N226" s="292" t="str">
        <f aca="false">IF(ISBLANK('Внешние аккумуляторы'!$D$21),"",'Внешние аккумуляторы'!$D$21)</f>
        <v>6941991121609</v>
      </c>
      <c r="O226" s="292" t="str">
        <f aca="false">IF(ISBLANK('Внешние аккумуляторы'!$E$21),"",'Внешние аккумуляторы'!$E$21)</f>
        <v>белый</v>
      </c>
      <c r="P226" s="292" t="str">
        <f aca="false">"ед."</f>
        <v>ед.</v>
      </c>
      <c r="Q226" s="292" t="n">
        <f aca="false">N('Внешние аккумуляторы'!$G$21)</f>
        <v>0</v>
      </c>
      <c r="R226" s="299" t="n">
        <f aca="false">IF(ISBLANK('Внешние аккумуляторы'!$F$21),"",'Внешние аккумуляторы'!$F$21)</f>
        <v>660.53</v>
      </c>
      <c r="S226" s="292" t="str">
        <f aca="false">IF(ISBLANK('Внешние аккумуляторы'!$H$21),"",'Внешние аккумуляторы'!$H$21)</f>
        <v/>
      </c>
    </row>
    <row r="227" customFormat="false" ht="66" hidden="false" customHeight="true" outlineLevel="0" collapsed="false">
      <c r="A227" s="291" t="str">
        <f aca="true">IF(ISNUMBER($J227),INDIRECT("L"&amp;($J227+4)),"")</f>
        <v/>
      </c>
      <c r="B227" s="291" t="str">
        <f aca="true">IF(ISNUMBER($J227),INDIRECT("M"&amp;($J227+4)),"")</f>
        <v/>
      </c>
      <c r="C227" s="296" t="str">
        <f aca="true">IF(ISNUMBER($J227),INDIRECT("N"&amp;($J227+4)),"")</f>
        <v/>
      </c>
      <c r="D227" s="291" t="str">
        <f aca="true">IF(ISNUMBER($J227),INDIRECT("O"&amp;($J227+4)),"")</f>
        <v/>
      </c>
      <c r="E227" s="291" t="str">
        <f aca="true">IF(ISNUMBER($J227),INDIRECT("P"&amp;($J227+4)),"")</f>
        <v/>
      </c>
      <c r="F227" s="300" t="str">
        <f aca="true">IF(ISNUMBER($J227),INDIRECT("Q"&amp;($J227+4)),"")</f>
        <v/>
      </c>
      <c r="G227" s="298" t="str">
        <f aca="true">IF(ISNUMBER($J227),INDIRECT("R"&amp;($J227+4)),"")</f>
        <v/>
      </c>
      <c r="H227" s="298" t="str">
        <f aca="true">IF(ISNUMBER($J227),INDIRECT("S"&amp;($J227+4)),"")</f>
        <v/>
      </c>
      <c r="J227" s="292" t="str">
        <f aca="true">IF(223&lt;=$K$1,MATCH(222.5,INDIRECT("$K$4:$K$1374"),1),"")</f>
        <v/>
      </c>
      <c r="K227" s="292" t="n">
        <f aca="false">$K$132+COUNTIF($Q$133:Q227,"&gt;0")</f>
        <v>0</v>
      </c>
      <c r="L227" s="292" t="str">
        <f aca="false">"Внешние аккумуляторы"</f>
        <v>Внешние аккумуляторы</v>
      </c>
      <c r="M227" s="292" t="str">
        <f aca="false">IF(ISBLANK('Внешние аккумуляторы'!$A$22),"",'Внешние аккумуляторы'!$A$22)</f>
        <v>BJ80A Clever 22.5W+PD20W универсальный портативный аккумулятор (20000mAh)「Неопасные товары」</v>
      </c>
      <c r="N227" s="292" t="str">
        <f aca="false">IF(ISBLANK('Внешние аккумуляторы'!$D$22),"",'Внешние аккумуляторы'!$D$22)</f>
        <v>6941991121616</v>
      </c>
      <c r="O227" s="292" t="str">
        <f aca="false">IF(ISBLANK('Внешние аккумуляторы'!$E$22),"",'Внешние аккумуляторы'!$E$22)</f>
        <v>чёрный</v>
      </c>
      <c r="P227" s="292" t="str">
        <f aca="false">"ед."</f>
        <v>ед.</v>
      </c>
      <c r="Q227" s="292" t="n">
        <f aca="false">N('Внешние аккумуляторы'!$G$22)</f>
        <v>0</v>
      </c>
      <c r="R227" s="299" t="n">
        <f aca="false">IF(ISBLANK('Внешние аккумуляторы'!$F$22),"",'Внешние аккумуляторы'!$F$22)</f>
        <v>962.26</v>
      </c>
      <c r="S227" s="292" t="str">
        <f aca="false">IF(ISBLANK('Внешние аккумуляторы'!$H$22),"",'Внешние аккумуляторы'!$H$22)</f>
        <v/>
      </c>
    </row>
    <row r="228" customFormat="false" ht="66" hidden="false" customHeight="true" outlineLevel="0" collapsed="false">
      <c r="A228" s="291" t="str">
        <f aca="true">IF(ISNUMBER($J228),INDIRECT("L"&amp;($J228+4)),"")</f>
        <v/>
      </c>
      <c r="B228" s="291" t="str">
        <f aca="true">IF(ISNUMBER($J228),INDIRECT("M"&amp;($J228+4)),"")</f>
        <v/>
      </c>
      <c r="C228" s="296" t="str">
        <f aca="true">IF(ISNUMBER($J228),INDIRECT("N"&amp;($J228+4)),"")</f>
        <v/>
      </c>
      <c r="D228" s="291" t="str">
        <f aca="true">IF(ISNUMBER($J228),INDIRECT("O"&amp;($J228+4)),"")</f>
        <v/>
      </c>
      <c r="E228" s="291" t="str">
        <f aca="true">IF(ISNUMBER($J228),INDIRECT("P"&amp;($J228+4)),"")</f>
        <v/>
      </c>
      <c r="F228" s="300" t="str">
        <f aca="true">IF(ISNUMBER($J228),INDIRECT("Q"&amp;($J228+4)),"")</f>
        <v/>
      </c>
      <c r="G228" s="298" t="str">
        <f aca="true">IF(ISNUMBER($J228),INDIRECT("R"&amp;($J228+4)),"")</f>
        <v/>
      </c>
      <c r="H228" s="298" t="str">
        <f aca="true">IF(ISNUMBER($J228),INDIRECT("S"&amp;($J228+4)),"")</f>
        <v/>
      </c>
      <c r="J228" s="292" t="str">
        <f aca="true">IF(224&lt;=$K$1,MATCH(223.5,INDIRECT("$K$4:$K$1374"),1),"")</f>
        <v/>
      </c>
      <c r="K228" s="292" t="n">
        <f aca="false">$K$132+COUNTIF($Q$133:Q228,"&gt;0")</f>
        <v>0</v>
      </c>
      <c r="L228" s="292" t="str">
        <f aca="false">"Внешние аккумуляторы"</f>
        <v>Внешние аккумуляторы</v>
      </c>
      <c r="M228" s="292" t="str">
        <f aca="false">IF(ISBLANK('Внешние аккумуляторы'!$A$22),"",'Внешние аккумуляторы'!$A$22)</f>
        <v>BJ80A Clever 22.5W+PD20W универсальный портативный аккумулятор (20000mAh)「Неопасные товары」</v>
      </c>
      <c r="N228" s="292" t="str">
        <f aca="false">IF(ISBLANK('Внешние аккумуляторы'!$D$23),"",'Внешние аккумуляторы'!$D$23)</f>
        <v>6941991121623</v>
      </c>
      <c r="O228" s="292" t="str">
        <f aca="false">IF(ISBLANK('Внешние аккумуляторы'!$E$23),"",'Внешние аккумуляторы'!$E$23)</f>
        <v>белый</v>
      </c>
      <c r="P228" s="292" t="str">
        <f aca="false">"ед."</f>
        <v>ед.</v>
      </c>
      <c r="Q228" s="292" t="n">
        <f aca="false">N('Внешние аккумуляторы'!$G$23)</f>
        <v>0</v>
      </c>
      <c r="R228" s="299" t="n">
        <f aca="false">IF(ISBLANK('Внешние аккумуляторы'!$F$23),"",'Внешние аккумуляторы'!$F$23)</f>
        <v>962.26</v>
      </c>
      <c r="S228" s="292" t="str">
        <f aca="false">IF(ISBLANK('Внешние аккумуляторы'!$H$23),"",'Внешние аккумуляторы'!$H$23)</f>
        <v/>
      </c>
    </row>
    <row r="229" customFormat="false" ht="66" hidden="false" customHeight="true" outlineLevel="0" collapsed="false">
      <c r="A229" s="291" t="str">
        <f aca="true">IF(ISNUMBER($J229),INDIRECT("L"&amp;($J229+4)),"")</f>
        <v/>
      </c>
      <c r="B229" s="291" t="str">
        <f aca="true">IF(ISNUMBER($J229),INDIRECT("M"&amp;($J229+4)),"")</f>
        <v/>
      </c>
      <c r="C229" s="296" t="str">
        <f aca="true">IF(ISNUMBER($J229),INDIRECT("N"&amp;($J229+4)),"")</f>
        <v/>
      </c>
      <c r="D229" s="291" t="str">
        <f aca="true">IF(ISNUMBER($J229),INDIRECT("O"&amp;($J229+4)),"")</f>
        <v/>
      </c>
      <c r="E229" s="291" t="str">
        <f aca="true">IF(ISNUMBER($J229),INDIRECT("P"&amp;($J229+4)),"")</f>
        <v/>
      </c>
      <c r="F229" s="300" t="str">
        <f aca="true">IF(ISNUMBER($J229),INDIRECT("Q"&amp;($J229+4)),"")</f>
        <v/>
      </c>
      <c r="G229" s="298" t="str">
        <f aca="true">IF(ISNUMBER($J229),INDIRECT("R"&amp;($J229+4)),"")</f>
        <v/>
      </c>
      <c r="H229" s="298" t="str">
        <f aca="true">IF(ISNUMBER($J229),INDIRECT("S"&amp;($J229+4)),"")</f>
        <v/>
      </c>
      <c r="J229" s="292" t="str">
        <f aca="true">IF(225&lt;=$K$1,MATCH(224.5,INDIRECT("$K$4:$K$1374"),1),"")</f>
        <v/>
      </c>
      <c r="K229" s="292" t="n">
        <f aca="false">$K$132+COUNTIF($Q$133:Q229,"&gt;0")</f>
        <v>0</v>
      </c>
      <c r="L229" s="292" t="str">
        <f aca="false">"Внешние аккумуляторы"</f>
        <v>Внешние аккумуляторы</v>
      </c>
      <c r="M229" s="292" t="str">
        <f aca="false">IF(ISBLANK('Внешние аккумуляторы'!$A$24),"",'Внешние аккумуляторы'!$A$24)</f>
        <v>BJ80B Clever 22.5W+PD20W универсальный портативный аккумулятор (30000mAh)</v>
      </c>
      <c r="N229" s="292" t="str">
        <f aca="false">IF(ISBLANK('Внешние аккумуляторы'!$D$24),"",'Внешние аккумуляторы'!$D$24)</f>
        <v>6941991121630</v>
      </c>
      <c r="O229" s="292" t="str">
        <f aca="false">IF(ISBLANK('Внешние аккумуляторы'!$E$24),"",'Внешние аккумуляторы'!$E$24)</f>
        <v>чёрный</v>
      </c>
      <c r="P229" s="292" t="str">
        <f aca="false">"ед."</f>
        <v>ед.</v>
      </c>
      <c r="Q229" s="292" t="n">
        <f aca="false">N('Внешние аккумуляторы'!$G$24)</f>
        <v>0</v>
      </c>
      <c r="R229" s="299" t="n">
        <f aca="false">IF(ISBLANK('Внешние аккумуляторы'!$F$24),"",'Внешние аккумуляторы'!$F$24)</f>
        <v>1280.29</v>
      </c>
      <c r="S229" s="292" t="str">
        <f aca="false">IF(ISBLANK('Внешние аккумуляторы'!$H$24),"",'Внешние аккумуляторы'!$H$24)</f>
        <v/>
      </c>
    </row>
    <row r="230" customFormat="false" ht="66" hidden="false" customHeight="true" outlineLevel="0" collapsed="false">
      <c r="A230" s="291" t="str">
        <f aca="true">IF(ISNUMBER($J230),INDIRECT("L"&amp;($J230+4)),"")</f>
        <v/>
      </c>
      <c r="B230" s="291" t="str">
        <f aca="true">IF(ISNUMBER($J230),INDIRECT("M"&amp;($J230+4)),"")</f>
        <v/>
      </c>
      <c r="C230" s="296" t="str">
        <f aca="true">IF(ISNUMBER($J230),INDIRECT("N"&amp;($J230+4)),"")</f>
        <v/>
      </c>
      <c r="D230" s="291" t="str">
        <f aca="true">IF(ISNUMBER($J230),INDIRECT("O"&amp;($J230+4)),"")</f>
        <v/>
      </c>
      <c r="E230" s="291" t="str">
        <f aca="true">IF(ISNUMBER($J230),INDIRECT("P"&amp;($J230+4)),"")</f>
        <v/>
      </c>
      <c r="F230" s="300" t="str">
        <f aca="true">IF(ISNUMBER($J230),INDIRECT("Q"&amp;($J230+4)),"")</f>
        <v/>
      </c>
      <c r="G230" s="298" t="str">
        <f aca="true">IF(ISNUMBER($J230),INDIRECT("R"&amp;($J230+4)),"")</f>
        <v/>
      </c>
      <c r="H230" s="298" t="str">
        <f aca="true">IF(ISNUMBER($J230),INDIRECT("S"&amp;($J230+4)),"")</f>
        <v/>
      </c>
      <c r="J230" s="292" t="str">
        <f aca="true">IF(226&lt;=$K$1,MATCH(225.5,INDIRECT("$K$4:$K$1374"),1),"")</f>
        <v/>
      </c>
      <c r="K230" s="292" t="n">
        <f aca="false">$K$132+COUNTIF($Q$133:Q230,"&gt;0")</f>
        <v>0</v>
      </c>
      <c r="L230" s="292" t="str">
        <f aca="false">"Внешние аккумуляторы"</f>
        <v>Внешние аккумуляторы</v>
      </c>
      <c r="M230" s="292" t="str">
        <f aca="false">IF(ISBLANK('Внешние аккумуляторы'!$A$25),"",'Внешние аккумуляторы'!$A$25)</f>
        <v>BJ80C Clever 22.5W+PD20W универсальный портативный аккумулятор (50000mAh)</v>
      </c>
      <c r="N230" s="292" t="str">
        <f aca="false">IF(ISBLANK('Внешние аккумуляторы'!$D$25),"",'Внешние аккумуляторы'!$D$25)</f>
        <v>6941991121654</v>
      </c>
      <c r="O230" s="292" t="str">
        <f aca="false">IF(ISBLANK('Внешние аккумуляторы'!$E$25),"",'Внешние аккумуляторы'!$E$25)</f>
        <v>чёрный</v>
      </c>
      <c r="P230" s="292" t="str">
        <f aca="false">"ед."</f>
        <v>ед.</v>
      </c>
      <c r="Q230" s="292" t="n">
        <f aca="false">N('Внешние аккумуляторы'!$G$25)</f>
        <v>0</v>
      </c>
      <c r="R230" s="299" t="n">
        <f aca="false">IF(ISBLANK('Внешние аккумуляторы'!$F$25),"",'Внешние аккумуляторы'!$F$25)</f>
        <v>1891.89</v>
      </c>
      <c r="S230" s="292" t="str">
        <f aca="false">IF(ISBLANK('Внешние аккумуляторы'!$H$25),"",'Внешние аккумуляторы'!$H$25)</f>
        <v/>
      </c>
    </row>
    <row r="231" customFormat="false" ht="66" hidden="false" customHeight="true" outlineLevel="0" collapsed="false">
      <c r="A231" s="291" t="str">
        <f aca="true">IF(ISNUMBER($J231),INDIRECT("L"&amp;($J231+4)),"")</f>
        <v/>
      </c>
      <c r="B231" s="291" t="str">
        <f aca="true">IF(ISNUMBER($J231),INDIRECT("M"&amp;($J231+4)),"")</f>
        <v/>
      </c>
      <c r="C231" s="296" t="str">
        <f aca="true">IF(ISNUMBER($J231),INDIRECT("N"&amp;($J231+4)),"")</f>
        <v/>
      </c>
      <c r="D231" s="291" t="str">
        <f aca="true">IF(ISNUMBER($J231),INDIRECT("O"&amp;($J231+4)),"")</f>
        <v/>
      </c>
      <c r="E231" s="291" t="str">
        <f aca="true">IF(ISNUMBER($J231),INDIRECT("P"&amp;($J231+4)),"")</f>
        <v/>
      </c>
      <c r="F231" s="300" t="str">
        <f aca="true">IF(ISNUMBER($J231),INDIRECT("Q"&amp;($J231+4)),"")</f>
        <v/>
      </c>
      <c r="G231" s="298" t="str">
        <f aca="true">IF(ISNUMBER($J231),INDIRECT("R"&amp;($J231+4)),"")</f>
        <v/>
      </c>
      <c r="H231" s="298" t="str">
        <f aca="true">IF(ISNUMBER($J231),INDIRECT("S"&amp;($J231+4)),"")</f>
        <v/>
      </c>
      <c r="J231" s="292" t="str">
        <f aca="true">IF(227&lt;=$K$1,MATCH(226.5,INDIRECT("$K$4:$K$1374"),1),"")</f>
        <v/>
      </c>
      <c r="K231" s="292" t="n">
        <f aca="false">$K$132+COUNTIF($Q$133:Q231,"&gt;0")</f>
        <v>0</v>
      </c>
      <c r="L231" s="292" t="str">
        <f aca="false">"Внешние аккумуляторы"</f>
        <v>Внешние аккумуляторы</v>
      </c>
      <c r="M231" s="292" t="str">
        <f aca="false">IF(ISBLANK('Внешние аккумуляторы'!$A$26),"",'Внешние аккумуляторы'!$A$26)</f>
        <v>BJ79 Clever портативный аккумулятор с 3 кабелями (10000mAh)</v>
      </c>
      <c r="N231" s="292" t="str">
        <f aca="false">IF(ISBLANK('Внешние аккумуляторы'!$D$26),"",'Внешние аккумуляторы'!$D$26)</f>
        <v>6941991121531</v>
      </c>
      <c r="O231" s="292" t="str">
        <f aca="false">IF(ISBLANK('Внешние аккумуляторы'!$E$26),"",'Внешние аккумуляторы'!$E$26)</f>
        <v>чёрный</v>
      </c>
      <c r="P231" s="292" t="str">
        <f aca="false">"ед."</f>
        <v>ед.</v>
      </c>
      <c r="Q231" s="292" t="n">
        <f aca="false">N('Внешние аккумуляторы'!$G$26)</f>
        <v>0</v>
      </c>
      <c r="R231" s="299" t="n">
        <f aca="false">IF(ISBLANK('Внешние аккумуляторы'!$F$26),"",'Внешние аккумуляторы'!$F$26)</f>
        <v>570.83</v>
      </c>
      <c r="S231" s="292" t="str">
        <f aca="false">IF(ISBLANK('Внешние аккумуляторы'!$H$26),"",'Внешние аккумуляторы'!$H$26)</f>
        <v/>
      </c>
    </row>
    <row r="232" customFormat="false" ht="66" hidden="false" customHeight="true" outlineLevel="0" collapsed="false">
      <c r="A232" s="291" t="str">
        <f aca="true">IF(ISNUMBER($J232),INDIRECT("L"&amp;($J232+4)),"")</f>
        <v/>
      </c>
      <c r="B232" s="291" t="str">
        <f aca="true">IF(ISNUMBER($J232),INDIRECT("M"&amp;($J232+4)),"")</f>
        <v/>
      </c>
      <c r="C232" s="296" t="str">
        <f aca="true">IF(ISNUMBER($J232),INDIRECT("N"&amp;($J232+4)),"")</f>
        <v/>
      </c>
      <c r="D232" s="291" t="str">
        <f aca="true">IF(ISNUMBER($J232),INDIRECT("O"&amp;($J232+4)),"")</f>
        <v/>
      </c>
      <c r="E232" s="291" t="str">
        <f aca="true">IF(ISNUMBER($J232),INDIRECT("P"&amp;($J232+4)),"")</f>
        <v/>
      </c>
      <c r="F232" s="300" t="str">
        <f aca="true">IF(ISNUMBER($J232),INDIRECT("Q"&amp;($J232+4)),"")</f>
        <v/>
      </c>
      <c r="G232" s="298" t="str">
        <f aca="true">IF(ISNUMBER($J232),INDIRECT("R"&amp;($J232+4)),"")</f>
        <v/>
      </c>
      <c r="H232" s="298" t="str">
        <f aca="true">IF(ISNUMBER($J232),INDIRECT("S"&amp;($J232+4)),"")</f>
        <v/>
      </c>
      <c r="J232" s="292" t="str">
        <f aca="true">IF(228&lt;=$K$1,MATCH(227.5,INDIRECT("$K$4:$K$1374"),1),"")</f>
        <v/>
      </c>
      <c r="K232" s="292" t="n">
        <f aca="false">$K$132+COUNTIF($Q$133:Q232,"&gt;0")</f>
        <v>0</v>
      </c>
      <c r="L232" s="292" t="str">
        <f aca="false">"Внешние аккумуляторы"</f>
        <v>Внешние аккумуляторы</v>
      </c>
      <c r="M232" s="292" t="str">
        <f aca="false">IF(ISBLANK('Внешние аккумуляторы'!$A$26),"",'Внешние аккумуляторы'!$A$26)</f>
        <v>BJ79 Clever портативный аккумулятор с 3 кабелями (10000mAh)</v>
      </c>
      <c r="N232" s="292" t="str">
        <f aca="false">IF(ISBLANK('Внешние аккумуляторы'!$D$27),"",'Внешние аккумуляторы'!$D$27)</f>
        <v>6941991121548</v>
      </c>
      <c r="O232" s="292" t="str">
        <f aca="false">IF(ISBLANK('Внешние аккумуляторы'!$E$27),"",'Внешние аккумуляторы'!$E$27)</f>
        <v>белый</v>
      </c>
      <c r="P232" s="292" t="str">
        <f aca="false">"ед."</f>
        <v>ед.</v>
      </c>
      <c r="Q232" s="292" t="n">
        <f aca="false">N('Внешние аккумуляторы'!$G$27)</f>
        <v>0</v>
      </c>
      <c r="R232" s="299" t="n">
        <f aca="false">IF(ISBLANK('Внешние аккумуляторы'!$F$27),"",'Внешние аккумуляторы'!$F$27)</f>
        <v>570.83</v>
      </c>
      <c r="S232" s="292" t="str">
        <f aca="false">IF(ISBLANK('Внешние аккумуляторы'!$H$27),"",'Внешние аккумуляторы'!$H$27)</f>
        <v/>
      </c>
    </row>
    <row r="233" customFormat="false" ht="66" hidden="false" customHeight="true" outlineLevel="0" collapsed="false">
      <c r="A233" s="291" t="str">
        <f aca="true">IF(ISNUMBER($J233),INDIRECT("L"&amp;($J233+4)),"")</f>
        <v/>
      </c>
      <c r="B233" s="291" t="str">
        <f aca="true">IF(ISNUMBER($J233),INDIRECT("M"&amp;($J233+4)),"")</f>
        <v/>
      </c>
      <c r="C233" s="296" t="str">
        <f aca="true">IF(ISNUMBER($J233),INDIRECT("N"&amp;($J233+4)),"")</f>
        <v/>
      </c>
      <c r="D233" s="291" t="str">
        <f aca="true">IF(ISNUMBER($J233),INDIRECT("O"&amp;($J233+4)),"")</f>
        <v/>
      </c>
      <c r="E233" s="291" t="str">
        <f aca="true">IF(ISNUMBER($J233),INDIRECT("P"&amp;($J233+4)),"")</f>
        <v/>
      </c>
      <c r="F233" s="300" t="str">
        <f aca="true">IF(ISNUMBER($J233),INDIRECT("Q"&amp;($J233+4)),"")</f>
        <v/>
      </c>
      <c r="G233" s="298" t="str">
        <f aca="true">IF(ISNUMBER($J233),INDIRECT("R"&amp;($J233+4)),"")</f>
        <v/>
      </c>
      <c r="H233" s="298" t="str">
        <f aca="true">IF(ISNUMBER($J233),INDIRECT("S"&amp;($J233+4)),"")</f>
        <v/>
      </c>
      <c r="J233" s="292" t="str">
        <f aca="true">IF(229&lt;=$K$1,MATCH(228.5,INDIRECT("$K$4:$K$1374"),1),"")</f>
        <v/>
      </c>
      <c r="K233" s="292" t="n">
        <f aca="false">$K$132+COUNTIF($Q$133:Q233,"&gt;0")</f>
        <v>0</v>
      </c>
      <c r="L233" s="292" t="str">
        <f aca="false">"Внешние аккумуляторы"</f>
        <v>Внешние аккумуляторы</v>
      </c>
      <c r="M233" s="292" t="str">
        <f aca="false">IF(ISBLANK('Внешние аккумуляторы'!$A$28),"",'Внешние аккумуляторы'!$A$28)</f>
        <v>BJ79A Clever портативный аккумулятор с 3 кабелями (20000mAh)「Неопасные товары」</v>
      </c>
      <c r="N233" s="292" t="str">
        <f aca="false">IF(ISBLANK('Внешние аккумуляторы'!$D$28),"",'Внешние аккумуляторы'!$D$28)</f>
        <v>6941991121555</v>
      </c>
      <c r="O233" s="292" t="str">
        <f aca="false">IF(ISBLANK('Внешние аккумуляторы'!$E$28),"",'Внешние аккумуляторы'!$E$28)</f>
        <v>чёрный</v>
      </c>
      <c r="P233" s="292" t="str">
        <f aca="false">"ед."</f>
        <v>ед.</v>
      </c>
      <c r="Q233" s="292" t="n">
        <f aca="false">N('Внешние аккумуляторы'!$G$28)</f>
        <v>0</v>
      </c>
      <c r="R233" s="299" t="n">
        <f aca="false">IF(ISBLANK('Внешние аккумуляторы'!$F$28),"",'Внешние аккумуляторы'!$F$28)</f>
        <v>888.86</v>
      </c>
      <c r="S233" s="292" t="str">
        <f aca="false">IF(ISBLANK('Внешние аккумуляторы'!$H$28),"",'Внешние аккумуляторы'!$H$28)</f>
        <v/>
      </c>
    </row>
    <row r="234" customFormat="false" ht="66" hidden="false" customHeight="true" outlineLevel="0" collapsed="false">
      <c r="A234" s="291" t="str">
        <f aca="true">IF(ISNUMBER($J234),INDIRECT("L"&amp;($J234+4)),"")</f>
        <v/>
      </c>
      <c r="B234" s="291" t="str">
        <f aca="true">IF(ISNUMBER($J234),INDIRECT("M"&amp;($J234+4)),"")</f>
        <v/>
      </c>
      <c r="C234" s="296" t="str">
        <f aca="true">IF(ISNUMBER($J234),INDIRECT("N"&amp;($J234+4)),"")</f>
        <v/>
      </c>
      <c r="D234" s="291" t="str">
        <f aca="true">IF(ISNUMBER($J234),INDIRECT("O"&amp;($J234+4)),"")</f>
        <v/>
      </c>
      <c r="E234" s="291" t="str">
        <f aca="true">IF(ISNUMBER($J234),INDIRECT("P"&amp;($J234+4)),"")</f>
        <v/>
      </c>
      <c r="F234" s="300" t="str">
        <f aca="true">IF(ISNUMBER($J234),INDIRECT("Q"&amp;($J234+4)),"")</f>
        <v/>
      </c>
      <c r="G234" s="298" t="str">
        <f aca="true">IF(ISNUMBER($J234),INDIRECT("R"&amp;($J234+4)),"")</f>
        <v/>
      </c>
      <c r="H234" s="298" t="str">
        <f aca="true">IF(ISNUMBER($J234),INDIRECT("S"&amp;($J234+4)),"")</f>
        <v/>
      </c>
      <c r="J234" s="292" t="str">
        <f aca="true">IF(230&lt;=$K$1,MATCH(229.5,INDIRECT("$K$4:$K$1374"),1),"")</f>
        <v/>
      </c>
      <c r="K234" s="292" t="n">
        <f aca="false">$K$132+COUNTIF($Q$133:Q234,"&gt;0")</f>
        <v>0</v>
      </c>
      <c r="L234" s="292" t="str">
        <f aca="false">"Внешние аккумуляторы"</f>
        <v>Внешние аккумуляторы</v>
      </c>
      <c r="M234" s="292" t="str">
        <f aca="false">IF(ISBLANK('Внешние аккумуляторы'!$A$28),"",'Внешние аккумуляторы'!$A$28)</f>
        <v>BJ79A Clever портативный аккумулятор с 3 кабелями (20000mAh)「Неопасные товары」</v>
      </c>
      <c r="N234" s="292" t="str">
        <f aca="false">IF(ISBLANK('Внешние аккумуляторы'!$D$29),"",'Внешние аккумуляторы'!$D$29)</f>
        <v>6941991121562</v>
      </c>
      <c r="O234" s="292" t="str">
        <f aca="false">IF(ISBLANK('Внешние аккумуляторы'!$E$29),"",'Внешние аккумуляторы'!$E$29)</f>
        <v>белый</v>
      </c>
      <c r="P234" s="292" t="str">
        <f aca="false">"ед."</f>
        <v>ед.</v>
      </c>
      <c r="Q234" s="292" t="n">
        <f aca="false">N('Внешние аккумуляторы'!$G$29)</f>
        <v>0</v>
      </c>
      <c r="R234" s="299" t="n">
        <f aca="false">IF(ISBLANK('Внешние аккумуляторы'!$F$29),"",'Внешние аккумуляторы'!$F$29)</f>
        <v>888.86</v>
      </c>
      <c r="S234" s="292" t="str">
        <f aca="false">IF(ISBLANK('Внешние аккумуляторы'!$H$29),"",'Внешние аккумуляторы'!$H$29)</f>
        <v/>
      </c>
    </row>
    <row r="235" customFormat="false" ht="66" hidden="false" customHeight="true" outlineLevel="0" collapsed="false">
      <c r="A235" s="291" t="str">
        <f aca="true">IF(ISNUMBER($J235),INDIRECT("L"&amp;($J235+4)),"")</f>
        <v/>
      </c>
      <c r="B235" s="291" t="str">
        <f aca="true">IF(ISNUMBER($J235),INDIRECT("M"&amp;($J235+4)),"")</f>
        <v/>
      </c>
      <c r="C235" s="296" t="str">
        <f aca="true">IF(ISNUMBER($J235),INDIRECT("N"&amp;($J235+4)),"")</f>
        <v/>
      </c>
      <c r="D235" s="291" t="str">
        <f aca="true">IF(ISNUMBER($J235),INDIRECT("O"&amp;($J235+4)),"")</f>
        <v/>
      </c>
      <c r="E235" s="291" t="str">
        <f aca="true">IF(ISNUMBER($J235),INDIRECT("P"&amp;($J235+4)),"")</f>
        <v/>
      </c>
      <c r="F235" s="300" t="str">
        <f aca="true">IF(ISNUMBER($J235),INDIRECT("Q"&amp;($J235+4)),"")</f>
        <v/>
      </c>
      <c r="G235" s="298" t="str">
        <f aca="true">IF(ISNUMBER($J235),INDIRECT("R"&amp;($J235+4)),"")</f>
        <v/>
      </c>
      <c r="H235" s="298" t="str">
        <f aca="true">IF(ISNUMBER($J235),INDIRECT("S"&amp;($J235+4)),"")</f>
        <v/>
      </c>
      <c r="J235" s="292" t="str">
        <f aca="true">IF(231&lt;=$K$1,MATCH(230.5,INDIRECT("$K$4:$K$1374"),1),"")</f>
        <v/>
      </c>
      <c r="K235" s="292" t="n">
        <f aca="false">$K$132+COUNTIF($Q$133:Q235,"&gt;0")</f>
        <v>0</v>
      </c>
      <c r="L235" s="292" t="str">
        <f aca="false">"Внешние аккумуляторы"</f>
        <v>Внешние аккумуляторы</v>
      </c>
      <c r="M235" s="292" t="str">
        <f aca="false">IF(ISBLANK('Внешние аккумуляторы'!$A$30),"",'Внешние аккумуляторы'!$A$30)</f>
        <v>BJ79B Clever портативный аккумулятор с 3 кабелями (30000mAh)</v>
      </c>
      <c r="N235" s="292" t="str">
        <f aca="false">IF(ISBLANK('Внешние аккумуляторы'!$D$30),"",'Внешние аккумуляторы'!$D$30)</f>
        <v>6941991121579</v>
      </c>
      <c r="O235" s="292" t="str">
        <f aca="false">IF(ISBLANK('Внешние аккумуляторы'!$E$30),"",'Внешние аккумуляторы'!$E$30)</f>
        <v>чёрный</v>
      </c>
      <c r="P235" s="292" t="str">
        <f aca="false">"ед."</f>
        <v>ед.</v>
      </c>
      <c r="Q235" s="292" t="n">
        <f aca="false">N('Внешние аккумуляторы'!$G$30)</f>
        <v>0</v>
      </c>
      <c r="R235" s="299" t="n">
        <f aca="false">IF(ISBLANK('Внешние аккумуляторы'!$F$30),"",'Внешние аккумуляторы'!$F$30)</f>
        <v>1198.74</v>
      </c>
      <c r="S235" s="292" t="str">
        <f aca="false">IF(ISBLANK('Внешние аккумуляторы'!$H$30),"",'Внешние аккумуляторы'!$H$30)</f>
        <v/>
      </c>
    </row>
    <row r="236" customFormat="false" ht="66" hidden="false" customHeight="true" outlineLevel="0" collapsed="false">
      <c r="A236" s="291" t="str">
        <f aca="true">IF(ISNUMBER($J236),INDIRECT("L"&amp;($J236+4)),"")</f>
        <v/>
      </c>
      <c r="B236" s="291" t="str">
        <f aca="true">IF(ISNUMBER($J236),INDIRECT("M"&amp;($J236+4)),"")</f>
        <v/>
      </c>
      <c r="C236" s="296" t="str">
        <f aca="true">IF(ISNUMBER($J236),INDIRECT("N"&amp;($J236+4)),"")</f>
        <v/>
      </c>
      <c r="D236" s="291" t="str">
        <f aca="true">IF(ISNUMBER($J236),INDIRECT("O"&amp;($J236+4)),"")</f>
        <v/>
      </c>
      <c r="E236" s="291" t="str">
        <f aca="true">IF(ISNUMBER($J236),INDIRECT("P"&amp;($J236+4)),"")</f>
        <v/>
      </c>
      <c r="F236" s="300" t="str">
        <f aca="true">IF(ISNUMBER($J236),INDIRECT("Q"&amp;($J236+4)),"")</f>
        <v/>
      </c>
      <c r="G236" s="298" t="str">
        <f aca="true">IF(ISNUMBER($J236),INDIRECT("R"&amp;($J236+4)),"")</f>
        <v/>
      </c>
      <c r="H236" s="298" t="str">
        <f aca="true">IF(ISNUMBER($J236),INDIRECT("S"&amp;($J236+4)),"")</f>
        <v/>
      </c>
      <c r="J236" s="292" t="str">
        <f aca="true">IF(232&lt;=$K$1,MATCH(231.5,INDIRECT("$K$4:$K$1374"),1),"")</f>
        <v/>
      </c>
      <c r="K236" s="292" t="n">
        <f aca="false">$K$132+COUNTIF($Q$133:Q236,"&gt;0")</f>
        <v>0</v>
      </c>
      <c r="L236" s="292" t="str">
        <f aca="false">"Внешние аккумуляторы"</f>
        <v>Внешние аккумуляторы</v>
      </c>
      <c r="M236" s="292" t="str">
        <f aca="false">IF(ISBLANK('Внешние аккумуляторы'!$A$31),"",'Внешние аккумуляторы'!$A$31)</f>
        <v>BJ79C Clever портативный аккумулятор с 3 кабелями (50000mAh)</v>
      </c>
      <c r="N236" s="292" t="str">
        <f aca="false">IF(ISBLANK('Внешние аккумуляторы'!$D$31),"",'Внешние аккумуляторы'!$D$31)</f>
        <v>6941991121586</v>
      </c>
      <c r="O236" s="292" t="str">
        <f aca="false">IF(ISBLANK('Внешние аккумуляторы'!$E$31),"",'Внешние аккумуляторы'!$E$31)</f>
        <v>чёрный</v>
      </c>
      <c r="P236" s="292" t="str">
        <f aca="false">"ед."</f>
        <v>ед.</v>
      </c>
      <c r="Q236" s="292" t="n">
        <f aca="false">N('Внешние аккумуляторы'!$G$31)</f>
        <v>0</v>
      </c>
      <c r="R236" s="299" t="n">
        <f aca="false">IF(ISBLANK('Внешние аккумуляторы'!$F$31),"",'Внешние аккумуляторы'!$F$31)</f>
        <v>1859.27</v>
      </c>
      <c r="S236" s="292" t="str">
        <f aca="false">IF(ISBLANK('Внешние аккумуляторы'!$H$31),"",'Внешние аккумуляторы'!$H$31)</f>
        <v/>
      </c>
    </row>
    <row r="237" customFormat="false" ht="66" hidden="false" customHeight="true" outlineLevel="0" collapsed="false">
      <c r="A237" s="291" t="str">
        <f aca="true">IF(ISNUMBER($J237),INDIRECT("L"&amp;($J237+4)),"")</f>
        <v/>
      </c>
      <c r="B237" s="291" t="str">
        <f aca="true">IF(ISNUMBER($J237),INDIRECT("M"&amp;($J237+4)),"")</f>
        <v/>
      </c>
      <c r="C237" s="296" t="str">
        <f aca="true">IF(ISNUMBER($J237),INDIRECT("N"&amp;($J237+4)),"")</f>
        <v/>
      </c>
      <c r="D237" s="291" t="str">
        <f aca="true">IF(ISNUMBER($J237),INDIRECT("O"&amp;($J237+4)),"")</f>
        <v/>
      </c>
      <c r="E237" s="291" t="str">
        <f aca="true">IF(ISNUMBER($J237),INDIRECT("P"&amp;($J237+4)),"")</f>
        <v/>
      </c>
      <c r="F237" s="300" t="str">
        <f aca="true">IF(ISNUMBER($J237),INDIRECT("Q"&amp;($J237+4)),"")</f>
        <v/>
      </c>
      <c r="G237" s="298" t="str">
        <f aca="true">IF(ISNUMBER($J237),INDIRECT("R"&amp;($J237+4)),"")</f>
        <v/>
      </c>
      <c r="H237" s="298" t="str">
        <f aca="true">IF(ISNUMBER($J237),INDIRECT("S"&amp;($J237+4)),"")</f>
        <v/>
      </c>
      <c r="J237" s="292" t="str">
        <f aca="true">IF(233&lt;=$K$1,MATCH(232.5,INDIRECT("$K$4:$K$1374"),1),"")</f>
        <v/>
      </c>
      <c r="K237" s="292" t="n">
        <f aca="false">$K$132+COUNTIF($Q$133:Q237,"&gt;0")</f>
        <v>0</v>
      </c>
      <c r="L237" s="292" t="str">
        <f aca="false">"Внешние аккумуляторы"</f>
        <v>Внешние аккумуляторы</v>
      </c>
      <c r="M237" s="292" t="str">
        <f aca="false">IF(ISBLANK('Внешние аккумуляторы'!$A$32),"",'Внешние аккумуляторы'!$A$32)</f>
        <v>BJ78 Clever портативный аккумулятор (10000mAh)</v>
      </c>
      <c r="N237" s="292" t="str">
        <f aca="false">IF(ISBLANK('Внешние аккумуляторы'!$D$32),"",'Внешние аккумуляторы'!$D$32)</f>
        <v>6941991121470</v>
      </c>
      <c r="O237" s="292" t="str">
        <f aca="false">IF(ISBLANK('Внешние аккумуляторы'!$E$32),"",'Внешние аккумуляторы'!$E$32)</f>
        <v>чёрный</v>
      </c>
      <c r="P237" s="292" t="str">
        <f aca="false">"ед."</f>
        <v>ед.</v>
      </c>
      <c r="Q237" s="292" t="n">
        <f aca="false">N('Внешние аккумуляторы'!$G$32)</f>
        <v>0</v>
      </c>
      <c r="R237" s="299" t="n">
        <f aca="false">IF(ISBLANK('Внешние аккумуляторы'!$F$32),"",'Внешние аккумуляторы'!$F$32)</f>
        <v>513.75</v>
      </c>
      <c r="S237" s="292" t="str">
        <f aca="false">IF(ISBLANK('Внешние аккумуляторы'!$H$32),"",'Внешние аккумуляторы'!$H$32)</f>
        <v/>
      </c>
    </row>
    <row r="238" customFormat="false" ht="66" hidden="false" customHeight="true" outlineLevel="0" collapsed="false">
      <c r="A238" s="291" t="str">
        <f aca="true">IF(ISNUMBER($J238),INDIRECT("L"&amp;($J238+4)),"")</f>
        <v/>
      </c>
      <c r="B238" s="291" t="str">
        <f aca="true">IF(ISNUMBER($J238),INDIRECT("M"&amp;($J238+4)),"")</f>
        <v/>
      </c>
      <c r="C238" s="296" t="str">
        <f aca="true">IF(ISNUMBER($J238),INDIRECT("N"&amp;($J238+4)),"")</f>
        <v/>
      </c>
      <c r="D238" s="291" t="str">
        <f aca="true">IF(ISNUMBER($J238),INDIRECT("O"&amp;($J238+4)),"")</f>
        <v/>
      </c>
      <c r="E238" s="291" t="str">
        <f aca="true">IF(ISNUMBER($J238),INDIRECT("P"&amp;($J238+4)),"")</f>
        <v/>
      </c>
      <c r="F238" s="300" t="str">
        <f aca="true">IF(ISNUMBER($J238),INDIRECT("Q"&amp;($J238+4)),"")</f>
        <v/>
      </c>
      <c r="G238" s="298" t="str">
        <f aca="true">IF(ISNUMBER($J238),INDIRECT("R"&amp;($J238+4)),"")</f>
        <v/>
      </c>
      <c r="H238" s="298" t="str">
        <f aca="true">IF(ISNUMBER($J238),INDIRECT("S"&amp;($J238+4)),"")</f>
        <v/>
      </c>
      <c r="J238" s="292" t="str">
        <f aca="true">IF(234&lt;=$K$1,MATCH(233.5,INDIRECT("$K$4:$K$1374"),1),"")</f>
        <v/>
      </c>
      <c r="K238" s="292" t="n">
        <f aca="false">$K$132+COUNTIF($Q$133:Q238,"&gt;0")</f>
        <v>0</v>
      </c>
      <c r="L238" s="292" t="str">
        <f aca="false">"Внешние аккумуляторы"</f>
        <v>Внешние аккумуляторы</v>
      </c>
      <c r="M238" s="292" t="str">
        <f aca="false">IF(ISBLANK('Внешние аккумуляторы'!$A$32),"",'Внешние аккумуляторы'!$A$32)</f>
        <v>BJ78 Clever портативный аккумулятор (10000mAh)</v>
      </c>
      <c r="N238" s="292" t="str">
        <f aca="false">IF(ISBLANK('Внешние аккумуляторы'!$D$33),"",'Внешние аккумуляторы'!$D$33)</f>
        <v>6941991121487</v>
      </c>
      <c r="O238" s="292" t="str">
        <f aca="false">IF(ISBLANK('Внешние аккумуляторы'!$E$33),"",'Внешние аккумуляторы'!$E$33)</f>
        <v>белый</v>
      </c>
      <c r="P238" s="292" t="str">
        <f aca="false">"ед."</f>
        <v>ед.</v>
      </c>
      <c r="Q238" s="292" t="n">
        <f aca="false">N('Внешние аккумуляторы'!$G$33)</f>
        <v>0</v>
      </c>
      <c r="R238" s="299" t="n">
        <f aca="false">IF(ISBLANK('Внешние аккумуляторы'!$F$33),"",'Внешние аккумуляторы'!$F$33)</f>
        <v>513.75</v>
      </c>
      <c r="S238" s="292" t="str">
        <f aca="false">IF(ISBLANK('Внешние аккумуляторы'!$H$33),"",'Внешние аккумуляторы'!$H$33)</f>
        <v/>
      </c>
    </row>
    <row r="239" customFormat="false" ht="66" hidden="false" customHeight="true" outlineLevel="0" collapsed="false">
      <c r="A239" s="291" t="str">
        <f aca="true">IF(ISNUMBER($J239),INDIRECT("L"&amp;($J239+4)),"")</f>
        <v/>
      </c>
      <c r="B239" s="291" t="str">
        <f aca="true">IF(ISNUMBER($J239),INDIRECT("M"&amp;($J239+4)),"")</f>
        <v/>
      </c>
      <c r="C239" s="296" t="str">
        <f aca="true">IF(ISNUMBER($J239),INDIRECT("N"&amp;($J239+4)),"")</f>
        <v/>
      </c>
      <c r="D239" s="291" t="str">
        <f aca="true">IF(ISNUMBER($J239),INDIRECT("O"&amp;($J239+4)),"")</f>
        <v/>
      </c>
      <c r="E239" s="291" t="str">
        <f aca="true">IF(ISNUMBER($J239),INDIRECT("P"&amp;($J239+4)),"")</f>
        <v/>
      </c>
      <c r="F239" s="300" t="str">
        <f aca="true">IF(ISNUMBER($J239),INDIRECT("Q"&amp;($J239+4)),"")</f>
        <v/>
      </c>
      <c r="G239" s="298" t="str">
        <f aca="true">IF(ISNUMBER($J239),INDIRECT("R"&amp;($J239+4)),"")</f>
        <v/>
      </c>
      <c r="H239" s="298" t="str">
        <f aca="true">IF(ISNUMBER($J239),INDIRECT("S"&amp;($J239+4)),"")</f>
        <v/>
      </c>
      <c r="J239" s="292" t="str">
        <f aca="true">IF(235&lt;=$K$1,MATCH(234.5,INDIRECT("$K$4:$K$1374"),1),"")</f>
        <v/>
      </c>
      <c r="K239" s="292" t="n">
        <f aca="false">$K$132+COUNTIF($Q$133:Q239,"&gt;0")</f>
        <v>0</v>
      </c>
      <c r="L239" s="292" t="str">
        <f aca="false">"Внешние аккумуляторы"</f>
        <v>Внешние аккумуляторы</v>
      </c>
      <c r="M239" s="292" t="str">
        <f aca="false">IF(ISBLANK('Внешние аккумуляторы'!$A$34),"",'Внешние аккумуляторы'!$A$34)</f>
        <v>BJ78A Clever портативный аккумулятор (20000mAh)「Неопасные товары」</v>
      </c>
      <c r="N239" s="292" t="str">
        <f aca="false">IF(ISBLANK('Внешние аккумуляторы'!$D$34),"",'Внешние аккумуляторы'!$D$34)</f>
        <v>6941991121494</v>
      </c>
      <c r="O239" s="292" t="str">
        <f aca="false">IF(ISBLANK('Внешние аккумуляторы'!$E$34),"",'Внешние аккумуляторы'!$E$34)</f>
        <v>чёрный</v>
      </c>
      <c r="P239" s="292" t="str">
        <f aca="false">"ед."</f>
        <v>ед.</v>
      </c>
      <c r="Q239" s="292" t="n">
        <f aca="false">N('Внешние аккумуляторы'!$G$34)</f>
        <v>0</v>
      </c>
      <c r="R239" s="299" t="n">
        <f aca="false">IF(ISBLANK('Внешние аккумуляторы'!$F$34),"",'Внешние аккумуляторы'!$F$34)</f>
        <v>823.63</v>
      </c>
      <c r="S239" s="292" t="str">
        <f aca="false">IF(ISBLANK('Внешние аккумуляторы'!$H$34),"",'Внешние аккумуляторы'!$H$34)</f>
        <v/>
      </c>
    </row>
    <row r="240" customFormat="false" ht="66" hidden="false" customHeight="true" outlineLevel="0" collapsed="false">
      <c r="A240" s="291" t="str">
        <f aca="true">IF(ISNUMBER($J240),INDIRECT("L"&amp;($J240+4)),"")</f>
        <v/>
      </c>
      <c r="B240" s="291" t="str">
        <f aca="true">IF(ISNUMBER($J240),INDIRECT("M"&amp;($J240+4)),"")</f>
        <v/>
      </c>
      <c r="C240" s="296" t="str">
        <f aca="true">IF(ISNUMBER($J240),INDIRECT("N"&amp;($J240+4)),"")</f>
        <v/>
      </c>
      <c r="D240" s="291" t="str">
        <f aca="true">IF(ISNUMBER($J240),INDIRECT("O"&amp;($J240+4)),"")</f>
        <v/>
      </c>
      <c r="E240" s="291" t="str">
        <f aca="true">IF(ISNUMBER($J240),INDIRECT("P"&amp;($J240+4)),"")</f>
        <v/>
      </c>
      <c r="F240" s="300" t="str">
        <f aca="true">IF(ISNUMBER($J240),INDIRECT("Q"&amp;($J240+4)),"")</f>
        <v/>
      </c>
      <c r="G240" s="298" t="str">
        <f aca="true">IF(ISNUMBER($J240),INDIRECT("R"&amp;($J240+4)),"")</f>
        <v/>
      </c>
      <c r="H240" s="298" t="str">
        <f aca="true">IF(ISNUMBER($J240),INDIRECT("S"&amp;($J240+4)),"")</f>
        <v/>
      </c>
      <c r="J240" s="292" t="str">
        <f aca="true">IF(236&lt;=$K$1,MATCH(235.5,INDIRECT("$K$4:$K$1374"),1),"")</f>
        <v/>
      </c>
      <c r="K240" s="292" t="n">
        <f aca="false">$K$132+COUNTIF($Q$133:Q240,"&gt;0")</f>
        <v>0</v>
      </c>
      <c r="L240" s="292" t="str">
        <f aca="false">"Внешние аккумуляторы"</f>
        <v>Внешние аккумуляторы</v>
      </c>
      <c r="M240" s="292" t="str">
        <f aca="false">IF(ISBLANK('Внешние аккумуляторы'!$A$34),"",'Внешние аккумуляторы'!$A$34)</f>
        <v>BJ78A Clever портативный аккумулятор (20000mAh)「Неопасные товары」</v>
      </c>
      <c r="N240" s="292" t="str">
        <f aca="false">IF(ISBLANK('Внешние аккумуляторы'!$D$35),"",'Внешние аккумуляторы'!$D$35)</f>
        <v>6941991121500</v>
      </c>
      <c r="O240" s="292" t="str">
        <f aca="false">IF(ISBLANK('Внешние аккумуляторы'!$E$35),"",'Внешние аккумуляторы'!$E$35)</f>
        <v>белый</v>
      </c>
      <c r="P240" s="292" t="str">
        <f aca="false">"ед."</f>
        <v>ед.</v>
      </c>
      <c r="Q240" s="292" t="n">
        <f aca="false">N('Внешние аккумуляторы'!$G$35)</f>
        <v>0</v>
      </c>
      <c r="R240" s="299" t="n">
        <f aca="false">IF(ISBLANK('Внешние аккумуляторы'!$F$35),"",'Внешние аккумуляторы'!$F$35)</f>
        <v>823.63</v>
      </c>
      <c r="S240" s="292" t="str">
        <f aca="false">IF(ISBLANK('Внешние аккумуляторы'!$H$35),"",'Внешние аккумуляторы'!$H$35)</f>
        <v/>
      </c>
    </row>
    <row r="241" customFormat="false" ht="66" hidden="false" customHeight="true" outlineLevel="0" collapsed="false">
      <c r="A241" s="291" t="str">
        <f aca="true">IF(ISNUMBER($J241),INDIRECT("L"&amp;($J241+4)),"")</f>
        <v/>
      </c>
      <c r="B241" s="291" t="str">
        <f aca="true">IF(ISNUMBER($J241),INDIRECT("M"&amp;($J241+4)),"")</f>
        <v/>
      </c>
      <c r="C241" s="296" t="str">
        <f aca="true">IF(ISNUMBER($J241),INDIRECT("N"&amp;($J241+4)),"")</f>
        <v/>
      </c>
      <c r="D241" s="291" t="str">
        <f aca="true">IF(ISNUMBER($J241),INDIRECT("O"&amp;($J241+4)),"")</f>
        <v/>
      </c>
      <c r="E241" s="291" t="str">
        <f aca="true">IF(ISNUMBER($J241),INDIRECT("P"&amp;($J241+4)),"")</f>
        <v/>
      </c>
      <c r="F241" s="300" t="str">
        <f aca="true">IF(ISNUMBER($J241),INDIRECT("Q"&amp;($J241+4)),"")</f>
        <v/>
      </c>
      <c r="G241" s="298" t="str">
        <f aca="true">IF(ISNUMBER($J241),INDIRECT("R"&amp;($J241+4)),"")</f>
        <v/>
      </c>
      <c r="H241" s="298" t="str">
        <f aca="true">IF(ISNUMBER($J241),INDIRECT("S"&amp;($J241+4)),"")</f>
        <v/>
      </c>
      <c r="J241" s="292" t="str">
        <f aca="true">IF(237&lt;=$K$1,MATCH(236.5,INDIRECT("$K$4:$K$1374"),1),"")</f>
        <v/>
      </c>
      <c r="K241" s="292" t="n">
        <f aca="false">$K$132+COUNTIF($Q$133:Q241,"&gt;0")</f>
        <v>0</v>
      </c>
      <c r="L241" s="292" t="str">
        <f aca="false">"Внешние аккумуляторы"</f>
        <v>Внешние аккумуляторы</v>
      </c>
      <c r="M241" s="292" t="str">
        <f aca="false">IF(ISBLANK('Внешние аккумуляторы'!$A$36),"",'Внешние аккумуляторы'!$A$36)</f>
        <v>BJ76 Smart портативный аккумулятор с 4 кабелями (10000mAh)</v>
      </c>
      <c r="N241" s="292" t="str">
        <f aca="false">IF(ISBLANK('Внешние аккумуляторы'!$D$36),"",'Внешние аккумуляторы'!$D$36)</f>
        <v>6941991120046</v>
      </c>
      <c r="O241" s="292" t="str">
        <f aca="false">IF(ISBLANK('Внешние аккумуляторы'!$E$36),"",'Внешние аккумуляторы'!$E$36)</f>
        <v>чёрный</v>
      </c>
      <c r="P241" s="292" t="str">
        <f aca="false">"ед."</f>
        <v>ед.</v>
      </c>
      <c r="Q241" s="292" t="n">
        <f aca="false">N('Внешние аккумуляторы'!$G$36)</f>
        <v>0</v>
      </c>
      <c r="R241" s="299" t="n">
        <f aca="false">IF(ISBLANK('Внешние аккумуляторы'!$F$36),"",'Внешние аккумуляторы'!$F$36)</f>
        <v>627.91</v>
      </c>
      <c r="S241" s="292" t="str">
        <f aca="false">IF(ISBLANK('Внешние аккумуляторы'!$H$36),"",'Внешние аккумуляторы'!$H$36)</f>
        <v/>
      </c>
    </row>
    <row r="242" customFormat="false" ht="66" hidden="false" customHeight="true" outlineLevel="0" collapsed="false">
      <c r="A242" s="291" t="str">
        <f aca="true">IF(ISNUMBER($J242),INDIRECT("L"&amp;($J242+4)),"")</f>
        <v/>
      </c>
      <c r="B242" s="291" t="str">
        <f aca="true">IF(ISNUMBER($J242),INDIRECT("M"&amp;($J242+4)),"")</f>
        <v/>
      </c>
      <c r="C242" s="296" t="str">
        <f aca="true">IF(ISNUMBER($J242),INDIRECT("N"&amp;($J242+4)),"")</f>
        <v/>
      </c>
      <c r="D242" s="291" t="str">
        <f aca="true">IF(ISNUMBER($J242),INDIRECT("O"&amp;($J242+4)),"")</f>
        <v/>
      </c>
      <c r="E242" s="291" t="str">
        <f aca="true">IF(ISNUMBER($J242),INDIRECT("P"&amp;($J242+4)),"")</f>
        <v/>
      </c>
      <c r="F242" s="300" t="str">
        <f aca="true">IF(ISNUMBER($J242),INDIRECT("Q"&amp;($J242+4)),"")</f>
        <v/>
      </c>
      <c r="G242" s="298" t="str">
        <f aca="true">IF(ISNUMBER($J242),INDIRECT("R"&amp;($J242+4)),"")</f>
        <v/>
      </c>
      <c r="H242" s="298" t="str">
        <f aca="true">IF(ISNUMBER($J242),INDIRECT("S"&amp;($J242+4)),"")</f>
        <v/>
      </c>
      <c r="J242" s="292" t="str">
        <f aca="true">IF(238&lt;=$K$1,MATCH(237.5,INDIRECT("$K$4:$K$1374"),1),"")</f>
        <v/>
      </c>
      <c r="K242" s="292" t="n">
        <f aca="false">$K$132+COUNTIF($Q$133:Q242,"&gt;0")</f>
        <v>0</v>
      </c>
      <c r="L242" s="292" t="str">
        <f aca="false">"Внешние аккумуляторы"</f>
        <v>Внешние аккумуляторы</v>
      </c>
      <c r="M242" s="292" t="str">
        <f aca="false">IF(ISBLANK('Внешние аккумуляторы'!$A$37),"",'Внешние аккумуляторы'!$A$37)</f>
        <v>BJ76A Smart портативный аккумулятор с 4 кабелями (20000mAh)「Неопасные товары」</v>
      </c>
      <c r="N242" s="292" t="str">
        <f aca="false">IF(ISBLANK('Внешние аккумуляторы'!$D$37),"",'Внешние аккумуляторы'!$D$37)</f>
        <v>6941991120053</v>
      </c>
      <c r="O242" s="292" t="str">
        <f aca="false">IF(ISBLANK('Внешние аккумуляторы'!$E$37),"",'Внешние аккумуляторы'!$E$37)</f>
        <v>чёрный</v>
      </c>
      <c r="P242" s="292" t="str">
        <f aca="false">"ед."</f>
        <v>ед.</v>
      </c>
      <c r="Q242" s="292" t="n">
        <f aca="false">N('Внешние аккумуляторы'!$G$37)</f>
        <v>0</v>
      </c>
      <c r="R242" s="299" t="n">
        <f aca="false">IF(ISBLANK('Внешние аккумуляторы'!$F$37),"",'Внешние аккумуляторы'!$F$37)</f>
        <v>945.95</v>
      </c>
      <c r="S242" s="292" t="str">
        <f aca="false">IF(ISBLANK('Внешние аккумуляторы'!$H$37),"",'Внешние аккумуляторы'!$H$37)</f>
        <v/>
      </c>
    </row>
    <row r="243" customFormat="false" ht="66" hidden="false" customHeight="true" outlineLevel="0" collapsed="false">
      <c r="A243" s="291" t="str">
        <f aca="true">IF(ISNUMBER($J243),INDIRECT("L"&amp;($J243+4)),"")</f>
        <v/>
      </c>
      <c r="B243" s="291" t="str">
        <f aca="true">IF(ISNUMBER($J243),INDIRECT("M"&amp;($J243+4)),"")</f>
        <v/>
      </c>
      <c r="C243" s="296" t="str">
        <f aca="true">IF(ISNUMBER($J243),INDIRECT("N"&amp;($J243+4)),"")</f>
        <v/>
      </c>
      <c r="D243" s="291" t="str">
        <f aca="true">IF(ISNUMBER($J243),INDIRECT("O"&amp;($J243+4)),"")</f>
        <v/>
      </c>
      <c r="E243" s="291" t="str">
        <f aca="true">IF(ISNUMBER($J243),INDIRECT("P"&amp;($J243+4)),"")</f>
        <v/>
      </c>
      <c r="F243" s="300" t="str">
        <f aca="true">IF(ISNUMBER($J243),INDIRECT("Q"&amp;($J243+4)),"")</f>
        <v/>
      </c>
      <c r="G243" s="298" t="str">
        <f aca="true">IF(ISNUMBER($J243),INDIRECT("R"&amp;($J243+4)),"")</f>
        <v/>
      </c>
      <c r="H243" s="298" t="str">
        <f aca="true">IF(ISNUMBER($J243),INDIRECT("S"&amp;($J243+4)),"")</f>
        <v/>
      </c>
      <c r="J243" s="292" t="str">
        <f aca="true">IF(239&lt;=$K$1,MATCH(238.5,INDIRECT("$K$4:$K$1374"),1),"")</f>
        <v/>
      </c>
      <c r="K243" s="292" t="n">
        <f aca="false">$K$132+COUNTIF($Q$133:Q243,"&gt;0")</f>
        <v>0</v>
      </c>
      <c r="L243" s="292" t="str">
        <f aca="false">"Внешние аккумуляторы"</f>
        <v>Внешние аккумуляторы</v>
      </c>
      <c r="M243" s="292" t="str">
        <f aca="false">IF(ISBLANK('Внешние аккумуляторы'!$A$38),"",'Внешние аккумуляторы'!$A$38)</f>
        <v>BJ66 Magnifico 22.5W+PD20W универсальный портативный аккумулятор(40000mAh)</v>
      </c>
      <c r="N243" s="292" t="str">
        <f aca="false">IF(ISBLANK('Внешние аккумуляторы'!$D$38),"",'Внешние аккумуляторы'!$D$38)</f>
        <v>6941991115141</v>
      </c>
      <c r="O243" s="292" t="str">
        <f aca="false">IF(ISBLANK('Внешние аккумуляторы'!$E$38),"",'Внешние аккумуляторы'!$E$38)</f>
        <v>чёрный</v>
      </c>
      <c r="P243" s="292" t="str">
        <f aca="false">"ед."</f>
        <v>ед.</v>
      </c>
      <c r="Q243" s="292" t="n">
        <f aca="false">N('Внешние аккумуляторы'!$G$38)</f>
        <v>0</v>
      </c>
      <c r="R243" s="299" t="n">
        <f aca="false">IF(ISBLANK('Внешние аккумуляторы'!$F$38),"",'Внешние аккумуляторы'!$F$38)</f>
        <v>2161</v>
      </c>
      <c r="S243" s="292" t="str">
        <f aca="false">IF(ISBLANK('Внешние аккумуляторы'!$H$38),"",'Внешние аккумуляторы'!$H$38)</f>
        <v/>
      </c>
    </row>
    <row r="244" customFormat="false" ht="66" hidden="false" customHeight="true" outlineLevel="0" collapsed="false">
      <c r="A244" s="291" t="str">
        <f aca="true">IF(ISNUMBER($J244),INDIRECT("L"&amp;($J244+4)),"")</f>
        <v/>
      </c>
      <c r="B244" s="291" t="str">
        <f aca="true">IF(ISNUMBER($J244),INDIRECT("M"&amp;($J244+4)),"")</f>
        <v/>
      </c>
      <c r="C244" s="296" t="str">
        <f aca="true">IF(ISNUMBER($J244),INDIRECT("N"&amp;($J244+4)),"")</f>
        <v/>
      </c>
      <c r="D244" s="291" t="str">
        <f aca="true">IF(ISNUMBER($J244),INDIRECT("O"&amp;($J244+4)),"")</f>
        <v/>
      </c>
      <c r="E244" s="291" t="str">
        <f aca="true">IF(ISNUMBER($J244),INDIRECT("P"&amp;($J244+4)),"")</f>
        <v/>
      </c>
      <c r="F244" s="300" t="str">
        <f aca="true">IF(ISNUMBER($J244),INDIRECT("Q"&amp;($J244+4)),"")</f>
        <v/>
      </c>
      <c r="G244" s="298" t="str">
        <f aca="true">IF(ISNUMBER($J244),INDIRECT("R"&amp;($J244+4)),"")</f>
        <v/>
      </c>
      <c r="H244" s="298" t="str">
        <f aca="true">IF(ISNUMBER($J244),INDIRECT("S"&amp;($J244+4)),"")</f>
        <v/>
      </c>
      <c r="J244" s="292" t="str">
        <f aca="true">IF(240&lt;=$K$1,MATCH(239.5,INDIRECT("$K$4:$K$1374"),1),"")</f>
        <v/>
      </c>
      <c r="K244" s="292" t="n">
        <f aca="false">$K$132+COUNTIF($Q$133:Q244,"&gt;0")</f>
        <v>0</v>
      </c>
      <c r="L244" s="292" t="str">
        <f aca="false">"Внешние аккумуляторы"</f>
        <v>Внешние аккумуляторы</v>
      </c>
      <c r="M244" s="292" t="str">
        <f aca="false">IF(ISBLANK('Внешние аккумуляторы'!$A$39),"",'Внешние аккумуляторы'!$A$39)</f>
        <v>BJ66A Magnifico 22.5W+PD20W универсальный портативный аккумулятор(50000mAh)</v>
      </c>
      <c r="N244" s="292" t="str">
        <f aca="false">IF(ISBLANK('Внешние аккумуляторы'!$D$39),"",'Внешние аккумуляторы'!$D$39)</f>
        <v>6941991115158</v>
      </c>
      <c r="O244" s="292" t="str">
        <f aca="false">IF(ISBLANK('Внешние аккумуляторы'!$E$39),"",'Внешние аккумуляторы'!$E$39)</f>
        <v>чёрный</v>
      </c>
      <c r="P244" s="292" t="str">
        <f aca="false">"ед."</f>
        <v>ед.</v>
      </c>
      <c r="Q244" s="292" t="n">
        <f aca="false">N('Внешние аккумуляторы'!$G$39)</f>
        <v>0</v>
      </c>
      <c r="R244" s="299" t="n">
        <f aca="false">IF(ISBLANK('Внешние аккумуляторы'!$F$39),"",'Внешние аккумуляторы'!$F$39)</f>
        <v>2527.96</v>
      </c>
      <c r="S244" s="292" t="str">
        <f aca="false">IF(ISBLANK('Внешние аккумуляторы'!$H$39),"",'Внешние аккумуляторы'!$H$39)</f>
        <v/>
      </c>
    </row>
    <row r="245" customFormat="false" ht="66" hidden="false" customHeight="true" outlineLevel="0" collapsed="false">
      <c r="A245" s="291" t="str">
        <f aca="true">IF(ISNUMBER($J245),INDIRECT("L"&amp;($J245+4)),"")</f>
        <v/>
      </c>
      <c r="B245" s="291" t="str">
        <f aca="true">IF(ISNUMBER($J245),INDIRECT("M"&amp;($J245+4)),"")</f>
        <v/>
      </c>
      <c r="C245" s="296" t="str">
        <f aca="true">IF(ISNUMBER($J245),INDIRECT("N"&amp;($J245+4)),"")</f>
        <v/>
      </c>
      <c r="D245" s="291" t="str">
        <f aca="true">IF(ISNUMBER($J245),INDIRECT("O"&amp;($J245+4)),"")</f>
        <v/>
      </c>
      <c r="E245" s="291" t="str">
        <f aca="true">IF(ISNUMBER($J245),INDIRECT("P"&amp;($J245+4)),"")</f>
        <v/>
      </c>
      <c r="F245" s="300" t="str">
        <f aca="true">IF(ISNUMBER($J245),INDIRECT("Q"&amp;($J245+4)),"")</f>
        <v/>
      </c>
      <c r="G245" s="298" t="str">
        <f aca="true">IF(ISNUMBER($J245),INDIRECT("R"&amp;($J245+4)),"")</f>
        <v/>
      </c>
      <c r="H245" s="298" t="str">
        <f aca="true">IF(ISNUMBER($J245),INDIRECT("S"&amp;($J245+4)),"")</f>
        <v/>
      </c>
      <c r="J245" s="292" t="str">
        <f aca="true">IF(241&lt;=$K$1,MATCH(240.5,INDIRECT("$K$4:$K$1374"),1),"")</f>
        <v/>
      </c>
      <c r="K245" s="292" t="n">
        <f aca="false">$K$132+COUNTIF($Q$133:Q245,"&gt;0")</f>
        <v>0</v>
      </c>
      <c r="L245" s="292" t="str">
        <f aca="false">"Внешние аккумуляторы"</f>
        <v>Внешние аккумуляторы</v>
      </c>
      <c r="M245" s="292" t="str">
        <f aca="false">IF(ISBLANK('Внешние аккумуляторы'!$A$40),"",'Внешние аккумуляторы'!$A$40)</f>
        <v>BJ66B Magnifico 22.5W+PD20W универсальный портативный аккумулятор(60000mAh)</v>
      </c>
      <c r="N245" s="292" t="str">
        <f aca="false">IF(ISBLANK('Внешние аккумуляторы'!$D$40),"",'Внешние аккумуляторы'!$D$40)</f>
        <v>6941991115165</v>
      </c>
      <c r="O245" s="292" t="str">
        <f aca="false">IF(ISBLANK('Внешние аккумуляторы'!$E$40),"",'Внешние аккумуляторы'!$E$40)</f>
        <v>чёрный</v>
      </c>
      <c r="P245" s="292" t="str">
        <f aca="false">"ед."</f>
        <v>ед.</v>
      </c>
      <c r="Q245" s="292" t="n">
        <f aca="false">N('Внешние аккумуляторы'!$G$40)</f>
        <v>0</v>
      </c>
      <c r="R245" s="299" t="n">
        <f aca="false">IF(ISBLANK('Внешние аккумуляторы'!$F$40),"",'Внешние аккумуляторы'!$F$40)</f>
        <v>2894.92</v>
      </c>
      <c r="S245" s="292" t="str">
        <f aca="false">IF(ISBLANK('Внешние аккумуляторы'!$H$40),"",'Внешние аккумуляторы'!$H$40)</f>
        <v/>
      </c>
    </row>
    <row r="246" customFormat="false" ht="66" hidden="false" customHeight="true" outlineLevel="0" collapsed="false">
      <c r="A246" s="291" t="str">
        <f aca="true">IF(ISNUMBER($J246),INDIRECT("L"&amp;($J246+4)),"")</f>
        <v/>
      </c>
      <c r="B246" s="291" t="str">
        <f aca="true">IF(ISNUMBER($J246),INDIRECT("M"&amp;($J246+4)),"")</f>
        <v/>
      </c>
      <c r="C246" s="296" t="str">
        <f aca="true">IF(ISNUMBER($J246),INDIRECT("N"&amp;($J246+4)),"")</f>
        <v/>
      </c>
      <c r="D246" s="291" t="str">
        <f aca="true">IF(ISNUMBER($J246),INDIRECT("O"&amp;($J246+4)),"")</f>
        <v/>
      </c>
      <c r="E246" s="291" t="str">
        <f aca="true">IF(ISNUMBER($J246),INDIRECT("P"&amp;($J246+4)),"")</f>
        <v/>
      </c>
      <c r="F246" s="300" t="str">
        <f aca="true">IF(ISNUMBER($J246),INDIRECT("Q"&amp;($J246+4)),"")</f>
        <v/>
      </c>
      <c r="G246" s="298" t="str">
        <f aca="true">IF(ISNUMBER($J246),INDIRECT("R"&amp;($J246+4)),"")</f>
        <v/>
      </c>
      <c r="H246" s="298" t="str">
        <f aca="true">IF(ISNUMBER($J246),INDIRECT("S"&amp;($J246+4)),"")</f>
        <v/>
      </c>
      <c r="J246" s="292" t="str">
        <f aca="true">IF(242&lt;=$K$1,MATCH(241.5,INDIRECT("$K$4:$K$1374"),1),"")</f>
        <v/>
      </c>
      <c r="K246" s="292" t="n">
        <f aca="false">$K$132+COUNTIF($Q$133:Q246,"&gt;0")</f>
        <v>0</v>
      </c>
      <c r="L246" s="292" t="str">
        <f aca="false">"Внешние аккумуляторы"</f>
        <v>Внешние аккумуляторы</v>
      </c>
      <c r="M246" s="292" t="str">
        <f aca="false">IF(ISBLANK('Внешние аккумуляторы'!$A$41),"",'Внешние аккумуляторы'!$A$41)</f>
        <v>BJ65 High 22.5W+PD20W+4 кабеля портативный аккумулятор (30000mAh)</v>
      </c>
      <c r="N246" s="292" t="str">
        <f aca="false">IF(ISBLANK('Внешние аккумуляторы'!$D$41),"",'Внешние аккумуляторы'!$D$41)</f>
        <v>6941991122033</v>
      </c>
      <c r="O246" s="292" t="str">
        <f aca="false">IF(ISBLANK('Внешние аккумуляторы'!$E$41),"",'Внешние аккумуляторы'!$E$41)</f>
        <v>чёрный</v>
      </c>
      <c r="P246" s="292" t="str">
        <f aca="false">"ед."</f>
        <v>ед.</v>
      </c>
      <c r="Q246" s="292" t="n">
        <f aca="false">N('Внешние аккумуляторы'!$G$41)</f>
        <v>0</v>
      </c>
      <c r="R246" s="299" t="n">
        <f aca="false">IF(ISBLANK('Внешние аккумуляторы'!$F$41),"",'Внешние аккумуляторы'!$F$41)</f>
        <v>1622.79</v>
      </c>
      <c r="S246" s="292" t="str">
        <f aca="false">IF(ISBLANK('Внешние аккумуляторы'!$H$41),"",'Внешние аккумуляторы'!$H$41)</f>
        <v/>
      </c>
    </row>
    <row r="247" customFormat="false" ht="66" hidden="false" customHeight="true" outlineLevel="0" collapsed="false">
      <c r="A247" s="291" t="str">
        <f aca="true">IF(ISNUMBER($J247),INDIRECT("L"&amp;($J247+4)),"")</f>
        <v/>
      </c>
      <c r="B247" s="291" t="str">
        <f aca="true">IF(ISNUMBER($J247),INDIRECT("M"&amp;($J247+4)),"")</f>
        <v/>
      </c>
      <c r="C247" s="296" t="str">
        <f aca="true">IF(ISNUMBER($J247),INDIRECT("N"&amp;($J247+4)),"")</f>
        <v/>
      </c>
      <c r="D247" s="291" t="str">
        <f aca="true">IF(ISNUMBER($J247),INDIRECT("O"&amp;($J247+4)),"")</f>
        <v/>
      </c>
      <c r="E247" s="291" t="str">
        <f aca="true">IF(ISNUMBER($J247),INDIRECT("P"&amp;($J247+4)),"")</f>
        <v/>
      </c>
      <c r="F247" s="300" t="str">
        <f aca="true">IF(ISNUMBER($J247),INDIRECT("Q"&amp;($J247+4)),"")</f>
        <v/>
      </c>
      <c r="G247" s="298" t="str">
        <f aca="true">IF(ISNUMBER($J247),INDIRECT("R"&amp;($J247+4)),"")</f>
        <v/>
      </c>
      <c r="H247" s="298" t="str">
        <f aca="true">IF(ISNUMBER($J247),INDIRECT("S"&amp;($J247+4)),"")</f>
        <v/>
      </c>
      <c r="J247" s="292" t="str">
        <f aca="true">IF(243&lt;=$K$1,MATCH(242.5,INDIRECT("$K$4:$K$1374"),1),"")</f>
        <v/>
      </c>
      <c r="K247" s="292" t="n">
        <f aca="false">$K$132+COUNTIF($Q$133:Q247,"&gt;0")</f>
        <v>0</v>
      </c>
      <c r="L247" s="292" t="str">
        <f aca="false">"Внешние аккумуляторы"</f>
        <v>Внешние аккумуляторы</v>
      </c>
      <c r="M247" s="292" t="str">
        <f aca="false">IF(ISBLANK('Внешние аккумуляторы'!$A$42),"",'Внешние аккумуляторы'!$A$42)</f>
        <v>BJ65A High 22.5W+PD20W+4 кабеля портативный аккумулятор (50000mAh)</v>
      </c>
      <c r="N247" s="292" t="str">
        <f aca="false">IF(ISBLANK('Внешние аккумуляторы'!$D$42),"",'Внешние аккумуляторы'!$D$42)</f>
        <v>6941991122040</v>
      </c>
      <c r="O247" s="292" t="str">
        <f aca="false">IF(ISBLANK('Внешние аккумуляторы'!$E$42),"",'Внешние аккумуляторы'!$E$42)</f>
        <v>чёрный</v>
      </c>
      <c r="P247" s="292" t="str">
        <f aca="false">"ед."</f>
        <v>ед.</v>
      </c>
      <c r="Q247" s="292" t="n">
        <f aca="false">N('Внешние аккумуляторы'!$G$42)</f>
        <v>0</v>
      </c>
      <c r="R247" s="299" t="n">
        <f aca="false">IF(ISBLANK('Внешние аккумуляторы'!$F$42),"",'Внешние аккумуляторы'!$F$42)</f>
        <v>2209.93</v>
      </c>
      <c r="S247" s="292" t="str">
        <f aca="false">IF(ISBLANK('Внешние аккумуляторы'!$H$42),"",'Внешние аккумуляторы'!$H$42)</f>
        <v/>
      </c>
    </row>
    <row r="248" customFormat="false" ht="66" hidden="false" customHeight="true" outlineLevel="0" collapsed="false">
      <c r="A248" s="291" t="str">
        <f aca="true">IF(ISNUMBER($J248),INDIRECT("L"&amp;($J248+4)),"")</f>
        <v/>
      </c>
      <c r="B248" s="291" t="str">
        <f aca="true">IF(ISNUMBER($J248),INDIRECT("M"&amp;($J248+4)),"")</f>
        <v/>
      </c>
      <c r="C248" s="296" t="str">
        <f aca="true">IF(ISNUMBER($J248),INDIRECT("N"&amp;($J248+4)),"")</f>
        <v/>
      </c>
      <c r="D248" s="291" t="str">
        <f aca="true">IF(ISNUMBER($J248),INDIRECT("O"&amp;($J248+4)),"")</f>
        <v/>
      </c>
      <c r="E248" s="291" t="str">
        <f aca="true">IF(ISNUMBER($J248),INDIRECT("P"&amp;($J248+4)),"")</f>
        <v/>
      </c>
      <c r="F248" s="300" t="str">
        <f aca="true">IF(ISNUMBER($J248),INDIRECT("Q"&amp;($J248+4)),"")</f>
        <v/>
      </c>
      <c r="G248" s="298" t="str">
        <f aca="true">IF(ISNUMBER($J248),INDIRECT("R"&amp;($J248+4)),"")</f>
        <v/>
      </c>
      <c r="H248" s="298" t="str">
        <f aca="true">IF(ISNUMBER($J248),INDIRECT("S"&amp;($J248+4)),"")</f>
        <v/>
      </c>
      <c r="J248" s="292" t="str">
        <f aca="true">IF(244&lt;=$K$1,MATCH(243.5,INDIRECT("$K$4:$K$1374"),1),"")</f>
        <v/>
      </c>
      <c r="K248" s="292" t="n">
        <f aca="false">$K$132+COUNTIF($Q$133:Q248,"&gt;0")</f>
        <v>0</v>
      </c>
      <c r="L248" s="292" t="str">
        <f aca="false">"Внешние аккумуляторы"</f>
        <v>Внешние аккумуляторы</v>
      </c>
      <c r="M248" s="292" t="str">
        <f aca="false">IF(ISBLANK('Внешние аккумуляторы'!$A$43),"",'Внешние аккумуляторы'!$A$43)</f>
        <v>BJ65B High 22.5W+PD20W+4 кабеля портативный аккумулятор (80000mAh)</v>
      </c>
      <c r="N248" s="292" t="str">
        <f aca="false">IF(ISBLANK('Внешние аккумуляторы'!$D$43),"",'Внешние аккумуляторы'!$D$43)</f>
        <v>6941991122057</v>
      </c>
      <c r="O248" s="292" t="str">
        <f aca="false">IF(ISBLANK('Внешние аккумуляторы'!$E$43),"",'Внешние аккумуляторы'!$E$43)</f>
        <v>чёрный</v>
      </c>
      <c r="P248" s="292" t="str">
        <f aca="false">"ед."</f>
        <v>ед.</v>
      </c>
      <c r="Q248" s="292" t="n">
        <f aca="false">N('Внешние аккумуляторы'!$G$43)</f>
        <v>0</v>
      </c>
      <c r="R248" s="299" t="n">
        <f aca="false">IF(ISBLANK('Внешние аккумуляторы'!$F$43),"",'Внешние аккумуляторы'!$F$43)</f>
        <v>3416.82</v>
      </c>
      <c r="S248" s="292" t="str">
        <f aca="false">IF(ISBLANK('Внешние аккумуляторы'!$H$43),"",'Внешние аккумуляторы'!$H$43)</f>
        <v/>
      </c>
    </row>
    <row r="249" customFormat="false" ht="66" hidden="false" customHeight="true" outlineLevel="0" collapsed="false">
      <c r="A249" s="291" t="str">
        <f aca="true">IF(ISNUMBER($J249),INDIRECT("L"&amp;($J249+4)),"")</f>
        <v/>
      </c>
      <c r="B249" s="291" t="str">
        <f aca="true">IF(ISNUMBER($J249),INDIRECT("M"&amp;($J249+4)),"")</f>
        <v/>
      </c>
      <c r="C249" s="296" t="str">
        <f aca="true">IF(ISNUMBER($J249),INDIRECT("N"&amp;($J249+4)),"")</f>
        <v/>
      </c>
      <c r="D249" s="291" t="str">
        <f aca="true">IF(ISNUMBER($J249),INDIRECT("O"&amp;($J249+4)),"")</f>
        <v/>
      </c>
      <c r="E249" s="291" t="str">
        <f aca="true">IF(ISNUMBER($J249),INDIRECT("P"&amp;($J249+4)),"")</f>
        <v/>
      </c>
      <c r="F249" s="300" t="str">
        <f aca="true">IF(ISNUMBER($J249),INDIRECT("Q"&amp;($J249+4)),"")</f>
        <v/>
      </c>
      <c r="G249" s="298" t="str">
        <f aca="true">IF(ISNUMBER($J249),INDIRECT("R"&amp;($J249+4)),"")</f>
        <v/>
      </c>
      <c r="H249" s="298" t="str">
        <f aca="true">IF(ISNUMBER($J249),INDIRECT("S"&amp;($J249+4)),"")</f>
        <v/>
      </c>
      <c r="J249" s="292" t="str">
        <f aca="true">IF(245&lt;=$K$1,MATCH(244.5,INDIRECT("$K$4:$K$1374"),1),"")</f>
        <v/>
      </c>
      <c r="K249" s="292" t="n">
        <f aca="false">$K$132+COUNTIF($Q$133:Q249,"&gt;0")</f>
        <v>0</v>
      </c>
      <c r="L249" s="292" t="str">
        <f aca="false">"Внешние аккумуляторы"</f>
        <v>Внешние аккумуляторы</v>
      </c>
      <c r="M249" s="292" t="str">
        <f aca="false">IF(ISBLANK('Внешние аккумуляторы'!$A$44),"",'Внешние аккумуляторы'!$A$44)</f>
        <v>BJ57 Graceful 22.5W+PD20W универсальный портативный аккумулятор с кабелем (10000mAh)</v>
      </c>
      <c r="N249" s="292" t="str">
        <f aca="false">IF(ISBLANK('Внешние аккумуляторы'!$D$44),"",'Внешние аккумуляторы'!$D$44)</f>
        <v>6941991111846</v>
      </c>
      <c r="O249" s="292" t="str">
        <f aca="false">IF(ISBLANK('Внешние аккумуляторы'!$E$44),"",'Внешние аккумуляторы'!$E$44)</f>
        <v>черный</v>
      </c>
      <c r="P249" s="292" t="str">
        <f aca="false">"ед."</f>
        <v>ед.</v>
      </c>
      <c r="Q249" s="292" t="n">
        <f aca="false">N('Внешние аккумуляторы'!$G$44)</f>
        <v>0</v>
      </c>
      <c r="R249" s="299" t="n">
        <f aca="false">IF(ISBLANK('Внешние аккумуляторы'!$F$44),"",'Внешние аккумуляторы'!$F$44)</f>
        <v>791.01</v>
      </c>
      <c r="S249" s="292" t="str">
        <f aca="false">IF(ISBLANK('Внешние аккумуляторы'!$H$44),"",'Внешние аккумуляторы'!$H$44)</f>
        <v/>
      </c>
    </row>
    <row r="250" customFormat="false" ht="66" hidden="false" customHeight="true" outlineLevel="0" collapsed="false">
      <c r="A250" s="291" t="str">
        <f aca="true">IF(ISNUMBER($J250),INDIRECT("L"&amp;($J250+4)),"")</f>
        <v/>
      </c>
      <c r="B250" s="291" t="str">
        <f aca="true">IF(ISNUMBER($J250),INDIRECT("M"&amp;($J250+4)),"")</f>
        <v/>
      </c>
      <c r="C250" s="296" t="str">
        <f aca="true">IF(ISNUMBER($J250),INDIRECT("N"&amp;($J250+4)),"")</f>
        <v/>
      </c>
      <c r="D250" s="291" t="str">
        <f aca="true">IF(ISNUMBER($J250),INDIRECT("O"&amp;($J250+4)),"")</f>
        <v/>
      </c>
      <c r="E250" s="291" t="str">
        <f aca="true">IF(ISNUMBER($J250),INDIRECT("P"&amp;($J250+4)),"")</f>
        <v/>
      </c>
      <c r="F250" s="300" t="str">
        <f aca="true">IF(ISNUMBER($J250),INDIRECT("Q"&amp;($J250+4)),"")</f>
        <v/>
      </c>
      <c r="G250" s="298" t="str">
        <f aca="true">IF(ISNUMBER($J250),INDIRECT("R"&amp;($J250+4)),"")</f>
        <v/>
      </c>
      <c r="H250" s="298" t="str">
        <f aca="true">IF(ISNUMBER($J250),INDIRECT("S"&amp;($J250+4)),"")</f>
        <v/>
      </c>
      <c r="J250" s="292" t="str">
        <f aca="true">IF(246&lt;=$K$1,MATCH(245.5,INDIRECT("$K$4:$K$1374"),1),"")</f>
        <v/>
      </c>
      <c r="K250" s="292" t="n">
        <f aca="false">$K$132+COUNTIF($Q$133:Q250,"&gt;0")</f>
        <v>0</v>
      </c>
      <c r="L250" s="292" t="str">
        <f aca="false">"Внешние аккумуляторы"</f>
        <v>Внешние аккумуляторы</v>
      </c>
      <c r="M250" s="292" t="str">
        <f aca="false">IF(ISBLANK('Внешние аккумуляторы'!$A$45),"",'Внешние аккумуляторы'!$A$45)</f>
        <v>BJ57B Graceful 22.5W+PD20W универсальный портативный аккумулятор с кабелем (30000mAh)</v>
      </c>
      <c r="N250" s="292" t="str">
        <f aca="false">IF(ISBLANK('Внешние аккумуляторы'!$D$45),"",'Внешние аккумуляторы'!$D$45)</f>
        <v>6941991116469</v>
      </c>
      <c r="O250" s="292" t="str">
        <f aca="false">IF(ISBLANK('Внешние аккумуляторы'!$E$45),"",'Внешние аккумуляторы'!$E$45)</f>
        <v>чёрный</v>
      </c>
      <c r="P250" s="292" t="str">
        <f aca="false">"ед."</f>
        <v>ед.</v>
      </c>
      <c r="Q250" s="292" t="n">
        <f aca="false">N('Внешние аккумуляторы'!$G$45)</f>
        <v>0</v>
      </c>
      <c r="R250" s="299" t="n">
        <f aca="false">IF(ISBLANK('Внешние аккумуляторы'!$F$45),"",'Внешние аккумуляторы'!$F$45)</f>
        <v>1386.3</v>
      </c>
      <c r="S250" s="292" t="str">
        <f aca="false">IF(ISBLANK('Внешние аккумуляторы'!$H$45),"",'Внешние аккумуляторы'!$H$45)</f>
        <v/>
      </c>
    </row>
    <row r="251" customFormat="false" ht="66" hidden="false" customHeight="true" outlineLevel="0" collapsed="false">
      <c r="A251" s="291" t="str">
        <f aca="true">IF(ISNUMBER($J251),INDIRECT("L"&amp;($J251+4)),"")</f>
        <v/>
      </c>
      <c r="B251" s="291" t="str">
        <f aca="true">IF(ISNUMBER($J251),INDIRECT("M"&amp;($J251+4)),"")</f>
        <v/>
      </c>
      <c r="C251" s="296" t="str">
        <f aca="true">IF(ISNUMBER($J251),INDIRECT("N"&amp;($J251+4)),"")</f>
        <v/>
      </c>
      <c r="D251" s="291" t="str">
        <f aca="true">IF(ISNUMBER($J251),INDIRECT("O"&amp;($J251+4)),"")</f>
        <v/>
      </c>
      <c r="E251" s="291" t="str">
        <f aca="true">IF(ISNUMBER($J251),INDIRECT("P"&amp;($J251+4)),"")</f>
        <v/>
      </c>
      <c r="F251" s="300" t="str">
        <f aca="true">IF(ISNUMBER($J251),INDIRECT("Q"&amp;($J251+4)),"")</f>
        <v/>
      </c>
      <c r="G251" s="298" t="str">
        <f aca="true">IF(ISNUMBER($J251),INDIRECT("R"&amp;($J251+4)),"")</f>
        <v/>
      </c>
      <c r="H251" s="298" t="str">
        <f aca="true">IF(ISNUMBER($J251),INDIRECT("S"&amp;($J251+4)),"")</f>
        <v/>
      </c>
      <c r="J251" s="292" t="str">
        <f aca="true">IF(247&lt;=$K$1,MATCH(246.5,INDIRECT("$K$4:$K$1374"),1),"")</f>
        <v/>
      </c>
      <c r="K251" s="292" t="n">
        <f aca="false">$K$132+COUNTIF($Q$133:Q251,"&gt;0")</f>
        <v>0</v>
      </c>
      <c r="L251" s="292" t="str">
        <f aca="false">"Внешние аккумуляторы"</f>
        <v>Внешние аккумуляторы</v>
      </c>
      <c r="M251" s="292" t="str">
        <f aca="false">IF(ISBLANK('Внешние аккумуляторы'!$A$46),"",'Внешние аккумуляторы'!$A$46)</f>
        <v>BJ56 Graceful 22.5W+PD20W универсальный портативный аккумулятор(10000mAh)</v>
      </c>
      <c r="N251" s="292" t="str">
        <f aca="false">IF(ISBLANK('Внешние аккумуляторы'!$D$46),"",'Внешние аккумуляторы'!$D$46)</f>
        <v>6941991111808</v>
      </c>
      <c r="O251" s="292" t="str">
        <f aca="false">IF(ISBLANK('Внешние аккумуляторы'!$E$46),"",'Внешние аккумуляторы'!$E$46)</f>
        <v>черный</v>
      </c>
      <c r="P251" s="292" t="str">
        <f aca="false">"ед."</f>
        <v>ед.</v>
      </c>
      <c r="Q251" s="292" t="n">
        <f aca="false">N('Внешние аккумуляторы'!$G$46)</f>
        <v>0</v>
      </c>
      <c r="R251" s="299" t="n">
        <f aca="false">IF(ISBLANK('Внешние аккумуляторы'!$F$46),"",'Внешние аккумуляторы'!$F$46)</f>
        <v>685</v>
      </c>
      <c r="S251" s="292" t="str">
        <f aca="false">IF(ISBLANK('Внешние аккумуляторы'!$H$46),"",'Внешние аккумуляторы'!$H$46)</f>
        <v/>
      </c>
    </row>
    <row r="252" customFormat="false" ht="66" hidden="false" customHeight="true" outlineLevel="0" collapsed="false">
      <c r="A252" s="291" t="str">
        <f aca="true">IF(ISNUMBER($J252),INDIRECT("L"&amp;($J252+4)),"")</f>
        <v/>
      </c>
      <c r="B252" s="291" t="str">
        <f aca="true">IF(ISNUMBER($J252),INDIRECT("M"&amp;($J252+4)),"")</f>
        <v/>
      </c>
      <c r="C252" s="296" t="str">
        <f aca="true">IF(ISNUMBER($J252),INDIRECT("N"&amp;($J252+4)),"")</f>
        <v/>
      </c>
      <c r="D252" s="291" t="str">
        <f aca="true">IF(ISNUMBER($J252),INDIRECT("O"&amp;($J252+4)),"")</f>
        <v/>
      </c>
      <c r="E252" s="291" t="str">
        <f aca="true">IF(ISNUMBER($J252),INDIRECT("P"&amp;($J252+4)),"")</f>
        <v/>
      </c>
      <c r="F252" s="300" t="str">
        <f aca="true">IF(ISNUMBER($J252),INDIRECT("Q"&amp;($J252+4)),"")</f>
        <v/>
      </c>
      <c r="G252" s="298" t="str">
        <f aca="true">IF(ISNUMBER($J252),INDIRECT("R"&amp;($J252+4)),"")</f>
        <v/>
      </c>
      <c r="H252" s="298" t="str">
        <f aca="true">IF(ISNUMBER($J252),INDIRECT("S"&amp;($J252+4)),"")</f>
        <v/>
      </c>
      <c r="J252" s="292" t="str">
        <f aca="true">IF(248&lt;=$K$1,MATCH(247.5,INDIRECT("$K$4:$K$1374"),1),"")</f>
        <v/>
      </c>
      <c r="K252" s="292" t="n">
        <f aca="false">$K$132+COUNTIF($Q$133:Q252,"&gt;0")</f>
        <v>0</v>
      </c>
      <c r="L252" s="292" t="str">
        <f aca="false">"Внешние аккумуляторы"</f>
        <v>Внешние аккумуляторы</v>
      </c>
      <c r="M252" s="292" t="str">
        <f aca="false">IF(ISBLANK('Внешние аккумуляторы'!$A$46),"",'Внешние аккумуляторы'!$A$46)</f>
        <v>BJ56 Graceful 22.5W+PD20W универсальный портативный аккумулятор(10000mAh)</v>
      </c>
      <c r="N252" s="292" t="str">
        <f aca="false">IF(ISBLANK('Внешние аккумуляторы'!$D$47),"",'Внешние аккумуляторы'!$D$47)</f>
        <v>6941991111815</v>
      </c>
      <c r="O252" s="292" t="str">
        <f aca="false">IF(ISBLANK('Внешние аккумуляторы'!$E$47),"",'Внешние аккумуляторы'!$E$47)</f>
        <v>белый</v>
      </c>
      <c r="P252" s="292" t="str">
        <f aca="false">"ед."</f>
        <v>ед.</v>
      </c>
      <c r="Q252" s="292" t="n">
        <f aca="false">N('Внешние аккумуляторы'!$G$47)</f>
        <v>0</v>
      </c>
      <c r="R252" s="299" t="n">
        <f aca="false">IF(ISBLANK('Внешние аккумуляторы'!$F$47),"",'Внешние аккумуляторы'!$F$47)</f>
        <v>685</v>
      </c>
      <c r="S252" s="292" t="str">
        <f aca="false">IF(ISBLANK('Внешние аккумуляторы'!$H$47),"",'Внешние аккумуляторы'!$H$47)</f>
        <v/>
      </c>
    </row>
    <row r="253" customFormat="false" ht="66" hidden="false" customHeight="true" outlineLevel="0" collapsed="false">
      <c r="A253" s="291" t="str">
        <f aca="true">IF(ISNUMBER($J253),INDIRECT("L"&amp;($J253+4)),"")</f>
        <v/>
      </c>
      <c r="B253" s="291" t="str">
        <f aca="true">IF(ISNUMBER($J253),INDIRECT("M"&amp;($J253+4)),"")</f>
        <v/>
      </c>
      <c r="C253" s="296" t="str">
        <f aca="true">IF(ISNUMBER($J253),INDIRECT("N"&amp;($J253+4)),"")</f>
        <v/>
      </c>
      <c r="D253" s="291" t="str">
        <f aca="true">IF(ISNUMBER($J253),INDIRECT("O"&amp;($J253+4)),"")</f>
        <v/>
      </c>
      <c r="E253" s="291" t="str">
        <f aca="true">IF(ISNUMBER($J253),INDIRECT("P"&amp;($J253+4)),"")</f>
        <v/>
      </c>
      <c r="F253" s="300" t="str">
        <f aca="true">IF(ISNUMBER($J253),INDIRECT("Q"&amp;($J253+4)),"")</f>
        <v/>
      </c>
      <c r="G253" s="298" t="str">
        <f aca="true">IF(ISNUMBER($J253),INDIRECT("R"&amp;($J253+4)),"")</f>
        <v/>
      </c>
      <c r="H253" s="298" t="str">
        <f aca="true">IF(ISNUMBER($J253),INDIRECT("S"&amp;($J253+4)),"")</f>
        <v/>
      </c>
      <c r="J253" s="292" t="str">
        <f aca="true">IF(249&lt;=$K$1,MATCH(248.5,INDIRECT("$K$4:$K$1374"),1),"")</f>
        <v/>
      </c>
      <c r="K253" s="292" t="n">
        <f aca="false">$K$132+COUNTIF($Q$133:Q253,"&gt;0")</f>
        <v>0</v>
      </c>
      <c r="L253" s="292" t="str">
        <f aca="false">"Внешние аккумуляторы"</f>
        <v>Внешние аккумуляторы</v>
      </c>
      <c r="M253" s="292" t="str">
        <f aca="false">IF(ISBLANK('Внешние аккумуляторы'!$A$48),"",'Внешние аккумуляторы'!$A$48)</f>
        <v>BJ56A Graceful 22.5W+PD20W универсальный портативный аккумулятор(20000mAh)「Неопасные товары」</v>
      </c>
      <c r="N253" s="292" t="str">
        <f aca="false">IF(ISBLANK('Внешние аккумуляторы'!$D$48),"",'Внешние аккумуляторы'!$D$48)</f>
        <v>6941991111822</v>
      </c>
      <c r="O253" s="292" t="str">
        <f aca="false">IF(ISBLANK('Внешние аккумуляторы'!$E$48),"",'Внешние аккумуляторы'!$E$48)</f>
        <v>черный</v>
      </c>
      <c r="P253" s="292" t="str">
        <f aca="false">"ед."</f>
        <v>ед.</v>
      </c>
      <c r="Q253" s="292" t="n">
        <f aca="false">N('Внешние аккумуляторы'!$G$48)</f>
        <v>0</v>
      </c>
      <c r="R253" s="299" t="n">
        <f aca="false">IF(ISBLANK('Внешние аккумуляторы'!$F$48),"",'Внешние аккумуляторы'!$F$48)</f>
        <v>986.72</v>
      </c>
      <c r="S253" s="292" t="str">
        <f aca="false">IF(ISBLANK('Внешние аккумуляторы'!$H$48),"",'Внешние аккумуляторы'!$H$48)</f>
        <v/>
      </c>
    </row>
    <row r="254" customFormat="false" ht="66" hidden="false" customHeight="true" outlineLevel="0" collapsed="false">
      <c r="A254" s="291" t="str">
        <f aca="true">IF(ISNUMBER($J254),INDIRECT("L"&amp;($J254+4)),"")</f>
        <v/>
      </c>
      <c r="B254" s="291" t="str">
        <f aca="true">IF(ISNUMBER($J254),INDIRECT("M"&amp;($J254+4)),"")</f>
        <v/>
      </c>
      <c r="C254" s="296" t="str">
        <f aca="true">IF(ISNUMBER($J254),INDIRECT("N"&amp;($J254+4)),"")</f>
        <v/>
      </c>
      <c r="D254" s="291" t="str">
        <f aca="true">IF(ISNUMBER($J254),INDIRECT("O"&amp;($J254+4)),"")</f>
        <v/>
      </c>
      <c r="E254" s="291" t="str">
        <f aca="true">IF(ISNUMBER($J254),INDIRECT("P"&amp;($J254+4)),"")</f>
        <v/>
      </c>
      <c r="F254" s="300" t="str">
        <f aca="true">IF(ISNUMBER($J254),INDIRECT("Q"&amp;($J254+4)),"")</f>
        <v/>
      </c>
      <c r="G254" s="298" t="str">
        <f aca="true">IF(ISNUMBER($J254),INDIRECT("R"&amp;($J254+4)),"")</f>
        <v/>
      </c>
      <c r="H254" s="298" t="str">
        <f aca="true">IF(ISNUMBER($J254),INDIRECT("S"&amp;($J254+4)),"")</f>
        <v/>
      </c>
      <c r="J254" s="292" t="str">
        <f aca="true">IF(250&lt;=$K$1,MATCH(249.5,INDIRECT("$K$4:$K$1374"),1),"")</f>
        <v/>
      </c>
      <c r="K254" s="292" t="n">
        <f aca="false">$K$132+COUNTIF($Q$133:Q254,"&gt;0")</f>
        <v>0</v>
      </c>
      <c r="L254" s="292" t="str">
        <f aca="false">"Внешние аккумуляторы"</f>
        <v>Внешние аккумуляторы</v>
      </c>
      <c r="M254" s="292" t="str">
        <f aca="false">IF(ISBLANK('Внешние аккумуляторы'!$A$49),"",'Внешние аккумуляторы'!$A$49)</f>
        <v>BJ56B Graceful 22.5W+PD20W универсальный портативный аккумулятор (30000mAh)</v>
      </c>
      <c r="N254" s="292" t="str">
        <f aca="false">IF(ISBLANK('Внешние аккумуляторы'!$D$49),"",'Внешние аккумуляторы'!$D$49)</f>
        <v>6941991116445</v>
      </c>
      <c r="O254" s="292" t="str">
        <f aca="false">IF(ISBLANK('Внешние аккумуляторы'!$E$49),"",'Внешние аккумуляторы'!$E$49)</f>
        <v>чёрный</v>
      </c>
      <c r="P254" s="292" t="str">
        <f aca="false">"ед."</f>
        <v>ед.</v>
      </c>
      <c r="Q254" s="292" t="n">
        <f aca="false">N('Внешние аккумуляторы'!$G$49)</f>
        <v>0</v>
      </c>
      <c r="R254" s="299" t="n">
        <f aca="false">IF(ISBLANK('Внешние аккумуляторы'!$F$49),"",'Внешние аккумуляторы'!$F$49)</f>
        <v>1296.6</v>
      </c>
      <c r="S254" s="292" t="str">
        <f aca="false">IF(ISBLANK('Внешние аккумуляторы'!$H$49),"",'Внешние аккумуляторы'!$H$49)</f>
        <v/>
      </c>
    </row>
    <row r="255" customFormat="false" ht="66" hidden="false" customHeight="true" outlineLevel="0" collapsed="false">
      <c r="A255" s="291" t="str">
        <f aca="true">IF(ISNUMBER($J255),INDIRECT("L"&amp;($J255+4)),"")</f>
        <v/>
      </c>
      <c r="B255" s="291" t="str">
        <f aca="true">IF(ISNUMBER($J255),INDIRECT("M"&amp;($J255+4)),"")</f>
        <v/>
      </c>
      <c r="C255" s="296" t="str">
        <f aca="true">IF(ISNUMBER($J255),INDIRECT("N"&amp;($J255+4)),"")</f>
        <v/>
      </c>
      <c r="D255" s="291" t="str">
        <f aca="true">IF(ISNUMBER($J255),INDIRECT("O"&amp;($J255+4)),"")</f>
        <v/>
      </c>
      <c r="E255" s="291" t="str">
        <f aca="true">IF(ISNUMBER($J255),INDIRECT("P"&amp;($J255+4)),"")</f>
        <v/>
      </c>
      <c r="F255" s="300" t="str">
        <f aca="true">IF(ISNUMBER($J255),INDIRECT("Q"&amp;($J255+4)),"")</f>
        <v/>
      </c>
      <c r="G255" s="298" t="str">
        <f aca="true">IF(ISNUMBER($J255),INDIRECT("R"&amp;($J255+4)),"")</f>
        <v/>
      </c>
      <c r="H255" s="298" t="str">
        <f aca="true">IF(ISNUMBER($J255),INDIRECT("S"&amp;($J255+4)),"")</f>
        <v/>
      </c>
      <c r="J255" s="292" t="str">
        <f aca="true">IF(251&lt;=$K$1,MATCH(250.5,INDIRECT("$K$4:$K$1374"),1),"")</f>
        <v/>
      </c>
      <c r="K255" s="292" t="n">
        <f aca="false">$K$132+COUNTIF($Q$133:Q255,"&gt;0")</f>
        <v>0</v>
      </c>
      <c r="L255" s="292" t="str">
        <f aca="false">"Внешние аккумуляторы"</f>
        <v>Внешние аккумуляторы</v>
      </c>
      <c r="M255" s="292" t="str">
        <f aca="false">IF(ISBLANK('Внешние аккумуляторы'!$A$50),"",'Внешние аккумуляторы'!$A$50)</f>
        <v>BJ55 Graceful портативный аккумулятор (10000mAh)</v>
      </c>
      <c r="N255" s="292" t="str">
        <f aca="false">IF(ISBLANK('Внешние аккумуляторы'!$D$50),"",'Внешние аккумуляторы'!$D$50)</f>
        <v>6941991111761</v>
      </c>
      <c r="O255" s="292" t="str">
        <f aca="false">IF(ISBLANK('Внешние аккумуляторы'!$E$50),"",'Внешние аккумуляторы'!$E$50)</f>
        <v>черный</v>
      </c>
      <c r="P255" s="292" t="str">
        <f aca="false">"ед."</f>
        <v>ед.</v>
      </c>
      <c r="Q255" s="292" t="n">
        <f aca="false">N('Внешние аккумуляторы'!$G$50)</f>
        <v>0</v>
      </c>
      <c r="R255" s="299" t="n">
        <f aca="false">IF(ISBLANK('Внешние аккумуляторы'!$F$50),"",'Внешние аккумуляторы'!$F$50)</f>
        <v>538.21</v>
      </c>
      <c r="S255" s="292" t="str">
        <f aca="false">IF(ISBLANK('Внешние аккумуляторы'!$H$50),"",'Внешние аккумуляторы'!$H$50)</f>
        <v/>
      </c>
    </row>
    <row r="256" customFormat="false" ht="66" hidden="false" customHeight="true" outlineLevel="0" collapsed="false">
      <c r="A256" s="291" t="str">
        <f aca="true">IF(ISNUMBER($J256),INDIRECT("L"&amp;($J256+4)),"")</f>
        <v/>
      </c>
      <c r="B256" s="291" t="str">
        <f aca="true">IF(ISNUMBER($J256),INDIRECT("M"&amp;($J256+4)),"")</f>
        <v/>
      </c>
      <c r="C256" s="296" t="str">
        <f aca="true">IF(ISNUMBER($J256),INDIRECT("N"&amp;($J256+4)),"")</f>
        <v/>
      </c>
      <c r="D256" s="291" t="str">
        <f aca="true">IF(ISNUMBER($J256),INDIRECT("O"&amp;($J256+4)),"")</f>
        <v/>
      </c>
      <c r="E256" s="291" t="str">
        <f aca="true">IF(ISNUMBER($J256),INDIRECT("P"&amp;($J256+4)),"")</f>
        <v/>
      </c>
      <c r="F256" s="300" t="str">
        <f aca="true">IF(ISNUMBER($J256),INDIRECT("Q"&amp;($J256+4)),"")</f>
        <v/>
      </c>
      <c r="G256" s="298" t="str">
        <f aca="true">IF(ISNUMBER($J256),INDIRECT("R"&amp;($J256+4)),"")</f>
        <v/>
      </c>
      <c r="H256" s="298" t="str">
        <f aca="true">IF(ISNUMBER($J256),INDIRECT("S"&amp;($J256+4)),"")</f>
        <v/>
      </c>
      <c r="J256" s="292" t="str">
        <f aca="true">IF(252&lt;=$K$1,MATCH(251.5,INDIRECT("$K$4:$K$1374"),1),"")</f>
        <v/>
      </c>
      <c r="K256" s="292" t="n">
        <f aca="false">$K$132+COUNTIF($Q$133:Q256,"&gt;0")</f>
        <v>0</v>
      </c>
      <c r="L256" s="292" t="str">
        <f aca="false">"Внешние аккумуляторы"</f>
        <v>Внешние аккумуляторы</v>
      </c>
      <c r="M256" s="292" t="str">
        <f aca="false">IF(ISBLANK('Внешние аккумуляторы'!$A$50),"",'Внешние аккумуляторы'!$A$50)</f>
        <v>BJ55 Graceful портативный аккумулятор (10000mAh)</v>
      </c>
      <c r="N256" s="292" t="str">
        <f aca="false">IF(ISBLANK('Внешние аккумуляторы'!$D$51),"",'Внешние аккумуляторы'!$D$51)</f>
        <v>6941991111778</v>
      </c>
      <c r="O256" s="292" t="str">
        <f aca="false">IF(ISBLANK('Внешние аккумуляторы'!$E$51),"",'Внешние аккумуляторы'!$E$51)</f>
        <v>белый</v>
      </c>
      <c r="P256" s="292" t="str">
        <f aca="false">"ед."</f>
        <v>ед.</v>
      </c>
      <c r="Q256" s="292" t="n">
        <f aca="false">N('Внешние аккумуляторы'!$G$51)</f>
        <v>0</v>
      </c>
      <c r="R256" s="299" t="n">
        <f aca="false">IF(ISBLANK('Внешние аккумуляторы'!$F$51),"",'Внешние аккумуляторы'!$F$51)</f>
        <v>538.21</v>
      </c>
      <c r="S256" s="292" t="str">
        <f aca="false">IF(ISBLANK('Внешние аккумуляторы'!$H$51),"",'Внешние аккумуляторы'!$H$51)</f>
        <v/>
      </c>
    </row>
    <row r="257" customFormat="false" ht="66" hidden="false" customHeight="true" outlineLevel="0" collapsed="false">
      <c r="A257" s="291" t="str">
        <f aca="true">IF(ISNUMBER($J257),INDIRECT("L"&amp;($J257+4)),"")</f>
        <v/>
      </c>
      <c r="B257" s="291" t="str">
        <f aca="true">IF(ISNUMBER($J257),INDIRECT("M"&amp;($J257+4)),"")</f>
        <v/>
      </c>
      <c r="C257" s="296" t="str">
        <f aca="true">IF(ISNUMBER($J257),INDIRECT("N"&amp;($J257+4)),"")</f>
        <v/>
      </c>
      <c r="D257" s="291" t="str">
        <f aca="true">IF(ISNUMBER($J257),INDIRECT("O"&amp;($J257+4)),"")</f>
        <v/>
      </c>
      <c r="E257" s="291" t="str">
        <f aca="true">IF(ISNUMBER($J257),INDIRECT("P"&amp;($J257+4)),"")</f>
        <v/>
      </c>
      <c r="F257" s="300" t="str">
        <f aca="true">IF(ISNUMBER($J257),INDIRECT("Q"&amp;($J257+4)),"")</f>
        <v/>
      </c>
      <c r="G257" s="298" t="str">
        <f aca="true">IF(ISNUMBER($J257),INDIRECT("R"&amp;($J257+4)),"")</f>
        <v/>
      </c>
      <c r="H257" s="298" t="str">
        <f aca="true">IF(ISNUMBER($J257),INDIRECT("S"&amp;($J257+4)),"")</f>
        <v/>
      </c>
      <c r="J257" s="292" t="str">
        <f aca="true">IF(253&lt;=$K$1,MATCH(252.5,INDIRECT("$K$4:$K$1374"),1),"")</f>
        <v/>
      </c>
      <c r="K257" s="292" t="n">
        <f aca="false">$K$132+COUNTIF($Q$133:Q257,"&gt;0")</f>
        <v>0</v>
      </c>
      <c r="L257" s="292" t="str">
        <f aca="false">"Внешние аккумуляторы"</f>
        <v>Внешние аккумуляторы</v>
      </c>
      <c r="M257" s="292" t="str">
        <f aca="false">IF(ISBLANK('Внешние аккумуляторы'!$A$52),"",'Внешние аккумуляторы'!$A$52)</f>
        <v>BJ55A Graceful портативный аккумулятор (20000mAh)「Неопасные товары」</v>
      </c>
      <c r="N257" s="292" t="str">
        <f aca="false">IF(ISBLANK('Внешние аккумуляторы'!$D$52),"",'Внешние аккумуляторы'!$D$52)</f>
        <v>6941991111785</v>
      </c>
      <c r="O257" s="292" t="str">
        <f aca="false">IF(ISBLANK('Внешние аккумуляторы'!$E$52),"",'Внешние аккумуляторы'!$E$52)</f>
        <v>черный</v>
      </c>
      <c r="P257" s="292" t="str">
        <f aca="false">"ед."</f>
        <v>ед.</v>
      </c>
      <c r="Q257" s="292" t="n">
        <f aca="false">N('Внешние аккумуляторы'!$G$52)</f>
        <v>0</v>
      </c>
      <c r="R257" s="299" t="n">
        <f aca="false">IF(ISBLANK('Внешние аккумуляторы'!$F$52),"",'Внешние аккумуляторы'!$F$52)</f>
        <v>848.09</v>
      </c>
      <c r="S257" s="292" t="str">
        <f aca="false">IF(ISBLANK('Внешние аккумуляторы'!$H$52),"",'Внешние аккумуляторы'!$H$52)</f>
        <v/>
      </c>
    </row>
    <row r="258" customFormat="false" ht="66" hidden="false" customHeight="true" outlineLevel="0" collapsed="false">
      <c r="A258" s="291" t="str">
        <f aca="true">IF(ISNUMBER($J258),INDIRECT("L"&amp;($J258+4)),"")</f>
        <v/>
      </c>
      <c r="B258" s="291" t="str">
        <f aca="true">IF(ISNUMBER($J258),INDIRECT("M"&amp;($J258+4)),"")</f>
        <v/>
      </c>
      <c r="C258" s="296" t="str">
        <f aca="true">IF(ISNUMBER($J258),INDIRECT("N"&amp;($J258+4)),"")</f>
        <v/>
      </c>
      <c r="D258" s="291" t="str">
        <f aca="true">IF(ISNUMBER($J258),INDIRECT("O"&amp;($J258+4)),"")</f>
        <v/>
      </c>
      <c r="E258" s="291" t="str">
        <f aca="true">IF(ISNUMBER($J258),INDIRECT("P"&amp;($J258+4)),"")</f>
        <v/>
      </c>
      <c r="F258" s="300" t="str">
        <f aca="true">IF(ISNUMBER($J258),INDIRECT("Q"&amp;($J258+4)),"")</f>
        <v/>
      </c>
      <c r="G258" s="298" t="str">
        <f aca="true">IF(ISNUMBER($J258),INDIRECT("R"&amp;($J258+4)),"")</f>
        <v/>
      </c>
      <c r="H258" s="298" t="str">
        <f aca="true">IF(ISNUMBER($J258),INDIRECT("S"&amp;($J258+4)),"")</f>
        <v/>
      </c>
      <c r="J258" s="292" t="str">
        <f aca="true">IF(254&lt;=$K$1,MATCH(253.5,INDIRECT("$K$4:$K$1374"),1),"")</f>
        <v/>
      </c>
      <c r="K258" s="292" t="n">
        <f aca="false">$K$132+COUNTIF($Q$133:Q258,"&gt;0")</f>
        <v>0</v>
      </c>
      <c r="L258" s="292" t="str">
        <f aca="false">"Аккумуляторы — перевозка"</f>
        <v>Аккумуляторы — перевозка</v>
      </c>
      <c r="M258" s="292" t="str">
        <f aca="false">IF(ISBLANK('Аккумуляторы — перевозка'!$A$5),"",'Аккумуляторы — перевозка'!$A$5)</f>
        <v>BJ94 Origium PD20W магнитный пауэрбанк (10000mAh)(CCC)(UN)</v>
      </c>
      <c r="N258" s="292" t="str">
        <f aca="false">IF(ISBLANK('Аккумуляторы — перевозка'!$D$5),"",'Аккумуляторы — перевозка'!$D$5)</f>
        <v>6941991130007</v>
      </c>
      <c r="O258" s="292" t="str">
        <f aca="false">IF(ISBLANK('Аккумуляторы — перевозка'!$E$5),"",'Аккумуляторы — перевозка'!$E$5)</f>
        <v>белый</v>
      </c>
      <c r="P258" s="292" t="str">
        <f aca="false">"ед."</f>
        <v>ед.</v>
      </c>
      <c r="Q258" s="292" t="n">
        <f aca="false">N('Аккумуляторы — перевозка'!$G$5)</f>
        <v>0</v>
      </c>
      <c r="R258" s="299" t="n">
        <f aca="false">IF(ISBLANK('Аккумуляторы — перевозка'!$F$5),"",'Аккумуляторы — перевозка'!$F$5)</f>
        <v>1070.31</v>
      </c>
      <c r="S258" s="292" t="str">
        <f aca="false">IF(ISBLANK('Аккумуляторы — перевозка'!$H$5),"",'Аккумуляторы — перевозка'!$H$5)</f>
        <v/>
      </c>
    </row>
    <row r="259" customFormat="false" ht="66" hidden="false" customHeight="true" outlineLevel="0" collapsed="false">
      <c r="A259" s="291" t="str">
        <f aca="true">IF(ISNUMBER($J259),INDIRECT("L"&amp;($J259+4)),"")</f>
        <v/>
      </c>
      <c r="B259" s="291" t="str">
        <f aca="true">IF(ISNUMBER($J259),INDIRECT("M"&amp;($J259+4)),"")</f>
        <v/>
      </c>
      <c r="C259" s="296" t="str">
        <f aca="true">IF(ISNUMBER($J259),INDIRECT("N"&amp;($J259+4)),"")</f>
        <v/>
      </c>
      <c r="D259" s="291" t="str">
        <f aca="true">IF(ISNUMBER($J259),INDIRECT("O"&amp;($J259+4)),"")</f>
        <v/>
      </c>
      <c r="E259" s="291" t="str">
        <f aca="true">IF(ISNUMBER($J259),INDIRECT("P"&amp;($J259+4)),"")</f>
        <v/>
      </c>
      <c r="F259" s="300" t="str">
        <f aca="true">IF(ISNUMBER($J259),INDIRECT("Q"&amp;($J259+4)),"")</f>
        <v/>
      </c>
      <c r="G259" s="298" t="str">
        <f aca="true">IF(ISNUMBER($J259),INDIRECT("R"&amp;($J259+4)),"")</f>
        <v/>
      </c>
      <c r="H259" s="298" t="str">
        <f aca="true">IF(ISNUMBER($J259),INDIRECT("S"&amp;($J259+4)),"")</f>
        <v/>
      </c>
      <c r="J259" s="292" t="str">
        <f aca="true">IF(255&lt;=$K$1,MATCH(254.5,INDIRECT("$K$4:$K$1374"),1),"")</f>
        <v/>
      </c>
      <c r="K259" s="292" t="n">
        <f aca="false">$K$132+COUNTIF($Q$133:Q259,"&gt;0")</f>
        <v>0</v>
      </c>
      <c r="L259" s="292" t="str">
        <f aca="false">"Аккумуляторы — перевозка"</f>
        <v>Аккумуляторы — перевозка</v>
      </c>
      <c r="M259" s="292" t="str">
        <f aca="false">IF(ISBLANK('Аккумуляторы — перевозка'!$A$6),"",'Аккумуляторы — перевозка'!$A$6)</f>
        <v>BJ91 Alba 22.5W+PD20W 4-cable+lighting power bank(40000mAh)（UN）</v>
      </c>
      <c r="N259" s="292" t="str">
        <f aca="false">IF(ISBLANK('Аккумуляторы — перевозка'!$D$6),"",'Аккумуляторы — перевозка'!$D$6)</f>
        <v>6941991129759</v>
      </c>
      <c r="O259" s="292" t="str">
        <f aca="false">IF(ISBLANK('Аккумуляторы — перевозка'!$E$6),"",'Аккумуляторы — перевозка'!$E$6)</f>
        <v>black</v>
      </c>
      <c r="P259" s="292" t="str">
        <f aca="false">"ед."</f>
        <v>ед.</v>
      </c>
      <c r="Q259" s="292" t="n">
        <f aca="false">N('Аккумуляторы — перевозка'!$G$6)</f>
        <v>0</v>
      </c>
      <c r="R259" s="299" t="n">
        <f aca="false">IF(ISBLANK('Аккумуляторы — перевозка'!$F$6),"",'Аккумуляторы — перевозка'!$F$6)</f>
        <v>2163.04</v>
      </c>
      <c r="S259" s="292" t="str">
        <f aca="false">IF(ISBLANK('Аккумуляторы — перевозка'!$H$6),"",'Аккумуляторы — перевозка'!$H$6)</f>
        <v/>
      </c>
    </row>
    <row r="260" customFormat="false" ht="66" hidden="false" customHeight="true" outlineLevel="0" collapsed="false">
      <c r="A260" s="291" t="str">
        <f aca="true">IF(ISNUMBER($J260),INDIRECT("L"&amp;($J260+4)),"")</f>
        <v/>
      </c>
      <c r="B260" s="291" t="str">
        <f aca="true">IF(ISNUMBER($J260),INDIRECT("M"&amp;($J260+4)),"")</f>
        <v/>
      </c>
      <c r="C260" s="296" t="str">
        <f aca="true">IF(ISNUMBER($J260),INDIRECT("N"&amp;($J260+4)),"")</f>
        <v/>
      </c>
      <c r="D260" s="291" t="str">
        <f aca="true">IF(ISNUMBER($J260),INDIRECT("O"&amp;($J260+4)),"")</f>
        <v/>
      </c>
      <c r="E260" s="291" t="str">
        <f aca="true">IF(ISNUMBER($J260),INDIRECT("P"&amp;($J260+4)),"")</f>
        <v/>
      </c>
      <c r="F260" s="300" t="str">
        <f aca="true">IF(ISNUMBER($J260),INDIRECT("Q"&amp;($J260+4)),"")</f>
        <v/>
      </c>
      <c r="G260" s="298" t="str">
        <f aca="true">IF(ISNUMBER($J260),INDIRECT("R"&amp;($J260+4)),"")</f>
        <v/>
      </c>
      <c r="H260" s="298" t="str">
        <f aca="true">IF(ISNUMBER($J260),INDIRECT("S"&amp;($J260+4)),"")</f>
        <v/>
      </c>
      <c r="J260" s="292" t="str">
        <f aca="true">IF(256&lt;=$K$1,MATCH(255.5,INDIRECT("$K$4:$K$1374"),1),"")</f>
        <v/>
      </c>
      <c r="K260" s="292" t="n">
        <f aca="false">$K$132+COUNTIF($Q$133:Q260,"&gt;0")</f>
        <v>0</v>
      </c>
      <c r="L260" s="292" t="str">
        <f aca="false">"Аккумуляторы — перевозка"</f>
        <v>Аккумуляторы — перевозка</v>
      </c>
      <c r="M260" s="292" t="str">
        <f aca="false">IF(ISBLANK('Аккумуляторы — перевозка'!$A$7),"",'Аккумуляторы — перевозка'!$A$7)</f>
        <v>BJ91A Alba 22.5W+PD20W 4-cable+lighting power bank(60000mAh)（UN）</v>
      </c>
      <c r="N260" s="292" t="str">
        <f aca="false">IF(ISBLANK('Аккумуляторы — перевозка'!$D$7),"",'Аккумуляторы — перевозка'!$D$7)</f>
        <v>6941991129896</v>
      </c>
      <c r="O260" s="292" t="str">
        <f aca="false">IF(ISBLANK('Аккумуляторы — перевозка'!$E$7),"",'Аккумуляторы — перевозка'!$E$7)</f>
        <v>black</v>
      </c>
      <c r="P260" s="292" t="str">
        <f aca="false">"ед."</f>
        <v>ед.</v>
      </c>
      <c r="Q260" s="292" t="n">
        <f aca="false">N('Аккумуляторы — перевозка'!$G$7)</f>
        <v>0</v>
      </c>
      <c r="R260" s="299" t="n">
        <f aca="false">IF(ISBLANK('Аккумуляторы — перевозка'!$F$7),"",'Аккумуляторы — перевозка'!$F$7)</f>
        <v>2750.17</v>
      </c>
      <c r="S260" s="292" t="str">
        <f aca="false">IF(ISBLANK('Аккумуляторы — перевозка'!$H$7),"",'Аккумуляторы — перевозка'!$H$7)</f>
        <v/>
      </c>
    </row>
    <row r="261" customFormat="false" ht="66" hidden="false" customHeight="true" outlineLevel="0" collapsed="false">
      <c r="A261" s="291" t="str">
        <f aca="true">IF(ISNUMBER($J261),INDIRECT("L"&amp;($J261+4)),"")</f>
        <v/>
      </c>
      <c r="B261" s="291" t="str">
        <f aca="true">IF(ISNUMBER($J261),INDIRECT("M"&amp;($J261+4)),"")</f>
        <v/>
      </c>
      <c r="C261" s="296" t="str">
        <f aca="true">IF(ISNUMBER($J261),INDIRECT("N"&amp;($J261+4)),"")</f>
        <v/>
      </c>
      <c r="D261" s="291" t="str">
        <f aca="true">IF(ISNUMBER($J261),INDIRECT("O"&amp;($J261+4)),"")</f>
        <v/>
      </c>
      <c r="E261" s="291" t="str">
        <f aca="true">IF(ISNUMBER($J261),INDIRECT("P"&amp;($J261+4)),"")</f>
        <v/>
      </c>
      <c r="F261" s="300" t="str">
        <f aca="true">IF(ISNUMBER($J261),INDIRECT("Q"&amp;($J261+4)),"")</f>
        <v/>
      </c>
      <c r="G261" s="298" t="str">
        <f aca="true">IF(ISNUMBER($J261),INDIRECT("R"&amp;($J261+4)),"")</f>
        <v/>
      </c>
      <c r="H261" s="298" t="str">
        <f aca="true">IF(ISNUMBER($J261),INDIRECT("S"&amp;($J261+4)),"")</f>
        <v/>
      </c>
      <c r="J261" s="292" t="str">
        <f aca="true">IF(257&lt;=$K$1,MATCH(256.5,INDIRECT("$K$4:$K$1374"),1),"")</f>
        <v/>
      </c>
      <c r="K261" s="292" t="n">
        <f aca="false">$K$260+COUNTIF($Q$261:Q261,"&gt;0")</f>
        <v>0</v>
      </c>
      <c r="L261" s="292" t="str">
        <f aca="false">"Аккумуляторы — перевозка"</f>
        <v>Аккумуляторы — перевозка</v>
      </c>
      <c r="M261" s="292" t="str">
        <f aca="false">IF(ISBLANK('Аккумуляторы — перевозка'!$A$8),"",'Аккумуляторы — перевозка'!$A$8)</f>
        <v>BJ90 Pasar пауэрбанк (10000mAh)(CCC)（UN）</v>
      </c>
      <c r="N261" s="292" t="str">
        <f aca="false">IF(ISBLANK('Аккумуляторы — перевозка'!$D$8),"",'Аккумуляторы — перевозка'!$D$8)</f>
        <v>6941991129292</v>
      </c>
      <c r="O261" s="292" t="str">
        <f aca="false">IF(ISBLANK('Аккумуляторы — перевозка'!$E$8),"",'Аккумуляторы — перевозка'!$E$8)</f>
        <v>чёрный</v>
      </c>
      <c r="P261" s="292" t="str">
        <f aca="false">"ед."</f>
        <v>ед.</v>
      </c>
      <c r="Q261" s="292" t="n">
        <f aca="false">N('Аккумуляторы — перевозка'!$G$8)</f>
        <v>0</v>
      </c>
      <c r="R261" s="299" t="n">
        <f aca="false">IF(ISBLANK('Аккумуляторы — перевозка'!$F$8),"",'Аккумуляторы — перевозка'!$F$8)</f>
        <v>507.63</v>
      </c>
      <c r="S261" s="292" t="str">
        <f aca="false">IF(ISBLANK('Аккумуляторы — перевозка'!$H$8),"",'Аккумуляторы — перевозка'!$H$8)</f>
        <v/>
      </c>
    </row>
    <row r="262" customFormat="false" ht="66" hidden="false" customHeight="true" outlineLevel="0" collapsed="false">
      <c r="A262" s="291" t="str">
        <f aca="true">IF(ISNUMBER($J262),INDIRECT("L"&amp;($J262+4)),"")</f>
        <v/>
      </c>
      <c r="B262" s="291" t="str">
        <f aca="true">IF(ISNUMBER($J262),INDIRECT("M"&amp;($J262+4)),"")</f>
        <v/>
      </c>
      <c r="C262" s="296" t="str">
        <f aca="true">IF(ISNUMBER($J262),INDIRECT("N"&amp;($J262+4)),"")</f>
        <v/>
      </c>
      <c r="D262" s="291" t="str">
        <f aca="true">IF(ISNUMBER($J262),INDIRECT("O"&amp;($J262+4)),"")</f>
        <v/>
      </c>
      <c r="E262" s="291" t="str">
        <f aca="true">IF(ISNUMBER($J262),INDIRECT("P"&amp;($J262+4)),"")</f>
        <v/>
      </c>
      <c r="F262" s="300" t="str">
        <f aca="true">IF(ISNUMBER($J262),INDIRECT("Q"&amp;($J262+4)),"")</f>
        <v/>
      </c>
      <c r="G262" s="298" t="str">
        <f aca="true">IF(ISNUMBER($J262),INDIRECT("R"&amp;($J262+4)),"")</f>
        <v/>
      </c>
      <c r="H262" s="298" t="str">
        <f aca="true">IF(ISNUMBER($J262),INDIRECT("S"&amp;($J262+4)),"")</f>
        <v/>
      </c>
      <c r="J262" s="292" t="str">
        <f aca="true">IF(258&lt;=$K$1,MATCH(257.5,INDIRECT("$K$4:$K$1374"),1),"")</f>
        <v/>
      </c>
      <c r="K262" s="292" t="n">
        <f aca="false">$K$260+COUNTIF($Q$261:Q262,"&gt;0")</f>
        <v>0</v>
      </c>
      <c r="L262" s="292" t="str">
        <f aca="false">"Аккумуляторы — перевозка"</f>
        <v>Аккумуляторы — перевозка</v>
      </c>
      <c r="M262" s="292" t="str">
        <f aca="false">IF(ISBLANK('Аккумуляторы — перевозка'!$A$9),"",'Аккумуляторы — перевозка'!$A$9)</f>
        <v>BJ89 Salte PD20W портативный аккумулятор с лампой и 2 кабелями (10000mAh)（UN）</v>
      </c>
      <c r="N262" s="292" t="str">
        <f aca="false">IF(ISBLANK('Аккумуляторы — перевозка'!$D$9),"",'Аккумуляторы — перевозка'!$D$9)</f>
        <v>6941991128448</v>
      </c>
      <c r="O262" s="292" t="str">
        <f aca="false">IF(ISBLANK('Аккумуляторы — перевозка'!$E$9),"",'Аккумуляторы — перевозка'!$E$9)</f>
        <v>чёрный</v>
      </c>
      <c r="P262" s="292" t="str">
        <f aca="false">"ед."</f>
        <v>ед.</v>
      </c>
      <c r="Q262" s="292" t="n">
        <f aca="false">N('Аккумуляторы — перевозка'!$G$9)</f>
        <v>0</v>
      </c>
      <c r="R262" s="299" t="n">
        <f aca="false">IF(ISBLANK('Аккумуляторы — перевозка'!$F$9),"",'Аккумуляторы — перевозка'!$F$9)</f>
        <v>1045.84</v>
      </c>
      <c r="S262" s="292" t="str">
        <f aca="false">IF(ISBLANK('Аккумуляторы — перевозка'!$H$9),"",'Аккумуляторы — перевозка'!$H$9)</f>
        <v/>
      </c>
    </row>
    <row r="263" customFormat="false" ht="66" hidden="false" customHeight="true" outlineLevel="0" collapsed="false">
      <c r="A263" s="291" t="str">
        <f aca="true">IF(ISNUMBER($J263),INDIRECT("L"&amp;($J263+4)),"")</f>
        <v/>
      </c>
      <c r="B263" s="291" t="str">
        <f aca="true">IF(ISNUMBER($J263),INDIRECT("M"&amp;($J263+4)),"")</f>
        <v/>
      </c>
      <c r="C263" s="296" t="str">
        <f aca="true">IF(ISNUMBER($J263),INDIRECT("N"&amp;($J263+4)),"")</f>
        <v/>
      </c>
      <c r="D263" s="291" t="str">
        <f aca="true">IF(ISNUMBER($J263),INDIRECT("O"&amp;($J263+4)),"")</f>
        <v/>
      </c>
      <c r="E263" s="291" t="str">
        <f aca="true">IF(ISNUMBER($J263),INDIRECT("P"&amp;($J263+4)),"")</f>
        <v/>
      </c>
      <c r="F263" s="300" t="str">
        <f aca="true">IF(ISNUMBER($J263),INDIRECT("Q"&amp;($J263+4)),"")</f>
        <v/>
      </c>
      <c r="G263" s="298" t="str">
        <f aca="true">IF(ISNUMBER($J263),INDIRECT("R"&amp;($J263+4)),"")</f>
        <v/>
      </c>
      <c r="H263" s="298" t="str">
        <f aca="true">IF(ISNUMBER($J263),INDIRECT("S"&amp;($J263+4)),"")</f>
        <v/>
      </c>
      <c r="J263" s="292" t="str">
        <f aca="true">IF(259&lt;=$K$1,MATCH(258.5,INDIRECT("$K$4:$K$1374"),1),"")</f>
        <v/>
      </c>
      <c r="K263" s="292" t="n">
        <f aca="false">$K$260+COUNTIF($Q$261:Q263,"&gt;0")</f>
        <v>0</v>
      </c>
      <c r="L263" s="292" t="str">
        <f aca="false">"Аккумуляторы — перевозка"</f>
        <v>Аккумуляторы — перевозка</v>
      </c>
      <c r="M263" s="292" t="str">
        <f aca="false">IF(ISBLANK('Аккумуляторы — перевозка'!$A$10),"",'Аккумуляторы — перевозка'!$A$10)</f>
        <v>BJ85 Myriad портативный аккумулятор 22.5W+PD20W+лампа (100000mAh)（UN）</v>
      </c>
      <c r="N263" s="292" t="str">
        <f aca="false">IF(ISBLANK('Аккумуляторы — перевозка'!$D$10),"",'Аккумуляторы — перевозка'!$D$10)</f>
        <v>6941991125560</v>
      </c>
      <c r="O263" s="292" t="str">
        <f aca="false">IF(ISBLANK('Аккумуляторы — перевозка'!$E$10),"",'Аккумуляторы — перевозка'!$E$10)</f>
        <v>чёрный</v>
      </c>
      <c r="P263" s="292" t="str">
        <f aca="false">"ед."</f>
        <v>ед.</v>
      </c>
      <c r="Q263" s="292" t="n">
        <f aca="false">N('Аккумуляторы — перевозка'!$G$10)</f>
        <v>0</v>
      </c>
      <c r="R263" s="299" t="n">
        <f aca="false">IF(ISBLANK('Аккумуляторы — перевозка'!$F$10),"",'Аккумуляторы — перевозка'!$F$10)</f>
        <v>3810.29</v>
      </c>
      <c r="S263" s="292" t="str">
        <f aca="false">IF(ISBLANK('Аккумуляторы — перевозка'!$H$10),"",'Аккумуляторы — перевозка'!$H$10)</f>
        <v/>
      </c>
    </row>
    <row r="264" customFormat="false" ht="66" hidden="false" customHeight="true" outlineLevel="0" collapsed="false">
      <c r="A264" s="291" t="str">
        <f aca="true">IF(ISNUMBER($J264),INDIRECT("L"&amp;($J264+4)),"")</f>
        <v/>
      </c>
      <c r="B264" s="291" t="str">
        <f aca="true">IF(ISNUMBER($J264),INDIRECT("M"&amp;($J264+4)),"")</f>
        <v/>
      </c>
      <c r="C264" s="296" t="str">
        <f aca="true">IF(ISNUMBER($J264),INDIRECT("N"&amp;($J264+4)),"")</f>
        <v/>
      </c>
      <c r="D264" s="291" t="str">
        <f aca="true">IF(ISNUMBER($J264),INDIRECT("O"&amp;($J264+4)),"")</f>
        <v/>
      </c>
      <c r="E264" s="291" t="str">
        <f aca="true">IF(ISNUMBER($J264),INDIRECT("P"&amp;($J264+4)),"")</f>
        <v/>
      </c>
      <c r="F264" s="300" t="str">
        <f aca="true">IF(ISNUMBER($J264),INDIRECT("Q"&amp;($J264+4)),"")</f>
        <v/>
      </c>
      <c r="G264" s="298" t="str">
        <f aca="true">IF(ISNUMBER($J264),INDIRECT("R"&amp;($J264+4)),"")</f>
        <v/>
      </c>
      <c r="H264" s="298" t="str">
        <f aca="true">IF(ISNUMBER($J264),INDIRECT("S"&amp;($J264+4)),"")</f>
        <v/>
      </c>
      <c r="J264" s="292" t="str">
        <f aca="true">IF(260&lt;=$K$1,MATCH(259.5,INDIRECT("$K$4:$K$1374"),1),"")</f>
        <v/>
      </c>
      <c r="K264" s="292" t="n">
        <f aca="false">$K$260+COUNTIF($Q$261:Q264,"&gt;0")</f>
        <v>0</v>
      </c>
      <c r="L264" s="292" t="str">
        <f aca="false">"Аккумуляторы — перевозка"</f>
        <v>Аккумуляторы — перевозка</v>
      </c>
      <c r="M264" s="292" t="str">
        <f aca="false">IF(ISBLANK('Аккумуляторы — перевозка'!$A$11),"",'Аккумуляторы — перевозка'!$A$11)</f>
        <v>BJ84 Smooth портативный аккумулятор с 4 кабелями (10000mAh)（UN）</v>
      </c>
      <c r="N264" s="292" t="str">
        <f aca="false">IF(ISBLANK('Аккумуляторы — перевозка'!$D$11),"",'Аккумуляторы — перевозка'!$D$11)</f>
        <v>6941991126161</v>
      </c>
      <c r="O264" s="292" t="str">
        <f aca="false">IF(ISBLANK('Аккумуляторы — перевозка'!$E$11),"",'Аккумуляторы — перевозка'!$E$11)</f>
        <v>чёрный</v>
      </c>
      <c r="P264" s="292" t="str">
        <f aca="false">"ед."</f>
        <v>ед.</v>
      </c>
      <c r="Q264" s="292" t="n">
        <f aca="false">N('Аккумуляторы — перевозка'!$G$11)</f>
        <v>0</v>
      </c>
      <c r="R264" s="299" t="n">
        <f aca="false">IF(ISBLANK('Аккумуляторы — перевозка'!$F$11),"",'Аккумуляторы — перевозка'!$F$11)</f>
        <v>532.09</v>
      </c>
      <c r="S264" s="292" t="str">
        <f aca="false">IF(ISBLANK('Аккумуляторы — перевозка'!$H$11),"",'Аккумуляторы — перевозка'!$H$11)</f>
        <v/>
      </c>
    </row>
    <row r="265" customFormat="false" ht="66" hidden="false" customHeight="true" outlineLevel="0" collapsed="false">
      <c r="A265" s="291" t="str">
        <f aca="true">IF(ISNUMBER($J265),INDIRECT("L"&amp;($J265+4)),"")</f>
        <v/>
      </c>
      <c r="B265" s="291" t="str">
        <f aca="true">IF(ISNUMBER($J265),INDIRECT("M"&amp;($J265+4)),"")</f>
        <v/>
      </c>
      <c r="C265" s="296" t="str">
        <f aca="true">IF(ISNUMBER($J265),INDIRECT("N"&amp;($J265+4)),"")</f>
        <v/>
      </c>
      <c r="D265" s="291" t="str">
        <f aca="true">IF(ISNUMBER($J265),INDIRECT("O"&amp;($J265+4)),"")</f>
        <v/>
      </c>
      <c r="E265" s="291" t="str">
        <f aca="true">IF(ISNUMBER($J265),INDIRECT("P"&amp;($J265+4)),"")</f>
        <v/>
      </c>
      <c r="F265" s="300" t="str">
        <f aca="true">IF(ISNUMBER($J265),INDIRECT("Q"&amp;($J265+4)),"")</f>
        <v/>
      </c>
      <c r="G265" s="298" t="str">
        <f aca="true">IF(ISNUMBER($J265),INDIRECT("R"&amp;($J265+4)),"")</f>
        <v/>
      </c>
      <c r="H265" s="298" t="str">
        <f aca="true">IF(ISNUMBER($J265),INDIRECT("S"&amp;($J265+4)),"")</f>
        <v/>
      </c>
      <c r="J265" s="292" t="str">
        <f aca="true">IF(261&lt;=$K$1,MATCH(260.5,INDIRECT("$K$4:$K$1374"),1),"")</f>
        <v/>
      </c>
      <c r="K265" s="292" t="n">
        <f aca="false">$K$260+COUNTIF($Q$261:Q265,"&gt;0")</f>
        <v>0</v>
      </c>
      <c r="L265" s="292" t="str">
        <f aca="false">"Аккумуляторы — перевозка"</f>
        <v>Аккумуляторы — перевозка</v>
      </c>
      <c r="M265" s="292" t="str">
        <f aca="false">IF(ISBLANK('Аккумуляторы — перевозка'!$A$12),"",'Аккумуляторы — перевозка'!$A$12)</f>
        <v>BJ82A Dawn PD20W магнитный портативный аккумулятор (10000mAh)（UN）</v>
      </c>
      <c r="N265" s="292" t="str">
        <f aca="false">IF(ISBLANK('Аккумуляторы — перевозка'!$D$12),"",'Аккумуляторы — перевозка'!$D$12)</f>
        <v>6941991124808</v>
      </c>
      <c r="O265" s="292" t="str">
        <f aca="false">IF(ISBLANK('Аккумуляторы — перевозка'!$E$12),"",'Аккумуляторы — перевозка'!$E$12)</f>
        <v>чёрный</v>
      </c>
      <c r="P265" s="292" t="str">
        <f aca="false">"ед."</f>
        <v>ед.</v>
      </c>
      <c r="Q265" s="292" t="n">
        <f aca="false">N('Аккумуляторы — перевозка'!$G$12)</f>
        <v>0</v>
      </c>
      <c r="R265" s="299" t="n">
        <f aca="false">IF(ISBLANK('Аккумуляторы — перевозка'!$F$12),"",'Аккумуляторы — перевозка'!$F$12)</f>
        <v>1029.53</v>
      </c>
      <c r="S265" s="292" t="str">
        <f aca="false">IF(ISBLANK('Аккумуляторы — перевозка'!$H$12),"",'Аккумуляторы — перевозка'!$H$12)</f>
        <v/>
      </c>
    </row>
    <row r="266" customFormat="false" ht="66" hidden="false" customHeight="true" outlineLevel="0" collapsed="false">
      <c r="A266" s="291" t="str">
        <f aca="true">IF(ISNUMBER($J266),INDIRECT("L"&amp;($J266+4)),"")</f>
        <v/>
      </c>
      <c r="B266" s="291" t="str">
        <f aca="true">IF(ISNUMBER($J266),INDIRECT("M"&amp;($J266+4)),"")</f>
        <v/>
      </c>
      <c r="C266" s="296" t="str">
        <f aca="true">IF(ISNUMBER($J266),INDIRECT("N"&amp;($J266+4)),"")</f>
        <v/>
      </c>
      <c r="D266" s="291" t="str">
        <f aca="true">IF(ISNUMBER($J266),INDIRECT("O"&amp;($J266+4)),"")</f>
        <v/>
      </c>
      <c r="E266" s="291" t="str">
        <f aca="true">IF(ISNUMBER($J266),INDIRECT("P"&amp;($J266+4)),"")</f>
        <v/>
      </c>
      <c r="F266" s="300" t="str">
        <f aca="true">IF(ISNUMBER($J266),INDIRECT("Q"&amp;($J266+4)),"")</f>
        <v/>
      </c>
      <c r="G266" s="298" t="str">
        <f aca="true">IF(ISNUMBER($J266),INDIRECT("R"&amp;($J266+4)),"")</f>
        <v/>
      </c>
      <c r="H266" s="298" t="str">
        <f aca="true">IF(ISNUMBER($J266),INDIRECT("S"&amp;($J266+4)),"")</f>
        <v/>
      </c>
      <c r="J266" s="292" t="str">
        <f aca="true">IF(262&lt;=$K$1,MATCH(261.5,INDIRECT("$K$4:$K$1374"),1),"")</f>
        <v/>
      </c>
      <c r="K266" s="292" t="n">
        <f aca="false">$K$260+COUNTIF($Q$261:Q266,"&gt;0")</f>
        <v>0</v>
      </c>
      <c r="L266" s="292" t="str">
        <f aca="false">"Аккумуляторы — перевозка"</f>
        <v>Аккумуляторы — перевозка</v>
      </c>
      <c r="M266" s="292" t="str">
        <f aca="false">IF(ISBLANK('Аккумуляторы — перевозка'!$A$13),"",'Аккумуляторы — перевозка'!$A$13)</f>
        <v>BJ80 Clever 22.5W+PD20W универсальный портативный аккумулятор (10000mAh)（UN）</v>
      </c>
      <c r="N266" s="292" t="str">
        <f aca="false">IF(ISBLANK('Аккумуляторы — перевозка'!$D$13),"",'Аккумуляторы — перевозка'!$D$13)</f>
        <v>6941991121593</v>
      </c>
      <c r="O266" s="292" t="str">
        <f aca="false">IF(ISBLANK('Аккумуляторы — перевозка'!$E$13),"",'Аккумуляторы — перевозка'!$E$13)</f>
        <v>чёрный</v>
      </c>
      <c r="P266" s="292" t="str">
        <f aca="false">"ед."</f>
        <v>ед.</v>
      </c>
      <c r="Q266" s="292" t="n">
        <f aca="false">N('Аккумуляторы — перевозка'!$G$13)</f>
        <v>0</v>
      </c>
      <c r="R266" s="299" t="n">
        <f aca="false">IF(ISBLANK('Аккумуляторы — перевозка'!$F$13),"",'Аккумуляторы — перевозка'!$F$13)</f>
        <v>670.72</v>
      </c>
      <c r="S266" s="292" t="str">
        <f aca="false">IF(ISBLANK('Аккумуляторы — перевозка'!$H$13),"",'Аккумуляторы — перевозка'!$H$13)</f>
        <v/>
      </c>
    </row>
    <row r="267" customFormat="false" ht="66" hidden="false" customHeight="true" outlineLevel="0" collapsed="false">
      <c r="A267" s="291" t="str">
        <f aca="true">IF(ISNUMBER($J267),INDIRECT("L"&amp;($J267+4)),"")</f>
        <v/>
      </c>
      <c r="B267" s="291" t="str">
        <f aca="true">IF(ISNUMBER($J267),INDIRECT("M"&amp;($J267+4)),"")</f>
        <v/>
      </c>
      <c r="C267" s="296" t="str">
        <f aca="true">IF(ISNUMBER($J267),INDIRECT("N"&amp;($J267+4)),"")</f>
        <v/>
      </c>
      <c r="D267" s="291" t="str">
        <f aca="true">IF(ISNUMBER($J267),INDIRECT("O"&amp;($J267+4)),"")</f>
        <v/>
      </c>
      <c r="E267" s="291" t="str">
        <f aca="true">IF(ISNUMBER($J267),INDIRECT("P"&amp;($J267+4)),"")</f>
        <v/>
      </c>
      <c r="F267" s="300" t="str">
        <f aca="true">IF(ISNUMBER($J267),INDIRECT("Q"&amp;($J267+4)),"")</f>
        <v/>
      </c>
      <c r="G267" s="298" t="str">
        <f aca="true">IF(ISNUMBER($J267),INDIRECT("R"&amp;($J267+4)),"")</f>
        <v/>
      </c>
      <c r="H267" s="298" t="str">
        <f aca="true">IF(ISNUMBER($J267),INDIRECT("S"&amp;($J267+4)),"")</f>
        <v/>
      </c>
      <c r="J267" s="292" t="str">
        <f aca="true">IF(263&lt;=$K$1,MATCH(262.5,INDIRECT("$K$4:$K$1374"),1),"")</f>
        <v/>
      </c>
      <c r="K267" s="292" t="n">
        <f aca="false">$K$260+COUNTIF($Q$261:Q267,"&gt;0")</f>
        <v>0</v>
      </c>
      <c r="L267" s="292" t="str">
        <f aca="false">"Аккумуляторы — перевозка"</f>
        <v>Аккумуляторы — перевозка</v>
      </c>
      <c r="M267" s="292" t="str">
        <f aca="false">IF(ISBLANK('Аккумуляторы — перевозка'!$A$13),"",'Аккумуляторы — перевозка'!$A$13)</f>
        <v>BJ80 Clever 22.5W+PD20W универсальный портативный аккумулятор (10000mAh)（UN）</v>
      </c>
      <c r="N267" s="292" t="str">
        <f aca="false">IF(ISBLANK('Аккумуляторы — перевозка'!$D$14),"",'Аккумуляторы — перевозка'!$D$14)</f>
        <v>6941991121609</v>
      </c>
      <c r="O267" s="292" t="str">
        <f aca="false">IF(ISBLANK('Аккумуляторы — перевозка'!$E$14),"",'Аккумуляторы — перевозка'!$E$14)</f>
        <v>белый</v>
      </c>
      <c r="P267" s="292" t="str">
        <f aca="false">"ед."</f>
        <v>ед.</v>
      </c>
      <c r="Q267" s="292" t="n">
        <f aca="false">N('Аккумуляторы — перевозка'!$G$14)</f>
        <v>0</v>
      </c>
      <c r="R267" s="299" t="n">
        <f aca="false">IF(ISBLANK('Аккумуляторы — перевозка'!$F$14),"",'Аккумуляторы — перевозка'!$F$14)</f>
        <v>670.72</v>
      </c>
      <c r="S267" s="292" t="str">
        <f aca="false">IF(ISBLANK('Аккумуляторы — перевозка'!$H$14),"",'Аккумуляторы — перевозка'!$H$14)</f>
        <v/>
      </c>
    </row>
    <row r="268" customFormat="false" ht="66" hidden="false" customHeight="true" outlineLevel="0" collapsed="false">
      <c r="A268" s="291" t="str">
        <f aca="true">IF(ISNUMBER($J268),INDIRECT("L"&amp;($J268+4)),"")</f>
        <v/>
      </c>
      <c r="B268" s="291" t="str">
        <f aca="true">IF(ISNUMBER($J268),INDIRECT("M"&amp;($J268+4)),"")</f>
        <v/>
      </c>
      <c r="C268" s="296" t="str">
        <f aca="true">IF(ISNUMBER($J268),INDIRECT("N"&amp;($J268+4)),"")</f>
        <v/>
      </c>
      <c r="D268" s="291" t="str">
        <f aca="true">IF(ISNUMBER($J268),INDIRECT("O"&amp;($J268+4)),"")</f>
        <v/>
      </c>
      <c r="E268" s="291" t="str">
        <f aca="true">IF(ISNUMBER($J268),INDIRECT("P"&amp;($J268+4)),"")</f>
        <v/>
      </c>
      <c r="F268" s="300" t="str">
        <f aca="true">IF(ISNUMBER($J268),INDIRECT("Q"&amp;($J268+4)),"")</f>
        <v/>
      </c>
      <c r="G268" s="298" t="str">
        <f aca="true">IF(ISNUMBER($J268),INDIRECT("R"&amp;($J268+4)),"")</f>
        <v/>
      </c>
      <c r="H268" s="298" t="str">
        <f aca="true">IF(ISNUMBER($J268),INDIRECT("S"&amp;($J268+4)),"")</f>
        <v/>
      </c>
      <c r="J268" s="292" t="str">
        <f aca="true">IF(264&lt;=$K$1,MATCH(263.5,INDIRECT("$K$4:$K$1374"),1),"")</f>
        <v/>
      </c>
      <c r="K268" s="292" t="n">
        <f aca="false">$K$260+COUNTIF($Q$261:Q268,"&gt;0")</f>
        <v>0</v>
      </c>
      <c r="L268" s="292" t="str">
        <f aca="false">"Аккумуляторы — перевозка"</f>
        <v>Аккумуляторы — перевозка</v>
      </c>
      <c r="M268" s="292" t="str">
        <f aca="false">IF(ISBLANK('Аккумуляторы — перевозка'!$A$15),"",'Аккумуляторы — перевозка'!$A$15)</f>
        <v>BJ80B Clever 22.5W+PD20W универсальный портативный аккумулятор (30000mAh)（UN）</v>
      </c>
      <c r="N268" s="292" t="str">
        <f aca="false">IF(ISBLANK('Аккумуляторы — перевозка'!$D$15),"",'Аккумуляторы — перевозка'!$D$15)</f>
        <v>6941991121630</v>
      </c>
      <c r="O268" s="292" t="str">
        <f aca="false">IF(ISBLANK('Аккумуляторы — перевозка'!$E$15),"",'Аккумуляторы — перевозка'!$E$15)</f>
        <v>чёрный</v>
      </c>
      <c r="P268" s="292" t="str">
        <f aca="false">"ед."</f>
        <v>ед.</v>
      </c>
      <c r="Q268" s="292" t="n">
        <f aca="false">N('Аккумуляторы — перевозка'!$G$15)</f>
        <v>0</v>
      </c>
      <c r="R268" s="299" t="n">
        <f aca="false">IF(ISBLANK('Аккумуляторы — перевозка'!$F$15),"",'Аккумуляторы — перевозка'!$F$15)</f>
        <v>1290.48</v>
      </c>
      <c r="S268" s="292" t="str">
        <f aca="false">IF(ISBLANK('Аккумуляторы — перевозка'!$H$15),"",'Аккумуляторы — перевозка'!$H$15)</f>
        <v/>
      </c>
    </row>
    <row r="269" customFormat="false" ht="66" hidden="false" customHeight="true" outlineLevel="0" collapsed="false">
      <c r="A269" s="291" t="str">
        <f aca="true">IF(ISNUMBER($J269),INDIRECT("L"&amp;($J269+4)),"")</f>
        <v/>
      </c>
      <c r="B269" s="291" t="str">
        <f aca="true">IF(ISNUMBER($J269),INDIRECT("M"&amp;($J269+4)),"")</f>
        <v/>
      </c>
      <c r="C269" s="296" t="str">
        <f aca="true">IF(ISNUMBER($J269),INDIRECT("N"&amp;($J269+4)),"")</f>
        <v/>
      </c>
      <c r="D269" s="291" t="str">
        <f aca="true">IF(ISNUMBER($J269),INDIRECT("O"&amp;($J269+4)),"")</f>
        <v/>
      </c>
      <c r="E269" s="291" t="str">
        <f aca="true">IF(ISNUMBER($J269),INDIRECT("P"&amp;($J269+4)),"")</f>
        <v/>
      </c>
      <c r="F269" s="300" t="str">
        <f aca="true">IF(ISNUMBER($J269),INDIRECT("Q"&amp;($J269+4)),"")</f>
        <v/>
      </c>
      <c r="G269" s="298" t="str">
        <f aca="true">IF(ISNUMBER($J269),INDIRECT("R"&amp;($J269+4)),"")</f>
        <v/>
      </c>
      <c r="H269" s="298" t="str">
        <f aca="true">IF(ISNUMBER($J269),INDIRECT("S"&amp;($J269+4)),"")</f>
        <v/>
      </c>
      <c r="J269" s="292" t="str">
        <f aca="true">IF(265&lt;=$K$1,MATCH(264.5,INDIRECT("$K$4:$K$1374"),1),"")</f>
        <v/>
      </c>
      <c r="K269" s="292" t="n">
        <f aca="false">$K$260+COUNTIF($Q$261:Q269,"&gt;0")</f>
        <v>0</v>
      </c>
      <c r="L269" s="292" t="str">
        <f aca="false">"Аккумуляторы — перевозка"</f>
        <v>Аккумуляторы — перевозка</v>
      </c>
      <c r="M269" s="292" t="str">
        <f aca="false">IF(ISBLANK('Аккумуляторы — перевозка'!$A$16),"",'Аккумуляторы — перевозка'!$A$16)</f>
        <v>BJ80C Clever 22.5W+PD20W универсальный портативный аккумулятор (50000mAh)（UN）</v>
      </c>
      <c r="N269" s="292" t="str">
        <f aca="false">IF(ISBLANK('Аккумуляторы — перевозка'!$D$16),"",'Аккумуляторы — перевозка'!$D$16)</f>
        <v>6941991121654</v>
      </c>
      <c r="O269" s="292" t="str">
        <f aca="false">IF(ISBLANK('Аккумуляторы — перевозка'!$E$16),"",'Аккумуляторы — перевозка'!$E$16)</f>
        <v>чёрный</v>
      </c>
      <c r="P269" s="292" t="str">
        <f aca="false">"ед."</f>
        <v>ед.</v>
      </c>
      <c r="Q269" s="292" t="n">
        <f aca="false">N('Аккумуляторы — перевозка'!$G$16)</f>
        <v>0</v>
      </c>
      <c r="R269" s="299" t="n">
        <f aca="false">IF(ISBLANK('Аккумуляторы — перевозка'!$F$16),"",'Аккумуляторы — перевозка'!$F$16)</f>
        <v>1902.08</v>
      </c>
      <c r="S269" s="292" t="str">
        <f aca="false">IF(ISBLANK('Аккумуляторы — перевозка'!$H$16),"",'Аккумуляторы — перевозка'!$H$16)</f>
        <v/>
      </c>
    </row>
    <row r="270" customFormat="false" ht="66" hidden="false" customHeight="true" outlineLevel="0" collapsed="false">
      <c r="A270" s="291" t="str">
        <f aca="true">IF(ISNUMBER($J270),INDIRECT("L"&amp;($J270+4)),"")</f>
        <v/>
      </c>
      <c r="B270" s="291" t="str">
        <f aca="true">IF(ISNUMBER($J270),INDIRECT("M"&amp;($J270+4)),"")</f>
        <v/>
      </c>
      <c r="C270" s="296" t="str">
        <f aca="true">IF(ISNUMBER($J270),INDIRECT("N"&amp;($J270+4)),"")</f>
        <v/>
      </c>
      <c r="D270" s="291" t="str">
        <f aca="true">IF(ISNUMBER($J270),INDIRECT("O"&amp;($J270+4)),"")</f>
        <v/>
      </c>
      <c r="E270" s="291" t="str">
        <f aca="true">IF(ISNUMBER($J270),INDIRECT("P"&amp;($J270+4)),"")</f>
        <v/>
      </c>
      <c r="F270" s="300" t="str">
        <f aca="true">IF(ISNUMBER($J270),INDIRECT("Q"&amp;($J270+4)),"")</f>
        <v/>
      </c>
      <c r="G270" s="298" t="str">
        <f aca="true">IF(ISNUMBER($J270),INDIRECT("R"&amp;($J270+4)),"")</f>
        <v/>
      </c>
      <c r="H270" s="298" t="str">
        <f aca="true">IF(ISNUMBER($J270),INDIRECT("S"&amp;($J270+4)),"")</f>
        <v/>
      </c>
      <c r="J270" s="292" t="str">
        <f aca="true">IF(266&lt;=$K$1,MATCH(265.5,INDIRECT("$K$4:$K$1374"),1),"")</f>
        <v/>
      </c>
      <c r="K270" s="292" t="n">
        <f aca="false">$K$260+COUNTIF($Q$261:Q270,"&gt;0")</f>
        <v>0</v>
      </c>
      <c r="L270" s="292" t="str">
        <f aca="false">"Аккумуляторы — перевозка"</f>
        <v>Аккумуляторы — перевозка</v>
      </c>
      <c r="M270" s="292" t="str">
        <f aca="false">IF(ISBLANK('Аккумуляторы — перевозка'!$A$17),"",'Аккумуляторы — перевозка'!$A$17)</f>
        <v>BJ79 Clever портативный аккумулятор с 3 кабелями (10000mAh)（UN）</v>
      </c>
      <c r="N270" s="292" t="str">
        <f aca="false">IF(ISBLANK('Аккумуляторы — перевозка'!$D$17),"",'Аккумуляторы — перевозка'!$D$17)</f>
        <v>6941991121531</v>
      </c>
      <c r="O270" s="292" t="str">
        <f aca="false">IF(ISBLANK('Аккумуляторы — перевозка'!$E$17),"",'Аккумуляторы — перевозка'!$E$17)</f>
        <v>чёрный</v>
      </c>
      <c r="P270" s="292" t="str">
        <f aca="false">"ед."</f>
        <v>ед.</v>
      </c>
      <c r="Q270" s="292" t="n">
        <f aca="false">N('Аккумуляторы — перевозка'!$G$17)</f>
        <v>0</v>
      </c>
      <c r="R270" s="299" t="n">
        <f aca="false">IF(ISBLANK('Аккумуляторы — перевозка'!$F$17),"",'Аккумуляторы — перевозка'!$F$17)</f>
        <v>581.02</v>
      </c>
      <c r="S270" s="292" t="str">
        <f aca="false">IF(ISBLANK('Аккумуляторы — перевозка'!$H$17),"",'Аккумуляторы — перевозка'!$H$17)</f>
        <v/>
      </c>
    </row>
    <row r="271" customFormat="false" ht="66" hidden="false" customHeight="true" outlineLevel="0" collapsed="false">
      <c r="A271" s="291" t="str">
        <f aca="true">IF(ISNUMBER($J271),INDIRECT("L"&amp;($J271+4)),"")</f>
        <v/>
      </c>
      <c r="B271" s="291" t="str">
        <f aca="true">IF(ISNUMBER($J271),INDIRECT("M"&amp;($J271+4)),"")</f>
        <v/>
      </c>
      <c r="C271" s="296" t="str">
        <f aca="true">IF(ISNUMBER($J271),INDIRECT("N"&amp;($J271+4)),"")</f>
        <v/>
      </c>
      <c r="D271" s="291" t="str">
        <f aca="true">IF(ISNUMBER($J271),INDIRECT("O"&amp;($J271+4)),"")</f>
        <v/>
      </c>
      <c r="E271" s="291" t="str">
        <f aca="true">IF(ISNUMBER($J271),INDIRECT("P"&amp;($J271+4)),"")</f>
        <v/>
      </c>
      <c r="F271" s="300" t="str">
        <f aca="true">IF(ISNUMBER($J271),INDIRECT("Q"&amp;($J271+4)),"")</f>
        <v/>
      </c>
      <c r="G271" s="298" t="str">
        <f aca="true">IF(ISNUMBER($J271),INDIRECT("R"&amp;($J271+4)),"")</f>
        <v/>
      </c>
      <c r="H271" s="298" t="str">
        <f aca="true">IF(ISNUMBER($J271),INDIRECT("S"&amp;($J271+4)),"")</f>
        <v/>
      </c>
      <c r="J271" s="292" t="str">
        <f aca="true">IF(267&lt;=$K$1,MATCH(266.5,INDIRECT("$K$4:$K$1374"),1),"")</f>
        <v/>
      </c>
      <c r="K271" s="292" t="n">
        <f aca="false">$K$260+COUNTIF($Q$261:Q271,"&gt;0")</f>
        <v>0</v>
      </c>
      <c r="L271" s="292" t="str">
        <f aca="false">"Аккумуляторы — перевозка"</f>
        <v>Аккумуляторы — перевозка</v>
      </c>
      <c r="M271" s="292" t="str">
        <f aca="false">IF(ISBLANK('Аккумуляторы — перевозка'!$A$17),"",'Аккумуляторы — перевозка'!$A$17)</f>
        <v>BJ79 Clever портативный аккумулятор с 3 кабелями (10000mAh)（UN）</v>
      </c>
      <c r="N271" s="292" t="str">
        <f aca="false">IF(ISBLANK('Аккумуляторы — перевозка'!$D$18),"",'Аккумуляторы — перевозка'!$D$18)</f>
        <v>6941991121548</v>
      </c>
      <c r="O271" s="292" t="str">
        <f aca="false">IF(ISBLANK('Аккумуляторы — перевозка'!$E$18),"",'Аккумуляторы — перевозка'!$E$18)</f>
        <v>белый</v>
      </c>
      <c r="P271" s="292" t="str">
        <f aca="false">"ед."</f>
        <v>ед.</v>
      </c>
      <c r="Q271" s="292" t="n">
        <f aca="false">N('Аккумуляторы — перевозка'!$G$18)</f>
        <v>0</v>
      </c>
      <c r="R271" s="299" t="n">
        <f aca="false">IF(ISBLANK('Аккумуляторы — перевозка'!$F$18),"",'Аккумуляторы — перевозка'!$F$18)</f>
        <v>581.02</v>
      </c>
      <c r="S271" s="292" t="str">
        <f aca="false">IF(ISBLANK('Аккумуляторы — перевозка'!$H$18),"",'Аккумуляторы — перевозка'!$H$18)</f>
        <v/>
      </c>
    </row>
    <row r="272" customFormat="false" ht="66" hidden="false" customHeight="true" outlineLevel="0" collapsed="false">
      <c r="A272" s="291" t="str">
        <f aca="true">IF(ISNUMBER($J272),INDIRECT("L"&amp;($J272+4)),"")</f>
        <v/>
      </c>
      <c r="B272" s="291" t="str">
        <f aca="true">IF(ISNUMBER($J272),INDIRECT("M"&amp;($J272+4)),"")</f>
        <v/>
      </c>
      <c r="C272" s="296" t="str">
        <f aca="true">IF(ISNUMBER($J272),INDIRECT("N"&amp;($J272+4)),"")</f>
        <v/>
      </c>
      <c r="D272" s="291" t="str">
        <f aca="true">IF(ISNUMBER($J272),INDIRECT("O"&amp;($J272+4)),"")</f>
        <v/>
      </c>
      <c r="E272" s="291" t="str">
        <f aca="true">IF(ISNUMBER($J272),INDIRECT("P"&amp;($J272+4)),"")</f>
        <v/>
      </c>
      <c r="F272" s="300" t="str">
        <f aca="true">IF(ISNUMBER($J272),INDIRECT("Q"&amp;($J272+4)),"")</f>
        <v/>
      </c>
      <c r="G272" s="298" t="str">
        <f aca="true">IF(ISNUMBER($J272),INDIRECT("R"&amp;($J272+4)),"")</f>
        <v/>
      </c>
      <c r="H272" s="298" t="str">
        <f aca="true">IF(ISNUMBER($J272),INDIRECT("S"&amp;($J272+4)),"")</f>
        <v/>
      </c>
      <c r="J272" s="292" t="str">
        <f aca="true">IF(268&lt;=$K$1,MATCH(267.5,INDIRECT("$K$4:$K$1374"),1),"")</f>
        <v/>
      </c>
      <c r="K272" s="292" t="n">
        <f aca="false">$K$260+COUNTIF($Q$261:Q272,"&gt;0")</f>
        <v>0</v>
      </c>
      <c r="L272" s="292" t="str">
        <f aca="false">"Аккумуляторы — перевозка"</f>
        <v>Аккумуляторы — перевозка</v>
      </c>
      <c r="M272" s="292" t="str">
        <f aca="false">IF(ISBLANK('Аккумуляторы — перевозка'!$A$19),"",'Аккумуляторы — перевозка'!$A$19)</f>
        <v>BJ79B Clever портативный аккумулятор с 3 кабелями (30000mAh)（UN）</v>
      </c>
      <c r="N272" s="292" t="str">
        <f aca="false">IF(ISBLANK('Аккумуляторы — перевозка'!$D$19),"",'Аккумуляторы — перевозка'!$D$19)</f>
        <v>6941991121579</v>
      </c>
      <c r="O272" s="292" t="str">
        <f aca="false">IF(ISBLANK('Аккумуляторы — перевозка'!$E$19),"",'Аккумуляторы — перевозка'!$E$19)</f>
        <v>чёрный</v>
      </c>
      <c r="P272" s="292" t="str">
        <f aca="false">"ед."</f>
        <v>ед.</v>
      </c>
      <c r="Q272" s="292" t="n">
        <f aca="false">N('Аккумуляторы — перевозка'!$G$19)</f>
        <v>0</v>
      </c>
      <c r="R272" s="299" t="n">
        <f aca="false">IF(ISBLANK('Аккумуляторы — перевозка'!$F$19),"",'Аккумуляторы — перевозка'!$F$19)</f>
        <v>1208.94</v>
      </c>
      <c r="S272" s="292" t="str">
        <f aca="false">IF(ISBLANK('Аккумуляторы — перевозка'!$H$19),"",'Аккумуляторы — перевозка'!$H$19)</f>
        <v/>
      </c>
    </row>
    <row r="273" customFormat="false" ht="66" hidden="false" customHeight="true" outlineLevel="0" collapsed="false">
      <c r="A273" s="291" t="str">
        <f aca="true">IF(ISNUMBER($J273),INDIRECT("L"&amp;($J273+4)),"")</f>
        <v/>
      </c>
      <c r="B273" s="291" t="str">
        <f aca="true">IF(ISNUMBER($J273),INDIRECT("M"&amp;($J273+4)),"")</f>
        <v/>
      </c>
      <c r="C273" s="296" t="str">
        <f aca="true">IF(ISNUMBER($J273),INDIRECT("N"&amp;($J273+4)),"")</f>
        <v/>
      </c>
      <c r="D273" s="291" t="str">
        <f aca="true">IF(ISNUMBER($J273),INDIRECT("O"&amp;($J273+4)),"")</f>
        <v/>
      </c>
      <c r="E273" s="291" t="str">
        <f aca="true">IF(ISNUMBER($J273),INDIRECT("P"&amp;($J273+4)),"")</f>
        <v/>
      </c>
      <c r="F273" s="300" t="str">
        <f aca="true">IF(ISNUMBER($J273),INDIRECT("Q"&amp;($J273+4)),"")</f>
        <v/>
      </c>
      <c r="G273" s="298" t="str">
        <f aca="true">IF(ISNUMBER($J273),INDIRECT("R"&amp;($J273+4)),"")</f>
        <v/>
      </c>
      <c r="H273" s="298" t="str">
        <f aca="true">IF(ISNUMBER($J273),INDIRECT("S"&amp;($J273+4)),"")</f>
        <v/>
      </c>
      <c r="J273" s="292" t="str">
        <f aca="true">IF(269&lt;=$K$1,MATCH(268.5,INDIRECT("$K$4:$K$1374"),1),"")</f>
        <v/>
      </c>
      <c r="K273" s="292" t="n">
        <f aca="false">$K$260+COUNTIF($Q$261:Q273,"&gt;0")</f>
        <v>0</v>
      </c>
      <c r="L273" s="292" t="str">
        <f aca="false">"Аккумуляторы — перевозка"</f>
        <v>Аккумуляторы — перевозка</v>
      </c>
      <c r="M273" s="292" t="str">
        <f aca="false">IF(ISBLANK('Аккумуляторы — перевозка'!$A$20),"",'Аккумуляторы — перевозка'!$A$20)</f>
        <v>BJ79C Clever портативный аккумулятор с 3 кабелями (50000mAh)（UN）</v>
      </c>
      <c r="N273" s="292" t="str">
        <f aca="false">IF(ISBLANK('Аккумуляторы — перевозка'!$D$20),"",'Аккумуляторы — перевозка'!$D$20)</f>
        <v>6941991121586</v>
      </c>
      <c r="O273" s="292" t="str">
        <f aca="false">IF(ISBLANK('Аккумуляторы — перевозка'!$E$20),"",'Аккумуляторы — перевозка'!$E$20)</f>
        <v>чёрный</v>
      </c>
      <c r="P273" s="292" t="str">
        <f aca="false">"ед."</f>
        <v>ед.</v>
      </c>
      <c r="Q273" s="292" t="n">
        <f aca="false">N('Аккумуляторы — перевозка'!$G$20)</f>
        <v>0</v>
      </c>
      <c r="R273" s="299" t="n">
        <f aca="false">IF(ISBLANK('Аккумуляторы — перевозка'!$F$20),"",'Аккумуляторы — перевозка'!$F$20)</f>
        <v>1869.47</v>
      </c>
      <c r="S273" s="292" t="str">
        <f aca="false">IF(ISBLANK('Аккумуляторы — перевозка'!$H$20),"",'Аккумуляторы — перевозка'!$H$20)</f>
        <v/>
      </c>
    </row>
    <row r="274" customFormat="false" ht="66" hidden="false" customHeight="true" outlineLevel="0" collapsed="false">
      <c r="A274" s="291" t="str">
        <f aca="true">IF(ISNUMBER($J274),INDIRECT("L"&amp;($J274+4)),"")</f>
        <v/>
      </c>
      <c r="B274" s="291" t="str">
        <f aca="true">IF(ISNUMBER($J274),INDIRECT("M"&amp;($J274+4)),"")</f>
        <v/>
      </c>
      <c r="C274" s="296" t="str">
        <f aca="true">IF(ISNUMBER($J274),INDIRECT("N"&amp;($J274+4)),"")</f>
        <v/>
      </c>
      <c r="D274" s="291" t="str">
        <f aca="true">IF(ISNUMBER($J274),INDIRECT("O"&amp;($J274+4)),"")</f>
        <v/>
      </c>
      <c r="E274" s="291" t="str">
        <f aca="true">IF(ISNUMBER($J274),INDIRECT("P"&amp;($J274+4)),"")</f>
        <v/>
      </c>
      <c r="F274" s="300" t="str">
        <f aca="true">IF(ISNUMBER($J274),INDIRECT("Q"&amp;($J274+4)),"")</f>
        <v/>
      </c>
      <c r="G274" s="298" t="str">
        <f aca="true">IF(ISNUMBER($J274),INDIRECT("R"&amp;($J274+4)),"")</f>
        <v/>
      </c>
      <c r="H274" s="298" t="str">
        <f aca="true">IF(ISNUMBER($J274),INDIRECT("S"&amp;($J274+4)),"")</f>
        <v/>
      </c>
      <c r="J274" s="292" t="str">
        <f aca="true">IF(270&lt;=$K$1,MATCH(269.5,INDIRECT("$K$4:$K$1374"),1),"")</f>
        <v/>
      </c>
      <c r="K274" s="292" t="n">
        <f aca="false">$K$260+COUNTIF($Q$261:Q274,"&gt;0")</f>
        <v>0</v>
      </c>
      <c r="L274" s="292" t="str">
        <f aca="false">"Аккумуляторы — перевозка"</f>
        <v>Аккумуляторы — перевозка</v>
      </c>
      <c r="M274" s="292" t="str">
        <f aca="false">IF(ISBLANK('Аккумуляторы — перевозка'!$A$21),"",'Аккумуляторы — перевозка'!$A$21)</f>
        <v>BJ78 Clever портативный аккумулятор (10000mAh)（UN）</v>
      </c>
      <c r="N274" s="292" t="str">
        <f aca="false">IF(ISBLANK('Аккумуляторы — перевозка'!$D$21),"",'Аккумуляторы — перевозка'!$D$21)</f>
        <v>6941991121470</v>
      </c>
      <c r="O274" s="292" t="str">
        <f aca="false">IF(ISBLANK('Аккумуляторы — перевозка'!$E$21),"",'Аккумуляторы — перевозка'!$E$21)</f>
        <v>чёрный</v>
      </c>
      <c r="P274" s="292" t="str">
        <f aca="false">"ед."</f>
        <v>ед.</v>
      </c>
      <c r="Q274" s="292" t="n">
        <f aca="false">N('Аккумуляторы — перевозка'!$G$21)</f>
        <v>0</v>
      </c>
      <c r="R274" s="299" t="n">
        <f aca="false">IF(ISBLANK('Аккумуляторы — перевозка'!$F$21),"",'Аккумуляторы — перевозка'!$F$21)</f>
        <v>523.94</v>
      </c>
      <c r="S274" s="292" t="str">
        <f aca="false">IF(ISBLANK('Аккумуляторы — перевозка'!$H$21),"",'Аккумуляторы — перевозка'!$H$21)</f>
        <v/>
      </c>
    </row>
    <row r="275" customFormat="false" ht="66" hidden="false" customHeight="true" outlineLevel="0" collapsed="false">
      <c r="A275" s="291" t="str">
        <f aca="true">IF(ISNUMBER($J275),INDIRECT("L"&amp;($J275+4)),"")</f>
        <v/>
      </c>
      <c r="B275" s="291" t="str">
        <f aca="true">IF(ISNUMBER($J275),INDIRECT("M"&amp;($J275+4)),"")</f>
        <v/>
      </c>
      <c r="C275" s="296" t="str">
        <f aca="true">IF(ISNUMBER($J275),INDIRECT("N"&amp;($J275+4)),"")</f>
        <v/>
      </c>
      <c r="D275" s="291" t="str">
        <f aca="true">IF(ISNUMBER($J275),INDIRECT("O"&amp;($J275+4)),"")</f>
        <v/>
      </c>
      <c r="E275" s="291" t="str">
        <f aca="true">IF(ISNUMBER($J275),INDIRECT("P"&amp;($J275+4)),"")</f>
        <v/>
      </c>
      <c r="F275" s="300" t="str">
        <f aca="true">IF(ISNUMBER($J275),INDIRECT("Q"&amp;($J275+4)),"")</f>
        <v/>
      </c>
      <c r="G275" s="298" t="str">
        <f aca="true">IF(ISNUMBER($J275),INDIRECT("R"&amp;($J275+4)),"")</f>
        <v/>
      </c>
      <c r="H275" s="298" t="str">
        <f aca="true">IF(ISNUMBER($J275),INDIRECT("S"&amp;($J275+4)),"")</f>
        <v/>
      </c>
      <c r="J275" s="292" t="str">
        <f aca="true">IF(271&lt;=$K$1,MATCH(270.5,INDIRECT("$K$4:$K$1374"),1),"")</f>
        <v/>
      </c>
      <c r="K275" s="292" t="n">
        <f aca="false">$K$260+COUNTIF($Q$261:Q275,"&gt;0")</f>
        <v>0</v>
      </c>
      <c r="L275" s="292" t="str">
        <f aca="false">"Аккумуляторы — перевозка"</f>
        <v>Аккумуляторы — перевозка</v>
      </c>
      <c r="M275" s="292" t="str">
        <f aca="false">IF(ISBLANK('Аккумуляторы — перевозка'!$A$21),"",'Аккумуляторы — перевозка'!$A$21)</f>
        <v>BJ78 Clever портативный аккумулятор (10000mAh)（UN）</v>
      </c>
      <c r="N275" s="292" t="str">
        <f aca="false">IF(ISBLANK('Аккумуляторы — перевозка'!$D$22),"",'Аккумуляторы — перевозка'!$D$22)</f>
        <v>6941991121487</v>
      </c>
      <c r="O275" s="292" t="str">
        <f aca="false">IF(ISBLANK('Аккумуляторы — перевозка'!$E$22),"",'Аккумуляторы — перевозка'!$E$22)</f>
        <v>белый</v>
      </c>
      <c r="P275" s="292" t="str">
        <f aca="false">"ед."</f>
        <v>ед.</v>
      </c>
      <c r="Q275" s="292" t="n">
        <f aca="false">N('Аккумуляторы — перевозка'!$G$22)</f>
        <v>0</v>
      </c>
      <c r="R275" s="299" t="n">
        <f aca="false">IF(ISBLANK('Аккумуляторы — перевозка'!$F$22),"",'Аккумуляторы — перевозка'!$F$22)</f>
        <v>523.94</v>
      </c>
      <c r="S275" s="292" t="str">
        <f aca="false">IF(ISBLANK('Аккумуляторы — перевозка'!$H$22),"",'Аккумуляторы — перевозка'!$H$22)</f>
        <v/>
      </c>
    </row>
    <row r="276" customFormat="false" ht="66" hidden="false" customHeight="true" outlineLevel="0" collapsed="false">
      <c r="A276" s="291" t="str">
        <f aca="true">IF(ISNUMBER($J276),INDIRECT("L"&amp;($J276+4)),"")</f>
        <v/>
      </c>
      <c r="B276" s="291" t="str">
        <f aca="true">IF(ISNUMBER($J276),INDIRECT("M"&amp;($J276+4)),"")</f>
        <v/>
      </c>
      <c r="C276" s="296" t="str">
        <f aca="true">IF(ISNUMBER($J276),INDIRECT("N"&amp;($J276+4)),"")</f>
        <v/>
      </c>
      <c r="D276" s="291" t="str">
        <f aca="true">IF(ISNUMBER($J276),INDIRECT("O"&amp;($J276+4)),"")</f>
        <v/>
      </c>
      <c r="E276" s="291" t="str">
        <f aca="true">IF(ISNUMBER($J276),INDIRECT("P"&amp;($J276+4)),"")</f>
        <v/>
      </c>
      <c r="F276" s="300" t="str">
        <f aca="true">IF(ISNUMBER($J276),INDIRECT("Q"&amp;($J276+4)),"")</f>
        <v/>
      </c>
      <c r="G276" s="298" t="str">
        <f aca="true">IF(ISNUMBER($J276),INDIRECT("R"&amp;($J276+4)),"")</f>
        <v/>
      </c>
      <c r="H276" s="298" t="str">
        <f aca="true">IF(ISNUMBER($J276),INDIRECT("S"&amp;($J276+4)),"")</f>
        <v/>
      </c>
      <c r="J276" s="292" t="str">
        <f aca="true">IF(272&lt;=$K$1,MATCH(271.5,INDIRECT("$K$4:$K$1374"),1),"")</f>
        <v/>
      </c>
      <c r="K276" s="292" t="n">
        <f aca="false">$K$260+COUNTIF($Q$261:Q276,"&gt;0")</f>
        <v>0</v>
      </c>
      <c r="L276" s="292" t="str">
        <f aca="false">"Аккумуляторы — перевозка"</f>
        <v>Аккумуляторы — перевозка</v>
      </c>
      <c r="M276" s="292" t="str">
        <f aca="false">IF(ISBLANK('Аккумуляторы — перевозка'!$A$23),"",'Аккумуляторы — перевозка'!$A$23)</f>
        <v>BJ76 Smart портативный аккумулятор с 4 кабелями (10000mAh)（UN）</v>
      </c>
      <c r="N276" s="292" t="str">
        <f aca="false">IF(ISBLANK('Аккумуляторы — перевозка'!$D$23),"",'Аккумуляторы — перевозка'!$D$23)</f>
        <v>6941991120046</v>
      </c>
      <c r="O276" s="292" t="str">
        <f aca="false">IF(ISBLANK('Аккумуляторы — перевозка'!$E$23),"",'Аккумуляторы — перевозка'!$E$23)</f>
        <v>чёрный</v>
      </c>
      <c r="P276" s="292" t="str">
        <f aca="false">"ед."</f>
        <v>ед.</v>
      </c>
      <c r="Q276" s="292" t="n">
        <f aca="false">N('Аккумуляторы — перевозка'!$G$23)</f>
        <v>0</v>
      </c>
      <c r="R276" s="299" t="n">
        <f aca="false">IF(ISBLANK('Аккумуляторы — перевозка'!$F$23),"",'Аккумуляторы — перевозка'!$F$23)</f>
        <v>638.11</v>
      </c>
      <c r="S276" s="292" t="str">
        <f aca="false">IF(ISBLANK('Аккумуляторы — перевозка'!$H$23),"",'Аккумуляторы — перевозка'!$H$23)</f>
        <v/>
      </c>
    </row>
    <row r="277" customFormat="false" ht="66" hidden="false" customHeight="true" outlineLevel="0" collapsed="false">
      <c r="A277" s="291" t="str">
        <f aca="true">IF(ISNUMBER($J277),INDIRECT("L"&amp;($J277+4)),"")</f>
        <v/>
      </c>
      <c r="B277" s="291" t="str">
        <f aca="true">IF(ISNUMBER($J277),INDIRECT("M"&amp;($J277+4)),"")</f>
        <v/>
      </c>
      <c r="C277" s="296" t="str">
        <f aca="true">IF(ISNUMBER($J277),INDIRECT("N"&amp;($J277+4)),"")</f>
        <v/>
      </c>
      <c r="D277" s="291" t="str">
        <f aca="true">IF(ISNUMBER($J277),INDIRECT("O"&amp;($J277+4)),"")</f>
        <v/>
      </c>
      <c r="E277" s="291" t="str">
        <f aca="true">IF(ISNUMBER($J277),INDIRECT("P"&amp;($J277+4)),"")</f>
        <v/>
      </c>
      <c r="F277" s="300" t="str">
        <f aca="true">IF(ISNUMBER($J277),INDIRECT("Q"&amp;($J277+4)),"")</f>
        <v/>
      </c>
      <c r="G277" s="298" t="str">
        <f aca="true">IF(ISNUMBER($J277),INDIRECT("R"&amp;($J277+4)),"")</f>
        <v/>
      </c>
      <c r="H277" s="298" t="str">
        <f aca="true">IF(ISNUMBER($J277),INDIRECT("S"&amp;($J277+4)),"")</f>
        <v/>
      </c>
      <c r="J277" s="292" t="str">
        <f aca="true">IF(273&lt;=$K$1,MATCH(272.5,INDIRECT("$K$4:$K$1374"),1),"")</f>
        <v/>
      </c>
      <c r="K277" s="292" t="n">
        <f aca="false">$K$260+COUNTIF($Q$261:Q277,"&gt;0")</f>
        <v>0</v>
      </c>
      <c r="L277" s="292" t="str">
        <f aca="false">"Аккумуляторы — перевозка"</f>
        <v>Аккумуляторы — перевозка</v>
      </c>
      <c r="M277" s="292" t="str">
        <f aca="false">IF(ISBLANK('Аккумуляторы — перевозка'!$A$24),"",'Аккумуляторы — перевозка'!$A$24)</f>
        <v>BJ66 Magnifico 22.5W+PD20W универсальный портативный аккумулятор(40000mAh)（UN）</v>
      </c>
      <c r="N277" s="292" t="str">
        <f aca="false">IF(ISBLANK('Аккумуляторы — перевозка'!$D$24),"",'Аккумуляторы — перевозка'!$D$24)</f>
        <v>6941991115141</v>
      </c>
      <c r="O277" s="292" t="str">
        <f aca="false">IF(ISBLANK('Аккумуляторы — перевозка'!$E$24),"",'Аккумуляторы — перевозка'!$E$24)</f>
        <v>чёрный</v>
      </c>
      <c r="P277" s="292" t="str">
        <f aca="false">"ед."</f>
        <v>ед.</v>
      </c>
      <c r="Q277" s="292" t="n">
        <f aca="false">N('Аккумуляторы — перевозка'!$G$24)</f>
        <v>0</v>
      </c>
      <c r="R277" s="299" t="n">
        <f aca="false">IF(ISBLANK('Аккумуляторы — перевозка'!$F$24),"",'Аккумуляторы — перевозка'!$F$24)</f>
        <v>2171.19</v>
      </c>
      <c r="S277" s="292" t="str">
        <f aca="false">IF(ISBLANK('Аккумуляторы — перевозка'!$H$24),"",'Аккумуляторы — перевозка'!$H$24)</f>
        <v/>
      </c>
    </row>
    <row r="278" customFormat="false" ht="66" hidden="false" customHeight="true" outlineLevel="0" collapsed="false">
      <c r="A278" s="291" t="str">
        <f aca="true">IF(ISNUMBER($J278),INDIRECT("L"&amp;($J278+4)),"")</f>
        <v/>
      </c>
      <c r="B278" s="291" t="str">
        <f aca="true">IF(ISNUMBER($J278),INDIRECT("M"&amp;($J278+4)),"")</f>
        <v/>
      </c>
      <c r="C278" s="296" t="str">
        <f aca="true">IF(ISNUMBER($J278),INDIRECT("N"&amp;($J278+4)),"")</f>
        <v/>
      </c>
      <c r="D278" s="291" t="str">
        <f aca="true">IF(ISNUMBER($J278),INDIRECT("O"&amp;($J278+4)),"")</f>
        <v/>
      </c>
      <c r="E278" s="291" t="str">
        <f aca="true">IF(ISNUMBER($J278),INDIRECT("P"&amp;($J278+4)),"")</f>
        <v/>
      </c>
      <c r="F278" s="300" t="str">
        <f aca="true">IF(ISNUMBER($J278),INDIRECT("Q"&amp;($J278+4)),"")</f>
        <v/>
      </c>
      <c r="G278" s="298" t="str">
        <f aca="true">IF(ISNUMBER($J278),INDIRECT("R"&amp;($J278+4)),"")</f>
        <v/>
      </c>
      <c r="H278" s="298" t="str">
        <f aca="true">IF(ISNUMBER($J278),INDIRECT("S"&amp;($J278+4)),"")</f>
        <v/>
      </c>
      <c r="J278" s="292" t="str">
        <f aca="true">IF(274&lt;=$K$1,MATCH(273.5,INDIRECT("$K$4:$K$1374"),1),"")</f>
        <v/>
      </c>
      <c r="K278" s="292" t="n">
        <f aca="false">$K$260+COUNTIF($Q$261:Q278,"&gt;0")</f>
        <v>0</v>
      </c>
      <c r="L278" s="292" t="str">
        <f aca="false">"Аккумуляторы — перевозка"</f>
        <v>Аккумуляторы — перевозка</v>
      </c>
      <c r="M278" s="292" t="str">
        <f aca="false">IF(ISBLANK('Аккумуляторы — перевозка'!$A$25),"",'Аккумуляторы — перевозка'!$A$25)</f>
        <v>BJ66A Magnifico 22.5W+PD20W универсальный портативный аккумулятор(50000mAh)（UN）</v>
      </c>
      <c r="N278" s="292" t="str">
        <f aca="false">IF(ISBLANK('Аккумуляторы — перевозка'!$D$25),"",'Аккумуляторы — перевозка'!$D$25)</f>
        <v>6941991115158</v>
      </c>
      <c r="O278" s="292" t="str">
        <f aca="false">IF(ISBLANK('Аккумуляторы — перевозка'!$E$25),"",'Аккумуляторы — перевозка'!$E$25)</f>
        <v>чёрный</v>
      </c>
      <c r="P278" s="292" t="str">
        <f aca="false">"ед."</f>
        <v>ед.</v>
      </c>
      <c r="Q278" s="292" t="n">
        <f aca="false">N('Аккумуляторы — перевозка'!$G$25)</f>
        <v>0</v>
      </c>
      <c r="R278" s="299" t="n">
        <f aca="false">IF(ISBLANK('Аккумуляторы — перевозка'!$F$25),"",'Аккумуляторы — перевозка'!$F$25)</f>
        <v>2538.15</v>
      </c>
      <c r="S278" s="292" t="str">
        <f aca="false">IF(ISBLANK('Аккумуляторы — перевозка'!$H$25),"",'Аккумуляторы — перевозка'!$H$25)</f>
        <v/>
      </c>
    </row>
    <row r="279" customFormat="false" ht="66" hidden="false" customHeight="true" outlineLevel="0" collapsed="false">
      <c r="A279" s="291" t="str">
        <f aca="true">IF(ISNUMBER($J279),INDIRECT("L"&amp;($J279+4)),"")</f>
        <v/>
      </c>
      <c r="B279" s="291" t="str">
        <f aca="true">IF(ISNUMBER($J279),INDIRECT("M"&amp;($J279+4)),"")</f>
        <v/>
      </c>
      <c r="C279" s="296" t="str">
        <f aca="true">IF(ISNUMBER($J279),INDIRECT("N"&amp;($J279+4)),"")</f>
        <v/>
      </c>
      <c r="D279" s="291" t="str">
        <f aca="true">IF(ISNUMBER($J279),INDIRECT("O"&amp;($J279+4)),"")</f>
        <v/>
      </c>
      <c r="E279" s="291" t="str">
        <f aca="true">IF(ISNUMBER($J279),INDIRECT("P"&amp;($J279+4)),"")</f>
        <v/>
      </c>
      <c r="F279" s="300" t="str">
        <f aca="true">IF(ISNUMBER($J279),INDIRECT("Q"&amp;($J279+4)),"")</f>
        <v/>
      </c>
      <c r="G279" s="298" t="str">
        <f aca="true">IF(ISNUMBER($J279),INDIRECT("R"&amp;($J279+4)),"")</f>
        <v/>
      </c>
      <c r="H279" s="298" t="str">
        <f aca="true">IF(ISNUMBER($J279),INDIRECT("S"&amp;($J279+4)),"")</f>
        <v/>
      </c>
      <c r="J279" s="292" t="str">
        <f aca="true">IF(275&lt;=$K$1,MATCH(274.5,INDIRECT("$K$4:$K$1374"),1),"")</f>
        <v/>
      </c>
      <c r="K279" s="292" t="n">
        <f aca="false">$K$260+COUNTIF($Q$261:Q279,"&gt;0")</f>
        <v>0</v>
      </c>
      <c r="L279" s="292" t="str">
        <f aca="false">"Аккумуляторы — перевозка"</f>
        <v>Аккумуляторы — перевозка</v>
      </c>
      <c r="M279" s="292" t="str">
        <f aca="false">IF(ISBLANK('Аккумуляторы — перевозка'!$A$26),"",'Аккумуляторы — перевозка'!$A$26)</f>
        <v>BJ66B Magnifico 22.5W+PD20W универсальный портативный аккумулятор(60000mAh)（UN）</v>
      </c>
      <c r="N279" s="292" t="str">
        <f aca="false">IF(ISBLANK('Аккумуляторы — перевозка'!$D$26),"",'Аккумуляторы — перевозка'!$D$26)</f>
        <v>6941991115165</v>
      </c>
      <c r="O279" s="292" t="str">
        <f aca="false">IF(ISBLANK('Аккумуляторы — перевозка'!$E$26),"",'Аккумуляторы — перевозка'!$E$26)</f>
        <v>чёрный</v>
      </c>
      <c r="P279" s="292" t="str">
        <f aca="false">"ед."</f>
        <v>ед.</v>
      </c>
      <c r="Q279" s="292" t="n">
        <f aca="false">N('Аккумуляторы — перевозка'!$G$26)</f>
        <v>0</v>
      </c>
      <c r="R279" s="299" t="n">
        <f aca="false">IF(ISBLANK('Аккумуляторы — перевозка'!$F$26),"",'Аккумуляторы — перевозка'!$F$26)</f>
        <v>2905.11</v>
      </c>
      <c r="S279" s="292" t="str">
        <f aca="false">IF(ISBLANK('Аккумуляторы — перевозка'!$H$26),"",'Аккумуляторы — перевозка'!$H$26)</f>
        <v/>
      </c>
    </row>
    <row r="280" customFormat="false" ht="66" hidden="false" customHeight="true" outlineLevel="0" collapsed="false">
      <c r="A280" s="291" t="str">
        <f aca="true">IF(ISNUMBER($J280),INDIRECT("L"&amp;($J280+4)),"")</f>
        <v/>
      </c>
      <c r="B280" s="291" t="str">
        <f aca="true">IF(ISNUMBER($J280),INDIRECT("M"&amp;($J280+4)),"")</f>
        <v/>
      </c>
      <c r="C280" s="296" t="str">
        <f aca="true">IF(ISNUMBER($J280),INDIRECT("N"&amp;($J280+4)),"")</f>
        <v/>
      </c>
      <c r="D280" s="291" t="str">
        <f aca="true">IF(ISNUMBER($J280),INDIRECT("O"&amp;($J280+4)),"")</f>
        <v/>
      </c>
      <c r="E280" s="291" t="str">
        <f aca="true">IF(ISNUMBER($J280),INDIRECT("P"&amp;($J280+4)),"")</f>
        <v/>
      </c>
      <c r="F280" s="300" t="str">
        <f aca="true">IF(ISNUMBER($J280),INDIRECT("Q"&amp;($J280+4)),"")</f>
        <v/>
      </c>
      <c r="G280" s="298" t="str">
        <f aca="true">IF(ISNUMBER($J280),INDIRECT("R"&amp;($J280+4)),"")</f>
        <v/>
      </c>
      <c r="H280" s="298" t="str">
        <f aca="true">IF(ISNUMBER($J280),INDIRECT("S"&amp;($J280+4)),"")</f>
        <v/>
      </c>
      <c r="J280" s="292" t="str">
        <f aca="true">IF(276&lt;=$K$1,MATCH(275.5,INDIRECT("$K$4:$K$1374"),1),"")</f>
        <v/>
      </c>
      <c r="K280" s="292" t="n">
        <f aca="false">$K$260+COUNTIF($Q$261:Q280,"&gt;0")</f>
        <v>0</v>
      </c>
      <c r="L280" s="292" t="str">
        <f aca="false">"Аккумуляторы — перевозка"</f>
        <v>Аккумуляторы — перевозка</v>
      </c>
      <c r="M280" s="292" t="str">
        <f aca="false">IF(ISBLANK('Аккумуляторы — перевозка'!$A$27),"",'Аккумуляторы — перевозка'!$A$27)</f>
        <v>BJ65 High 22.5W+PD20W+4 кабеля портативный аккумулятор (30000mAh)（UN）</v>
      </c>
      <c r="N280" s="292" t="str">
        <f aca="false">IF(ISBLANK('Аккумуляторы — перевозка'!$D$27),"",'Аккумуляторы — перевозка'!$D$27)</f>
        <v>6941991122033</v>
      </c>
      <c r="O280" s="292" t="str">
        <f aca="false">IF(ISBLANK('Аккумуляторы — перевозка'!$E$27),"",'Аккумуляторы — перевозка'!$E$27)</f>
        <v>чёрный</v>
      </c>
      <c r="P280" s="292" t="str">
        <f aca="false">"ед."</f>
        <v>ед.</v>
      </c>
      <c r="Q280" s="292" t="n">
        <f aca="false">N('Аккумуляторы — перевозка'!$G$27)</f>
        <v>0</v>
      </c>
      <c r="R280" s="299" t="n">
        <f aca="false">IF(ISBLANK('Аккумуляторы — перевозка'!$F$27),"",'Аккумуляторы — перевозка'!$F$27)</f>
        <v>1632.98</v>
      </c>
      <c r="S280" s="292" t="str">
        <f aca="false">IF(ISBLANK('Аккумуляторы — перевозка'!$H$27),"",'Аккумуляторы — перевозка'!$H$27)</f>
        <v/>
      </c>
    </row>
    <row r="281" customFormat="false" ht="66" hidden="false" customHeight="true" outlineLevel="0" collapsed="false">
      <c r="A281" s="291" t="str">
        <f aca="true">IF(ISNUMBER($J281),INDIRECT("L"&amp;($J281+4)),"")</f>
        <v/>
      </c>
      <c r="B281" s="291" t="str">
        <f aca="true">IF(ISNUMBER($J281),INDIRECT("M"&amp;($J281+4)),"")</f>
        <v/>
      </c>
      <c r="C281" s="296" t="str">
        <f aca="true">IF(ISNUMBER($J281),INDIRECT("N"&amp;($J281+4)),"")</f>
        <v/>
      </c>
      <c r="D281" s="291" t="str">
        <f aca="true">IF(ISNUMBER($J281),INDIRECT("O"&amp;($J281+4)),"")</f>
        <v/>
      </c>
      <c r="E281" s="291" t="str">
        <f aca="true">IF(ISNUMBER($J281),INDIRECT("P"&amp;($J281+4)),"")</f>
        <v/>
      </c>
      <c r="F281" s="300" t="str">
        <f aca="true">IF(ISNUMBER($J281),INDIRECT("Q"&amp;($J281+4)),"")</f>
        <v/>
      </c>
      <c r="G281" s="298" t="str">
        <f aca="true">IF(ISNUMBER($J281),INDIRECT("R"&amp;($J281+4)),"")</f>
        <v/>
      </c>
      <c r="H281" s="298" t="str">
        <f aca="true">IF(ISNUMBER($J281),INDIRECT("S"&amp;($J281+4)),"")</f>
        <v/>
      </c>
      <c r="J281" s="292" t="str">
        <f aca="true">IF(277&lt;=$K$1,MATCH(276.5,INDIRECT("$K$4:$K$1374"),1),"")</f>
        <v/>
      </c>
      <c r="K281" s="292" t="n">
        <f aca="false">$K$260+COUNTIF($Q$261:Q281,"&gt;0")</f>
        <v>0</v>
      </c>
      <c r="L281" s="292" t="str">
        <f aca="false">"Аккумуляторы — перевозка"</f>
        <v>Аккумуляторы — перевозка</v>
      </c>
      <c r="M281" s="292" t="str">
        <f aca="false">IF(ISBLANK('Аккумуляторы — перевозка'!$A$28),"",'Аккумуляторы — перевозка'!$A$28)</f>
        <v>BJ65A High 22.5W+PD20W+4 кабеля портативный аккумулятор (50000mAh)（UN）</v>
      </c>
      <c r="N281" s="292" t="str">
        <f aca="false">IF(ISBLANK('Аккумуляторы — перевозка'!$D$28),"",'Аккумуляторы — перевозка'!$D$28)</f>
        <v>6941991122040</v>
      </c>
      <c r="O281" s="292" t="str">
        <f aca="false">IF(ISBLANK('Аккумуляторы — перевозка'!$E$28),"",'Аккумуляторы — перевозка'!$E$28)</f>
        <v>чёрный</v>
      </c>
      <c r="P281" s="292" t="str">
        <f aca="false">"ед."</f>
        <v>ед.</v>
      </c>
      <c r="Q281" s="292" t="n">
        <f aca="false">N('Аккумуляторы — перевозка'!$G$28)</f>
        <v>0</v>
      </c>
      <c r="R281" s="299" t="n">
        <f aca="false">IF(ISBLANK('Аккумуляторы — перевозка'!$F$28),"",'Аккумуляторы — перевозка'!$F$28)</f>
        <v>2220.12</v>
      </c>
      <c r="S281" s="292" t="str">
        <f aca="false">IF(ISBLANK('Аккумуляторы — перевозка'!$H$28),"",'Аккумуляторы — перевозка'!$H$28)</f>
        <v/>
      </c>
    </row>
    <row r="282" customFormat="false" ht="66" hidden="false" customHeight="true" outlineLevel="0" collapsed="false">
      <c r="A282" s="291" t="str">
        <f aca="true">IF(ISNUMBER($J282),INDIRECT("L"&amp;($J282+4)),"")</f>
        <v/>
      </c>
      <c r="B282" s="291" t="str">
        <f aca="true">IF(ISNUMBER($J282),INDIRECT("M"&amp;($J282+4)),"")</f>
        <v/>
      </c>
      <c r="C282" s="296" t="str">
        <f aca="true">IF(ISNUMBER($J282),INDIRECT("N"&amp;($J282+4)),"")</f>
        <v/>
      </c>
      <c r="D282" s="291" t="str">
        <f aca="true">IF(ISNUMBER($J282),INDIRECT("O"&amp;($J282+4)),"")</f>
        <v/>
      </c>
      <c r="E282" s="291" t="str">
        <f aca="true">IF(ISNUMBER($J282),INDIRECT("P"&amp;($J282+4)),"")</f>
        <v/>
      </c>
      <c r="F282" s="300" t="str">
        <f aca="true">IF(ISNUMBER($J282),INDIRECT("Q"&amp;($J282+4)),"")</f>
        <v/>
      </c>
      <c r="G282" s="298" t="str">
        <f aca="true">IF(ISNUMBER($J282),INDIRECT("R"&amp;($J282+4)),"")</f>
        <v/>
      </c>
      <c r="H282" s="298" t="str">
        <f aca="true">IF(ISNUMBER($J282),INDIRECT("S"&amp;($J282+4)),"")</f>
        <v/>
      </c>
      <c r="J282" s="292" t="str">
        <f aca="true">IF(278&lt;=$K$1,MATCH(277.5,INDIRECT("$K$4:$K$1374"),1),"")</f>
        <v/>
      </c>
      <c r="K282" s="292" t="n">
        <f aca="false">$K$260+COUNTIF($Q$261:Q282,"&gt;0")</f>
        <v>0</v>
      </c>
      <c r="L282" s="292" t="str">
        <f aca="false">"Аккумуляторы — перевозка"</f>
        <v>Аккумуляторы — перевозка</v>
      </c>
      <c r="M282" s="292" t="str">
        <f aca="false">IF(ISBLANK('Аккумуляторы — перевозка'!$A$29),"",'Аккумуляторы — перевозка'!$A$29)</f>
        <v>BJ65B High 22.5W+PD20W+4 кабеля портативный аккумулятор (80000mAh)（UN）</v>
      </c>
      <c r="N282" s="292" t="str">
        <f aca="false">IF(ISBLANK('Аккумуляторы — перевозка'!$D$29),"",'Аккумуляторы — перевозка'!$D$29)</f>
        <v>6941991122057</v>
      </c>
      <c r="O282" s="292" t="str">
        <f aca="false">IF(ISBLANK('Аккумуляторы — перевозка'!$E$29),"",'Аккумуляторы — перевозка'!$E$29)</f>
        <v>чёрный</v>
      </c>
      <c r="P282" s="292" t="str">
        <f aca="false">"ед."</f>
        <v>ед.</v>
      </c>
      <c r="Q282" s="292" t="n">
        <f aca="false">N('Аккумуляторы — перевозка'!$G$29)</f>
        <v>0</v>
      </c>
      <c r="R282" s="299" t="n">
        <f aca="false">IF(ISBLANK('Аккумуляторы — перевозка'!$F$29),"",'Аккумуляторы — перевозка'!$F$29)</f>
        <v>3427.01</v>
      </c>
      <c r="S282" s="292" t="str">
        <f aca="false">IF(ISBLANK('Аккумуляторы — перевозка'!$H$29),"",'Аккумуляторы — перевозка'!$H$29)</f>
        <v/>
      </c>
    </row>
    <row r="283" customFormat="false" ht="66" hidden="false" customHeight="true" outlineLevel="0" collapsed="false">
      <c r="A283" s="291" t="str">
        <f aca="true">IF(ISNUMBER($J283),INDIRECT("L"&amp;($J283+4)),"")</f>
        <v/>
      </c>
      <c r="B283" s="291" t="str">
        <f aca="true">IF(ISNUMBER($J283),INDIRECT("M"&amp;($J283+4)),"")</f>
        <v/>
      </c>
      <c r="C283" s="296" t="str">
        <f aca="true">IF(ISNUMBER($J283),INDIRECT("N"&amp;($J283+4)),"")</f>
        <v/>
      </c>
      <c r="D283" s="291" t="str">
        <f aca="true">IF(ISNUMBER($J283),INDIRECT("O"&amp;($J283+4)),"")</f>
        <v/>
      </c>
      <c r="E283" s="291" t="str">
        <f aca="true">IF(ISNUMBER($J283),INDIRECT("P"&amp;($J283+4)),"")</f>
        <v/>
      </c>
      <c r="F283" s="300" t="str">
        <f aca="true">IF(ISNUMBER($J283),INDIRECT("Q"&amp;($J283+4)),"")</f>
        <v/>
      </c>
      <c r="G283" s="298" t="str">
        <f aca="true">IF(ISNUMBER($J283),INDIRECT("R"&amp;($J283+4)),"")</f>
        <v/>
      </c>
      <c r="H283" s="298" t="str">
        <f aca="true">IF(ISNUMBER($J283),INDIRECT("S"&amp;($J283+4)),"")</f>
        <v/>
      </c>
      <c r="J283" s="292" t="str">
        <f aca="true">IF(279&lt;=$K$1,MATCH(278.5,INDIRECT("$K$4:$K$1374"),1),"")</f>
        <v/>
      </c>
      <c r="K283" s="292" t="n">
        <f aca="false">$K$260+COUNTIF($Q$261:Q283,"&gt;0")</f>
        <v>0</v>
      </c>
      <c r="L283" s="292" t="str">
        <f aca="false">"Аккумуляторы — перевозка"</f>
        <v>Аккумуляторы — перевозка</v>
      </c>
      <c r="M283" s="292" t="str">
        <f aca="false">IF(ISBLANK('Аккумуляторы — перевозка'!$A$30),"",'Аккумуляторы — перевозка'!$A$30)</f>
        <v>BJ57 Graceful 22.5W+PD20W универсальный портативный аккумулятор с кабелем (10000mAh)（UN）</v>
      </c>
      <c r="N283" s="292" t="str">
        <f aca="false">IF(ISBLANK('Аккумуляторы — перевозка'!$D$30),"",'Аккумуляторы — перевозка'!$D$30)</f>
        <v>6941991111846</v>
      </c>
      <c r="O283" s="292" t="str">
        <f aca="false">IF(ISBLANK('Аккумуляторы — перевозка'!$E$30),"",'Аккумуляторы — перевозка'!$E$30)</f>
        <v>черный</v>
      </c>
      <c r="P283" s="292" t="str">
        <f aca="false">"ед."</f>
        <v>ед.</v>
      </c>
      <c r="Q283" s="292" t="n">
        <f aca="false">N('Аккумуляторы — перевозка'!$G$30)</f>
        <v>0</v>
      </c>
      <c r="R283" s="299" t="n">
        <f aca="false">IF(ISBLANK('Аккумуляторы — перевозка'!$F$30),"",'Аккумуляторы — перевозка'!$F$30)</f>
        <v>801.2</v>
      </c>
      <c r="S283" s="292" t="str">
        <f aca="false">IF(ISBLANK('Аккумуляторы — перевозка'!$H$30),"",'Аккумуляторы — перевозка'!$H$30)</f>
        <v/>
      </c>
    </row>
    <row r="284" customFormat="false" ht="66" hidden="false" customHeight="true" outlineLevel="0" collapsed="false">
      <c r="A284" s="291" t="str">
        <f aca="true">IF(ISNUMBER($J284),INDIRECT("L"&amp;($J284+4)),"")</f>
        <v/>
      </c>
      <c r="B284" s="291" t="str">
        <f aca="true">IF(ISNUMBER($J284),INDIRECT("M"&amp;($J284+4)),"")</f>
        <v/>
      </c>
      <c r="C284" s="296" t="str">
        <f aca="true">IF(ISNUMBER($J284),INDIRECT("N"&amp;($J284+4)),"")</f>
        <v/>
      </c>
      <c r="D284" s="291" t="str">
        <f aca="true">IF(ISNUMBER($J284),INDIRECT("O"&amp;($J284+4)),"")</f>
        <v/>
      </c>
      <c r="E284" s="291" t="str">
        <f aca="true">IF(ISNUMBER($J284),INDIRECT("P"&amp;($J284+4)),"")</f>
        <v/>
      </c>
      <c r="F284" s="300" t="str">
        <f aca="true">IF(ISNUMBER($J284),INDIRECT("Q"&amp;($J284+4)),"")</f>
        <v/>
      </c>
      <c r="G284" s="298" t="str">
        <f aca="true">IF(ISNUMBER($J284),INDIRECT("R"&amp;($J284+4)),"")</f>
        <v/>
      </c>
      <c r="H284" s="298" t="str">
        <f aca="true">IF(ISNUMBER($J284),INDIRECT("S"&amp;($J284+4)),"")</f>
        <v/>
      </c>
      <c r="J284" s="292" t="str">
        <f aca="true">IF(280&lt;=$K$1,MATCH(279.5,INDIRECT("$K$4:$K$1374"),1),"")</f>
        <v/>
      </c>
      <c r="K284" s="292" t="n">
        <f aca="false">$K$260+COUNTIF($Q$261:Q284,"&gt;0")</f>
        <v>0</v>
      </c>
      <c r="L284" s="292" t="str">
        <f aca="false">"Аккумуляторы — перевозка"</f>
        <v>Аккумуляторы — перевозка</v>
      </c>
      <c r="M284" s="292" t="str">
        <f aca="false">IF(ISBLANK('Аккумуляторы — перевозка'!$A$31),"",'Аккумуляторы — перевозка'!$A$31)</f>
        <v>BJ57B Graceful 22.5W+PD20W универсальный портативный аккумулятор с кабелем (30000mAh)（UN）</v>
      </c>
      <c r="N284" s="292" t="str">
        <f aca="false">IF(ISBLANK('Аккумуляторы — перевозка'!$D$31),"",'Аккумуляторы — перевозка'!$D$31)</f>
        <v>6941991116469</v>
      </c>
      <c r="O284" s="292" t="str">
        <f aca="false">IF(ISBLANK('Аккумуляторы — перевозка'!$E$31),"",'Аккумуляторы — перевозка'!$E$31)</f>
        <v>чёрный</v>
      </c>
      <c r="P284" s="292" t="str">
        <f aca="false">"ед."</f>
        <v>ед.</v>
      </c>
      <c r="Q284" s="292" t="n">
        <f aca="false">N('Аккумуляторы — перевозка'!$G$31)</f>
        <v>0</v>
      </c>
      <c r="R284" s="299" t="n">
        <f aca="false">IF(ISBLANK('Аккумуляторы — перевозка'!$F$31),"",'Аккумуляторы — перевозка'!$F$31)</f>
        <v>1396.49</v>
      </c>
      <c r="S284" s="292" t="str">
        <f aca="false">IF(ISBLANK('Аккумуляторы — перевозка'!$H$31),"",'Аккумуляторы — перевозка'!$H$31)</f>
        <v/>
      </c>
    </row>
    <row r="285" customFormat="false" ht="66" hidden="false" customHeight="true" outlineLevel="0" collapsed="false">
      <c r="A285" s="291" t="str">
        <f aca="true">IF(ISNUMBER($J285),INDIRECT("L"&amp;($J285+4)),"")</f>
        <v/>
      </c>
      <c r="B285" s="291" t="str">
        <f aca="true">IF(ISNUMBER($J285),INDIRECT("M"&amp;($J285+4)),"")</f>
        <v/>
      </c>
      <c r="C285" s="296" t="str">
        <f aca="true">IF(ISNUMBER($J285),INDIRECT("N"&amp;($J285+4)),"")</f>
        <v/>
      </c>
      <c r="D285" s="291" t="str">
        <f aca="true">IF(ISNUMBER($J285),INDIRECT("O"&amp;($J285+4)),"")</f>
        <v/>
      </c>
      <c r="E285" s="291" t="str">
        <f aca="true">IF(ISNUMBER($J285),INDIRECT("P"&amp;($J285+4)),"")</f>
        <v/>
      </c>
      <c r="F285" s="300" t="str">
        <f aca="true">IF(ISNUMBER($J285),INDIRECT("Q"&amp;($J285+4)),"")</f>
        <v/>
      </c>
      <c r="G285" s="298" t="str">
        <f aca="true">IF(ISNUMBER($J285),INDIRECT("R"&amp;($J285+4)),"")</f>
        <v/>
      </c>
      <c r="H285" s="298" t="str">
        <f aca="true">IF(ISNUMBER($J285),INDIRECT("S"&amp;($J285+4)),"")</f>
        <v/>
      </c>
      <c r="J285" s="292" t="str">
        <f aca="true">IF(281&lt;=$K$1,MATCH(280.5,INDIRECT("$K$4:$K$1374"),1),"")</f>
        <v/>
      </c>
      <c r="K285" s="292" t="n">
        <f aca="false">$K$260+COUNTIF($Q$261:Q285,"&gt;0")</f>
        <v>0</v>
      </c>
      <c r="L285" s="292" t="str">
        <f aca="false">"Аккумуляторы — перевозка"</f>
        <v>Аккумуляторы — перевозка</v>
      </c>
      <c r="M285" s="292" t="str">
        <f aca="false">IF(ISBLANK('Аккумуляторы — перевозка'!$A$32),"",'Аккумуляторы — перевозка'!$A$32)</f>
        <v>BJ56 Graceful 22.5W+PD20W универсальный портативный аккумулятор(10000mAh)（UN）</v>
      </c>
      <c r="N285" s="292" t="str">
        <f aca="false">IF(ISBLANK('Аккумуляторы — перевозка'!$D$32),"",'Аккумуляторы — перевозка'!$D$32)</f>
        <v>6941991111808</v>
      </c>
      <c r="O285" s="292" t="str">
        <f aca="false">IF(ISBLANK('Аккумуляторы — перевозка'!$E$32),"",'Аккумуляторы — перевозка'!$E$32)</f>
        <v>черный</v>
      </c>
      <c r="P285" s="292" t="str">
        <f aca="false">"ед."</f>
        <v>ед.</v>
      </c>
      <c r="Q285" s="292" t="n">
        <f aca="false">N('Аккумуляторы — перевозка'!$G$32)</f>
        <v>0</v>
      </c>
      <c r="R285" s="299" t="n">
        <f aca="false">IF(ISBLANK('Аккумуляторы — перевозка'!$F$32),"",'Аккумуляторы — перевозка'!$F$32)</f>
        <v>695.19</v>
      </c>
      <c r="S285" s="292" t="str">
        <f aca="false">IF(ISBLANK('Аккумуляторы — перевозка'!$H$32),"",'Аккумуляторы — перевозка'!$H$32)</f>
        <v/>
      </c>
    </row>
    <row r="286" customFormat="false" ht="66" hidden="false" customHeight="true" outlineLevel="0" collapsed="false">
      <c r="A286" s="291" t="str">
        <f aca="true">IF(ISNUMBER($J286),INDIRECT("L"&amp;($J286+4)),"")</f>
        <v/>
      </c>
      <c r="B286" s="291" t="str">
        <f aca="true">IF(ISNUMBER($J286),INDIRECT("M"&amp;($J286+4)),"")</f>
        <v/>
      </c>
      <c r="C286" s="296" t="str">
        <f aca="true">IF(ISNUMBER($J286),INDIRECT("N"&amp;($J286+4)),"")</f>
        <v/>
      </c>
      <c r="D286" s="291" t="str">
        <f aca="true">IF(ISNUMBER($J286),INDIRECT("O"&amp;($J286+4)),"")</f>
        <v/>
      </c>
      <c r="E286" s="291" t="str">
        <f aca="true">IF(ISNUMBER($J286),INDIRECT("P"&amp;($J286+4)),"")</f>
        <v/>
      </c>
      <c r="F286" s="300" t="str">
        <f aca="true">IF(ISNUMBER($J286),INDIRECT("Q"&amp;($J286+4)),"")</f>
        <v/>
      </c>
      <c r="G286" s="298" t="str">
        <f aca="true">IF(ISNUMBER($J286),INDIRECT("R"&amp;($J286+4)),"")</f>
        <v/>
      </c>
      <c r="H286" s="298" t="str">
        <f aca="true">IF(ISNUMBER($J286),INDIRECT("S"&amp;($J286+4)),"")</f>
        <v/>
      </c>
      <c r="J286" s="292" t="str">
        <f aca="true">IF(282&lt;=$K$1,MATCH(281.5,INDIRECT("$K$4:$K$1374"),1),"")</f>
        <v/>
      </c>
      <c r="K286" s="292" t="n">
        <f aca="false">$K$260+COUNTIF($Q$261:Q286,"&gt;0")</f>
        <v>0</v>
      </c>
      <c r="L286" s="292" t="str">
        <f aca="false">"Аккумуляторы — перевозка"</f>
        <v>Аккумуляторы — перевозка</v>
      </c>
      <c r="M286" s="292" t="str">
        <f aca="false">IF(ISBLANK('Аккумуляторы — перевозка'!$A$32),"",'Аккумуляторы — перевозка'!$A$32)</f>
        <v>BJ56 Graceful 22.5W+PD20W универсальный портативный аккумулятор(10000mAh)（UN）</v>
      </c>
      <c r="N286" s="292" t="str">
        <f aca="false">IF(ISBLANK('Аккумуляторы — перевозка'!$D$33),"",'Аккумуляторы — перевозка'!$D$33)</f>
        <v>6941991111815</v>
      </c>
      <c r="O286" s="292" t="str">
        <f aca="false">IF(ISBLANK('Аккумуляторы — перевозка'!$E$33),"",'Аккумуляторы — перевозка'!$E$33)</f>
        <v>белый</v>
      </c>
      <c r="P286" s="292" t="str">
        <f aca="false">"ед."</f>
        <v>ед.</v>
      </c>
      <c r="Q286" s="292" t="n">
        <f aca="false">N('Аккумуляторы — перевозка'!$G$33)</f>
        <v>0</v>
      </c>
      <c r="R286" s="299" t="n">
        <f aca="false">IF(ISBLANK('Аккумуляторы — перевозка'!$F$33),"",'Аккумуляторы — перевозка'!$F$33)</f>
        <v>695.19</v>
      </c>
      <c r="S286" s="292" t="str">
        <f aca="false">IF(ISBLANK('Аккумуляторы — перевозка'!$H$33),"",'Аккумуляторы — перевозка'!$H$33)</f>
        <v/>
      </c>
    </row>
    <row r="287" customFormat="false" ht="66" hidden="false" customHeight="true" outlineLevel="0" collapsed="false">
      <c r="A287" s="291" t="str">
        <f aca="true">IF(ISNUMBER($J287),INDIRECT("L"&amp;($J287+4)),"")</f>
        <v/>
      </c>
      <c r="B287" s="291" t="str">
        <f aca="true">IF(ISNUMBER($J287),INDIRECT("M"&amp;($J287+4)),"")</f>
        <v/>
      </c>
      <c r="C287" s="296" t="str">
        <f aca="true">IF(ISNUMBER($J287),INDIRECT("N"&amp;($J287+4)),"")</f>
        <v/>
      </c>
      <c r="D287" s="291" t="str">
        <f aca="true">IF(ISNUMBER($J287),INDIRECT("O"&amp;($J287+4)),"")</f>
        <v/>
      </c>
      <c r="E287" s="291" t="str">
        <f aca="true">IF(ISNUMBER($J287),INDIRECT("P"&amp;($J287+4)),"")</f>
        <v/>
      </c>
      <c r="F287" s="300" t="str">
        <f aca="true">IF(ISNUMBER($J287),INDIRECT("Q"&amp;($J287+4)),"")</f>
        <v/>
      </c>
      <c r="G287" s="298" t="str">
        <f aca="true">IF(ISNUMBER($J287),INDIRECT("R"&amp;($J287+4)),"")</f>
        <v/>
      </c>
      <c r="H287" s="298" t="str">
        <f aca="true">IF(ISNUMBER($J287),INDIRECT("S"&amp;($J287+4)),"")</f>
        <v/>
      </c>
      <c r="J287" s="292" t="str">
        <f aca="true">IF(283&lt;=$K$1,MATCH(282.5,INDIRECT("$K$4:$K$1374"),1),"")</f>
        <v/>
      </c>
      <c r="K287" s="292" t="n">
        <f aca="false">$K$260+COUNTIF($Q$261:Q287,"&gt;0")</f>
        <v>0</v>
      </c>
      <c r="L287" s="292" t="str">
        <f aca="false">"Аккумуляторы — перевозка"</f>
        <v>Аккумуляторы — перевозка</v>
      </c>
      <c r="M287" s="292" t="str">
        <f aca="false">IF(ISBLANK('Аккумуляторы — перевозка'!$A$34),"",'Аккумуляторы — перевозка'!$A$34)</f>
        <v>BJ56B Graceful 22.5W+PD20W универсальный портативный аккумулятор (30000mAh)（UN）</v>
      </c>
      <c r="N287" s="292" t="str">
        <f aca="false">IF(ISBLANK('Аккумуляторы — перевозка'!$D$34),"",'Аккумуляторы — перевозка'!$D$34)</f>
        <v>6941991116445</v>
      </c>
      <c r="O287" s="292" t="str">
        <f aca="false">IF(ISBLANK('Аккумуляторы — перевозка'!$E$34),"",'Аккумуляторы — перевозка'!$E$34)</f>
        <v>чёрный</v>
      </c>
      <c r="P287" s="292" t="str">
        <f aca="false">"ед."</f>
        <v>ед.</v>
      </c>
      <c r="Q287" s="292" t="n">
        <f aca="false">N('Аккумуляторы — перевозка'!$G$34)</f>
        <v>0</v>
      </c>
      <c r="R287" s="299" t="n">
        <f aca="false">IF(ISBLANK('Аккумуляторы — перевозка'!$F$34),"",'Аккумуляторы — перевозка'!$F$34)</f>
        <v>1306.79</v>
      </c>
      <c r="S287" s="292" t="str">
        <f aca="false">IF(ISBLANK('Аккумуляторы — перевозка'!$H$34),"",'Аккумуляторы — перевозка'!$H$34)</f>
        <v/>
      </c>
    </row>
    <row r="288" customFormat="false" ht="66" hidden="false" customHeight="true" outlineLevel="0" collapsed="false">
      <c r="A288" s="291" t="str">
        <f aca="true">IF(ISNUMBER($J288),INDIRECT("L"&amp;($J288+4)),"")</f>
        <v/>
      </c>
      <c r="B288" s="291" t="str">
        <f aca="true">IF(ISNUMBER($J288),INDIRECT("M"&amp;($J288+4)),"")</f>
        <v/>
      </c>
      <c r="C288" s="296" t="str">
        <f aca="true">IF(ISNUMBER($J288),INDIRECT("N"&amp;($J288+4)),"")</f>
        <v/>
      </c>
      <c r="D288" s="291" t="str">
        <f aca="true">IF(ISNUMBER($J288),INDIRECT("O"&amp;($J288+4)),"")</f>
        <v/>
      </c>
      <c r="E288" s="291" t="str">
        <f aca="true">IF(ISNUMBER($J288),INDIRECT("P"&amp;($J288+4)),"")</f>
        <v/>
      </c>
      <c r="F288" s="300" t="str">
        <f aca="true">IF(ISNUMBER($J288),INDIRECT("Q"&amp;($J288+4)),"")</f>
        <v/>
      </c>
      <c r="G288" s="298" t="str">
        <f aca="true">IF(ISNUMBER($J288),INDIRECT("R"&amp;($J288+4)),"")</f>
        <v/>
      </c>
      <c r="H288" s="298" t="str">
        <f aca="true">IF(ISNUMBER($J288),INDIRECT("S"&amp;($J288+4)),"")</f>
        <v/>
      </c>
      <c r="J288" s="292" t="str">
        <f aca="true">IF(284&lt;=$K$1,MATCH(283.5,INDIRECT("$K$4:$K$1374"),1),"")</f>
        <v/>
      </c>
      <c r="K288" s="292" t="n">
        <f aca="false">$K$260+COUNTIF($Q$261:Q288,"&gt;0")</f>
        <v>0</v>
      </c>
      <c r="L288" s="292" t="str">
        <f aca="false">"Аккумуляторы — перевозка"</f>
        <v>Аккумуляторы — перевозка</v>
      </c>
      <c r="M288" s="292" t="str">
        <f aca="false">IF(ISBLANK('Аккумуляторы — перевозка'!$A$35),"",'Аккумуляторы — перевозка'!$A$35)</f>
        <v>BJ55 Graceful портативный аккумулятор (10000mAh)（UN）</v>
      </c>
      <c r="N288" s="292" t="str">
        <f aca="false">IF(ISBLANK('Аккумуляторы — перевозка'!$D$35),"",'Аккумуляторы — перевозка'!$D$35)</f>
        <v>6941991111761</v>
      </c>
      <c r="O288" s="292" t="str">
        <f aca="false">IF(ISBLANK('Аккумуляторы — перевозка'!$E$35),"",'Аккумуляторы — перевозка'!$E$35)</f>
        <v>черный</v>
      </c>
      <c r="P288" s="292" t="str">
        <f aca="false">"ед."</f>
        <v>ед.</v>
      </c>
      <c r="Q288" s="292" t="n">
        <f aca="false">N('Аккумуляторы — перевозка'!$G$35)</f>
        <v>0</v>
      </c>
      <c r="R288" s="299" t="n">
        <f aca="false">IF(ISBLANK('Аккумуляторы — перевозка'!$F$35),"",'Аккумуляторы — перевозка'!$F$35)</f>
        <v>548.4</v>
      </c>
      <c r="S288" s="292" t="str">
        <f aca="false">IF(ISBLANK('Аккумуляторы — перевозка'!$H$35),"",'Аккумуляторы — перевозка'!$H$35)</f>
        <v/>
      </c>
    </row>
    <row r="289" customFormat="false" ht="66" hidden="false" customHeight="true" outlineLevel="0" collapsed="false">
      <c r="A289" s="291" t="str">
        <f aca="true">IF(ISNUMBER($J289),INDIRECT("L"&amp;($J289+4)),"")</f>
        <v/>
      </c>
      <c r="B289" s="291" t="str">
        <f aca="true">IF(ISNUMBER($J289),INDIRECT("M"&amp;($J289+4)),"")</f>
        <v/>
      </c>
      <c r="C289" s="296" t="str">
        <f aca="true">IF(ISNUMBER($J289),INDIRECT("N"&amp;($J289+4)),"")</f>
        <v/>
      </c>
      <c r="D289" s="291" t="str">
        <f aca="true">IF(ISNUMBER($J289),INDIRECT("O"&amp;($J289+4)),"")</f>
        <v/>
      </c>
      <c r="E289" s="291" t="str">
        <f aca="true">IF(ISNUMBER($J289),INDIRECT("P"&amp;($J289+4)),"")</f>
        <v/>
      </c>
      <c r="F289" s="300" t="str">
        <f aca="true">IF(ISNUMBER($J289),INDIRECT("Q"&amp;($J289+4)),"")</f>
        <v/>
      </c>
      <c r="G289" s="298" t="str">
        <f aca="true">IF(ISNUMBER($J289),INDIRECT("R"&amp;($J289+4)),"")</f>
        <v/>
      </c>
      <c r="H289" s="298" t="str">
        <f aca="true">IF(ISNUMBER($J289),INDIRECT("S"&amp;($J289+4)),"")</f>
        <v/>
      </c>
      <c r="J289" s="292" t="str">
        <f aca="true">IF(285&lt;=$K$1,MATCH(284.5,INDIRECT("$K$4:$K$1374"),1),"")</f>
        <v/>
      </c>
      <c r="K289" s="292" t="n">
        <f aca="false">$K$260+COUNTIF($Q$261:Q289,"&gt;0")</f>
        <v>0</v>
      </c>
      <c r="L289" s="292" t="str">
        <f aca="false">"Аккумуляторы — перевозка"</f>
        <v>Аккумуляторы — перевозка</v>
      </c>
      <c r="M289" s="292" t="str">
        <f aca="false">IF(ISBLANK('Аккумуляторы — перевозка'!$A$35),"",'Аккумуляторы — перевозка'!$A$35)</f>
        <v>BJ55 Graceful портативный аккумулятор (10000mAh)（UN）</v>
      </c>
      <c r="N289" s="292" t="str">
        <f aca="false">IF(ISBLANK('Аккумуляторы — перевозка'!$D$36),"",'Аккумуляторы — перевозка'!$D$36)</f>
        <v>6941991111778</v>
      </c>
      <c r="O289" s="292" t="str">
        <f aca="false">IF(ISBLANK('Аккумуляторы — перевозка'!$E$36),"",'Аккумуляторы — перевозка'!$E$36)</f>
        <v>белый</v>
      </c>
      <c r="P289" s="292" t="str">
        <f aca="false">"ед."</f>
        <v>ед.</v>
      </c>
      <c r="Q289" s="292" t="n">
        <f aca="false">N('Аккумуляторы — перевозка'!$G$36)</f>
        <v>0</v>
      </c>
      <c r="R289" s="299" t="n">
        <f aca="false">IF(ISBLANK('Аккумуляторы — перевозка'!$F$36),"",'Аккумуляторы — перевозка'!$F$36)</f>
        <v>548.4</v>
      </c>
      <c r="S289" s="292" t="str">
        <f aca="false">IF(ISBLANK('Аккумуляторы — перевозка'!$H$36),"",'Аккумуляторы — перевозка'!$H$36)</f>
        <v/>
      </c>
    </row>
    <row r="290" customFormat="false" ht="66" hidden="false" customHeight="true" outlineLevel="0" collapsed="false">
      <c r="A290" s="291" t="str">
        <f aca="true">IF(ISNUMBER($J290),INDIRECT("L"&amp;($J290+4)),"")</f>
        <v/>
      </c>
      <c r="B290" s="291" t="str">
        <f aca="true">IF(ISNUMBER($J290),INDIRECT("M"&amp;($J290+4)),"")</f>
        <v/>
      </c>
      <c r="C290" s="296" t="str">
        <f aca="true">IF(ISNUMBER($J290),INDIRECT("N"&amp;($J290+4)),"")</f>
        <v/>
      </c>
      <c r="D290" s="291" t="str">
        <f aca="true">IF(ISNUMBER($J290),INDIRECT("O"&amp;($J290+4)),"")</f>
        <v/>
      </c>
      <c r="E290" s="291" t="str">
        <f aca="true">IF(ISNUMBER($J290),INDIRECT("P"&amp;($J290+4)),"")</f>
        <v/>
      </c>
      <c r="F290" s="300" t="str">
        <f aca="true">IF(ISNUMBER($J290),INDIRECT("Q"&amp;($J290+4)),"")</f>
        <v/>
      </c>
      <c r="G290" s="298" t="str">
        <f aca="true">IF(ISNUMBER($J290),INDIRECT("R"&amp;($J290+4)),"")</f>
        <v/>
      </c>
      <c r="H290" s="298" t="str">
        <f aca="true">IF(ISNUMBER($J290),INDIRECT("S"&amp;($J290+4)),"")</f>
        <v/>
      </c>
      <c r="J290" s="292" t="str">
        <f aca="true">IF(286&lt;=$K$1,MATCH(285.5,INDIRECT("$K$4:$K$1374"),1),"")</f>
        <v/>
      </c>
      <c r="K290" s="292" t="n">
        <f aca="false">$K$260+COUNTIF($Q$261:Q290,"&gt;0")</f>
        <v>0</v>
      </c>
      <c r="L290" s="292" t="str">
        <f aca="false">"Аккумуляторы — перевозка"</f>
        <v>Аккумуляторы — перевозка</v>
      </c>
      <c r="M290" s="292" t="str">
        <f aca="false">IF(ISBLANK('Аккумуляторы — перевозка'!$A$39),"",'Аккумуляторы — перевозка'!$A$39)</f>
        <v>BJ93 Skillux PD20W пауэрбанк с кабелем (10000mAh)(CCC)「Неопасные товары」</v>
      </c>
      <c r="N290" s="292" t="str">
        <f aca="false">IF(ISBLANK('Аккумуляторы — перевозка'!$D$39),"",'Аккумуляторы — перевозка'!$D$39)</f>
        <v>6941991129995</v>
      </c>
      <c r="O290" s="292" t="str">
        <f aca="false">IF(ISBLANK('Аккумуляторы — перевозка'!$E$39),"",'Аккумуляторы — перевозка'!$E$39)</f>
        <v>серебро</v>
      </c>
      <c r="P290" s="292" t="str">
        <f aca="false">"ед."</f>
        <v>ед.</v>
      </c>
      <c r="Q290" s="292" t="n">
        <f aca="false">N('Аккумуляторы — перевозка'!$G$39)</f>
        <v>0</v>
      </c>
      <c r="R290" s="299" t="n">
        <f aca="false">IF(ISBLANK('Аккумуляторы — перевозка'!$F$39),"",'Аккумуляторы — перевозка'!$F$39)</f>
        <v>1092.73</v>
      </c>
      <c r="S290" s="292" t="str">
        <f aca="false">IF(ISBLANK('Аккумуляторы — перевозка'!$H$39),"",'Аккумуляторы — перевозка'!$H$39)</f>
        <v/>
      </c>
    </row>
    <row r="291" customFormat="false" ht="66" hidden="false" customHeight="true" outlineLevel="0" collapsed="false">
      <c r="A291" s="291" t="str">
        <f aca="true">IF(ISNUMBER($J291),INDIRECT("L"&amp;($J291+4)),"")</f>
        <v/>
      </c>
      <c r="B291" s="291" t="str">
        <f aca="true">IF(ISNUMBER($J291),INDIRECT("M"&amp;($J291+4)),"")</f>
        <v/>
      </c>
      <c r="C291" s="296" t="str">
        <f aca="true">IF(ISNUMBER($J291),INDIRECT("N"&amp;($J291+4)),"")</f>
        <v/>
      </c>
      <c r="D291" s="291" t="str">
        <f aca="true">IF(ISNUMBER($J291),INDIRECT("O"&amp;($J291+4)),"")</f>
        <v/>
      </c>
      <c r="E291" s="291" t="str">
        <f aca="true">IF(ISNUMBER($J291),INDIRECT("P"&amp;($J291+4)),"")</f>
        <v/>
      </c>
      <c r="F291" s="300" t="str">
        <f aca="true">IF(ISNUMBER($J291),INDIRECT("Q"&amp;($J291+4)),"")</f>
        <v/>
      </c>
      <c r="G291" s="298" t="str">
        <f aca="true">IF(ISNUMBER($J291),INDIRECT("R"&amp;($J291+4)),"")</f>
        <v/>
      </c>
      <c r="H291" s="298" t="str">
        <f aca="true">IF(ISNUMBER($J291),INDIRECT("S"&amp;($J291+4)),"")</f>
        <v/>
      </c>
      <c r="J291" s="292" t="str">
        <f aca="true">IF(287&lt;=$K$1,MATCH(286.5,INDIRECT("$K$4:$K$1374"),1),"")</f>
        <v/>
      </c>
      <c r="K291" s="292" t="n">
        <f aca="false">$K$260+COUNTIF($Q$261:Q291,"&gt;0")</f>
        <v>0</v>
      </c>
      <c r="L291" s="292" t="str">
        <f aca="false">"Аккумуляторы — перевозка"</f>
        <v>Аккумуляторы — перевозка</v>
      </c>
      <c r="M291" s="292" t="str">
        <f aca="false">IF(ISBLANK('Аккумуляторы — перевозка'!$A$40),"",'Аккумуляторы — перевозка'!$A$40)</f>
        <v>BJ90A Pasar пауэрбанк (20000mAh)(CCC)「Неопасные товары」</v>
      </c>
      <c r="N291" s="292" t="str">
        <f aca="false">IF(ISBLANK('Аккумуляторы — перевозка'!$D$40),"",'Аккумуляторы — перевозка'!$D$40)</f>
        <v>6941991129308</v>
      </c>
      <c r="O291" s="292" t="str">
        <f aca="false">IF(ISBLANK('Аккумуляторы — перевозка'!$E$40),"",'Аккумуляторы — перевозка'!$E$40)</f>
        <v>чёрный</v>
      </c>
      <c r="P291" s="292" t="str">
        <f aca="false">"ед."</f>
        <v>ед.</v>
      </c>
      <c r="Q291" s="292" t="n">
        <f aca="false">N('Аккумуляторы — перевозка'!$G$40)</f>
        <v>0</v>
      </c>
      <c r="R291" s="299" t="n">
        <f aca="false">IF(ISBLANK('Аккумуляторы — перевозка'!$F$40),"",'Аккумуляторы — перевозка'!$F$40)</f>
        <v>782.85</v>
      </c>
      <c r="S291" s="292" t="str">
        <f aca="false">IF(ISBLANK('Аккумуляторы — перевозка'!$H$40),"",'Аккумуляторы — перевозка'!$H$40)</f>
        <v/>
      </c>
    </row>
    <row r="292" customFormat="false" ht="66" hidden="false" customHeight="true" outlineLevel="0" collapsed="false">
      <c r="A292" s="291" t="str">
        <f aca="true">IF(ISNUMBER($J292),INDIRECT("L"&amp;($J292+4)),"")</f>
        <v/>
      </c>
      <c r="B292" s="291" t="str">
        <f aca="true">IF(ISNUMBER($J292),INDIRECT("M"&amp;($J292+4)),"")</f>
        <v/>
      </c>
      <c r="C292" s="296" t="str">
        <f aca="true">IF(ISNUMBER($J292),INDIRECT("N"&amp;($J292+4)),"")</f>
        <v/>
      </c>
      <c r="D292" s="291" t="str">
        <f aca="true">IF(ISNUMBER($J292),INDIRECT("O"&amp;($J292+4)),"")</f>
        <v/>
      </c>
      <c r="E292" s="291" t="str">
        <f aca="true">IF(ISNUMBER($J292),INDIRECT("P"&amp;($J292+4)),"")</f>
        <v/>
      </c>
      <c r="F292" s="300" t="str">
        <f aca="true">IF(ISNUMBER($J292),INDIRECT("Q"&amp;($J292+4)),"")</f>
        <v/>
      </c>
      <c r="G292" s="298" t="str">
        <f aca="true">IF(ISNUMBER($J292),INDIRECT("R"&amp;($J292+4)),"")</f>
        <v/>
      </c>
      <c r="H292" s="298" t="str">
        <f aca="true">IF(ISNUMBER($J292),INDIRECT("S"&amp;($J292+4)),"")</f>
        <v/>
      </c>
      <c r="J292" s="292" t="str">
        <f aca="true">IF(288&lt;=$K$1,MATCH(287.5,INDIRECT("$K$4:$K$1374"),1),"")</f>
        <v/>
      </c>
      <c r="K292" s="292" t="n">
        <f aca="false">$K$260+COUNTIF($Q$261:Q292,"&gt;0")</f>
        <v>0</v>
      </c>
      <c r="L292" s="292" t="str">
        <f aca="false">"Аккумуляторы — перевозка"</f>
        <v>Аккумуляторы — перевозка</v>
      </c>
      <c r="M292" s="292" t="str">
        <f aca="false">IF(ISBLANK('Аккумуляторы — перевозка'!$A$41),"",'Аккумуляторы — перевозка'!$A$41)</f>
        <v>BJ87 Star портативный аккумулятор с фонариком и кабелем (5000mAh)「Неопасные товары」</v>
      </c>
      <c r="N292" s="292" t="str">
        <f aca="false">IF(ISBLANK('Аккумуляторы — перевозка'!$D$41),"",'Аккумуляторы — перевозка'!$D$41)</f>
        <v>6941991126901</v>
      </c>
      <c r="O292" s="292" t="str">
        <f aca="false">IF(ISBLANK('Аккумуляторы — перевозка'!$E$41),"",'Аккумуляторы — перевозка'!$E$41)</f>
        <v>чёрный и серый</v>
      </c>
      <c r="P292" s="292" t="str">
        <f aca="false">"ед."</f>
        <v>ед.</v>
      </c>
      <c r="Q292" s="292" t="n">
        <f aca="false">N('Аккумуляторы — перевозка'!$G$41)</f>
        <v>0</v>
      </c>
      <c r="R292" s="299" t="n">
        <f aca="false">IF(ISBLANK('Аккумуляторы — перевозка'!$F$41),"",'Аккумуляторы — перевозка'!$F$41)</f>
        <v>546.37</v>
      </c>
      <c r="S292" s="292" t="str">
        <f aca="false">IF(ISBLANK('Аккумуляторы — перевозка'!$H$41),"",'Аккумуляторы — перевозка'!$H$41)</f>
        <v/>
      </c>
    </row>
    <row r="293" customFormat="false" ht="66" hidden="false" customHeight="true" outlineLevel="0" collapsed="false">
      <c r="A293" s="291" t="str">
        <f aca="true">IF(ISNUMBER($J293),INDIRECT("L"&amp;($J293+4)),"")</f>
        <v/>
      </c>
      <c r="B293" s="291" t="str">
        <f aca="true">IF(ISNUMBER($J293),INDIRECT("M"&amp;($J293+4)),"")</f>
        <v/>
      </c>
      <c r="C293" s="296" t="str">
        <f aca="true">IF(ISNUMBER($J293),INDIRECT("N"&amp;($J293+4)),"")</f>
        <v/>
      </c>
      <c r="D293" s="291" t="str">
        <f aca="true">IF(ISNUMBER($J293),INDIRECT("O"&amp;($J293+4)),"")</f>
        <v/>
      </c>
      <c r="E293" s="291" t="str">
        <f aca="true">IF(ISNUMBER($J293),INDIRECT("P"&amp;($J293+4)),"")</f>
        <v/>
      </c>
      <c r="F293" s="300" t="str">
        <f aca="true">IF(ISNUMBER($J293),INDIRECT("Q"&amp;($J293+4)),"")</f>
        <v/>
      </c>
      <c r="G293" s="298" t="str">
        <f aca="true">IF(ISNUMBER($J293),INDIRECT("R"&amp;($J293+4)),"")</f>
        <v/>
      </c>
      <c r="H293" s="298" t="str">
        <f aca="true">IF(ISNUMBER($J293),INDIRECT("S"&amp;($J293+4)),"")</f>
        <v/>
      </c>
      <c r="J293" s="292" t="str">
        <f aca="true">IF(289&lt;=$K$1,MATCH(288.5,INDIRECT("$K$4:$K$1374"),1),"")</f>
        <v/>
      </c>
      <c r="K293" s="292" t="n">
        <f aca="false">$K$260+COUNTIF($Q$261:Q293,"&gt;0")</f>
        <v>0</v>
      </c>
      <c r="L293" s="292" t="str">
        <f aca="false">"Аккумуляторы — перевозка"</f>
        <v>Аккумуляторы — перевозка</v>
      </c>
      <c r="M293" s="292" t="str">
        <f aca="false">IF(ISBLANK('Аккумуляторы — перевозка'!$A$42),"",'Аккумуляторы — перевозка'!$A$42)</f>
        <v>BJ84A Smooth портативный аккумулятор с 4 кабелями (20000mAh)「Неопасные товары」</v>
      </c>
      <c r="N293" s="292" t="str">
        <f aca="false">IF(ISBLANK('Аккумуляторы — перевозка'!$D$42),"",'Аккумуляторы — перевозка'!$D$42)</f>
        <v>6941991126178</v>
      </c>
      <c r="O293" s="292" t="str">
        <f aca="false">IF(ISBLANK('Аккумуляторы — перевозка'!$E$42),"",'Аккумуляторы — перевозка'!$E$42)</f>
        <v>чёрный</v>
      </c>
      <c r="P293" s="292" t="str">
        <f aca="false">"ед."</f>
        <v>ед.</v>
      </c>
      <c r="Q293" s="292" t="n">
        <f aca="false">N('Аккумуляторы — перевозка'!$G$42)</f>
        <v>0</v>
      </c>
      <c r="R293" s="299" t="n">
        <f aca="false">IF(ISBLANK('Аккумуляторы — перевозка'!$F$42),"",'Аккумуляторы — перевозка'!$F$42)</f>
        <v>815.47</v>
      </c>
      <c r="S293" s="292" t="str">
        <f aca="false">IF(ISBLANK('Аккумуляторы — перевозка'!$H$42),"",'Аккумуляторы — перевозка'!$H$42)</f>
        <v/>
      </c>
    </row>
    <row r="294" customFormat="false" ht="66" hidden="false" customHeight="true" outlineLevel="0" collapsed="false">
      <c r="A294" s="291" t="str">
        <f aca="true">IF(ISNUMBER($J294),INDIRECT("L"&amp;($J294+4)),"")</f>
        <v/>
      </c>
      <c r="B294" s="291" t="str">
        <f aca="true">IF(ISNUMBER($J294),INDIRECT("M"&amp;($J294+4)),"")</f>
        <v/>
      </c>
      <c r="C294" s="296" t="str">
        <f aca="true">IF(ISNUMBER($J294),INDIRECT("N"&amp;($J294+4)),"")</f>
        <v/>
      </c>
      <c r="D294" s="291" t="str">
        <f aca="true">IF(ISNUMBER($J294),INDIRECT("O"&amp;($J294+4)),"")</f>
        <v/>
      </c>
      <c r="E294" s="291" t="str">
        <f aca="true">IF(ISNUMBER($J294),INDIRECT("P"&amp;($J294+4)),"")</f>
        <v/>
      </c>
      <c r="F294" s="300" t="str">
        <f aca="true">IF(ISNUMBER($J294),INDIRECT("Q"&amp;($J294+4)),"")</f>
        <v/>
      </c>
      <c r="G294" s="298" t="str">
        <f aca="true">IF(ISNUMBER($J294),INDIRECT("R"&amp;($J294+4)),"")</f>
        <v/>
      </c>
      <c r="H294" s="298" t="str">
        <f aca="true">IF(ISNUMBER($J294),INDIRECT("S"&amp;($J294+4)),"")</f>
        <v/>
      </c>
      <c r="J294" s="292" t="str">
        <f aca="true">IF(290&lt;=$K$1,MATCH(289.5,INDIRECT("$K$4:$K$1374"),1),"")</f>
        <v/>
      </c>
      <c r="K294" s="292" t="n">
        <f aca="false">$K$260+COUNTIF($Q$261:Q294,"&gt;0")</f>
        <v>0</v>
      </c>
      <c r="L294" s="292" t="str">
        <f aca="false">"Аккумуляторы — перевозка"</f>
        <v>Аккумуляторы — перевозка</v>
      </c>
      <c r="M294" s="292" t="str">
        <f aca="false">IF(ISBLANK('Аккумуляторы — перевозка'!$A$43),"",'Аккумуляторы — перевозка'!$A$43)</f>
        <v>BJ82 Dawn магнитный портативный аккумулятор (5000mAh)「Неопасные товары」</v>
      </c>
      <c r="N294" s="292" t="str">
        <f aca="false">IF(ISBLANK('Аккумуляторы — перевозка'!$D$43),"",'Аккумуляторы — перевозка'!$D$43)</f>
        <v>6941991124792</v>
      </c>
      <c r="O294" s="292" t="str">
        <f aca="false">IF(ISBLANK('Аккумуляторы — перевозка'!$E$43),"",'Аккумуляторы — перевозка'!$E$43)</f>
        <v>чёрный</v>
      </c>
      <c r="P294" s="292" t="str">
        <f aca="false">"ед."</f>
        <v>ед.</v>
      </c>
      <c r="Q294" s="292" t="n">
        <f aca="false">N('Аккумуляторы — перевозка'!$G$43)</f>
        <v>0</v>
      </c>
      <c r="R294" s="299" t="n">
        <f aca="false">IF(ISBLANK('Аккумуляторы — перевозка'!$F$43),"",'Аккумуляторы — перевозка'!$F$43)</f>
        <v>685</v>
      </c>
      <c r="S294" s="292" t="str">
        <f aca="false">IF(ISBLANK('Аккумуляторы — перевозка'!$H$43),"",'Аккумуляторы — перевозка'!$H$43)</f>
        <v/>
      </c>
    </row>
    <row r="295" customFormat="false" ht="66" hidden="false" customHeight="true" outlineLevel="0" collapsed="false">
      <c r="A295" s="291" t="str">
        <f aca="true">IF(ISNUMBER($J295),INDIRECT("L"&amp;($J295+4)),"")</f>
        <v/>
      </c>
      <c r="B295" s="291" t="str">
        <f aca="true">IF(ISNUMBER($J295),INDIRECT("M"&amp;($J295+4)),"")</f>
        <v/>
      </c>
      <c r="C295" s="296" t="str">
        <f aca="true">IF(ISNUMBER($J295),INDIRECT("N"&amp;($J295+4)),"")</f>
        <v/>
      </c>
      <c r="D295" s="291" t="str">
        <f aca="true">IF(ISNUMBER($J295),INDIRECT("O"&amp;($J295+4)),"")</f>
        <v/>
      </c>
      <c r="E295" s="291" t="str">
        <f aca="true">IF(ISNUMBER($J295),INDIRECT("P"&amp;($J295+4)),"")</f>
        <v/>
      </c>
      <c r="F295" s="300" t="str">
        <f aca="true">IF(ISNUMBER($J295),INDIRECT("Q"&amp;($J295+4)),"")</f>
        <v/>
      </c>
      <c r="G295" s="298" t="str">
        <f aca="true">IF(ISNUMBER($J295),INDIRECT("R"&amp;($J295+4)),"")</f>
        <v/>
      </c>
      <c r="H295" s="298" t="str">
        <f aca="true">IF(ISNUMBER($J295),INDIRECT("S"&amp;($J295+4)),"")</f>
        <v/>
      </c>
      <c r="J295" s="292" t="str">
        <f aca="true">IF(291&lt;=$K$1,MATCH(290.5,INDIRECT("$K$4:$K$1374"),1),"")</f>
        <v/>
      </c>
      <c r="K295" s="292" t="n">
        <f aca="false">$K$260+COUNTIF($Q$261:Q295,"&gt;0")</f>
        <v>0</v>
      </c>
      <c r="L295" s="292" t="str">
        <f aca="false">"Аккумуляторы — перевозка"</f>
        <v>Аккумуляторы — перевозка</v>
      </c>
      <c r="M295" s="292" t="str">
        <f aca="false">IF(ISBLANK('Аккумуляторы — перевозка'!$A$44),"",'Аккумуляторы — перевозка'!$A$44)</f>
        <v>BJ80A Clever 22.5W+PD20W универсальный портативный аккумулятор (20000mAh)「Неопасные товары」</v>
      </c>
      <c r="N295" s="292" t="str">
        <f aca="false">IF(ISBLANK('Аккумуляторы — перевозка'!$D$44),"",'Аккумуляторы — перевозка'!$D$44)</f>
        <v>6941991121616</v>
      </c>
      <c r="O295" s="292" t="str">
        <f aca="false">IF(ISBLANK('Аккумуляторы — перевозка'!$E$44),"",'Аккумуляторы — перевозка'!$E$44)</f>
        <v>чёрный</v>
      </c>
      <c r="P295" s="292" t="str">
        <f aca="false">"ед."</f>
        <v>ед.</v>
      </c>
      <c r="Q295" s="292" t="n">
        <f aca="false">N('Аккумуляторы — перевозка'!$G$44)</f>
        <v>0</v>
      </c>
      <c r="R295" s="299" t="n">
        <f aca="false">IF(ISBLANK('Аккумуляторы — перевозка'!$F$44),"",'Аккумуляторы — перевозка'!$F$44)</f>
        <v>962.26</v>
      </c>
      <c r="S295" s="292" t="str">
        <f aca="false">IF(ISBLANK('Аккумуляторы — перевозка'!$H$44),"",'Аккумуляторы — перевозка'!$H$44)</f>
        <v/>
      </c>
    </row>
    <row r="296" customFormat="false" ht="66" hidden="false" customHeight="true" outlineLevel="0" collapsed="false">
      <c r="A296" s="291" t="str">
        <f aca="true">IF(ISNUMBER($J296),INDIRECT("L"&amp;($J296+4)),"")</f>
        <v/>
      </c>
      <c r="B296" s="291" t="str">
        <f aca="true">IF(ISNUMBER($J296),INDIRECT("M"&amp;($J296+4)),"")</f>
        <v/>
      </c>
      <c r="C296" s="296" t="str">
        <f aca="true">IF(ISNUMBER($J296),INDIRECT("N"&amp;($J296+4)),"")</f>
        <v/>
      </c>
      <c r="D296" s="291" t="str">
        <f aca="true">IF(ISNUMBER($J296),INDIRECT("O"&amp;($J296+4)),"")</f>
        <v/>
      </c>
      <c r="E296" s="291" t="str">
        <f aca="true">IF(ISNUMBER($J296),INDIRECT("P"&amp;($J296+4)),"")</f>
        <v/>
      </c>
      <c r="F296" s="300" t="str">
        <f aca="true">IF(ISNUMBER($J296),INDIRECT("Q"&amp;($J296+4)),"")</f>
        <v/>
      </c>
      <c r="G296" s="298" t="str">
        <f aca="true">IF(ISNUMBER($J296),INDIRECT("R"&amp;($J296+4)),"")</f>
        <v/>
      </c>
      <c r="H296" s="298" t="str">
        <f aca="true">IF(ISNUMBER($J296),INDIRECT("S"&amp;($J296+4)),"")</f>
        <v/>
      </c>
      <c r="J296" s="292" t="str">
        <f aca="true">IF(292&lt;=$K$1,MATCH(291.5,INDIRECT("$K$4:$K$1374"),1),"")</f>
        <v/>
      </c>
      <c r="K296" s="292" t="n">
        <f aca="false">$K$260+COUNTIF($Q$261:Q296,"&gt;0")</f>
        <v>0</v>
      </c>
      <c r="L296" s="292" t="str">
        <f aca="false">"Аккумуляторы — перевозка"</f>
        <v>Аккумуляторы — перевозка</v>
      </c>
      <c r="M296" s="292" t="str">
        <f aca="false">IF(ISBLANK('Аккумуляторы — перевозка'!$A$44),"",'Аккумуляторы — перевозка'!$A$44)</f>
        <v>BJ80A Clever 22.5W+PD20W универсальный портативный аккумулятор (20000mAh)「Неопасные товары」</v>
      </c>
      <c r="N296" s="292" t="str">
        <f aca="false">IF(ISBLANK('Аккумуляторы — перевозка'!$D$45),"",'Аккумуляторы — перевозка'!$D$45)</f>
        <v>6941991121623</v>
      </c>
      <c r="O296" s="292" t="str">
        <f aca="false">IF(ISBLANK('Аккумуляторы — перевозка'!$E$45),"",'Аккумуляторы — перевозка'!$E$45)</f>
        <v>белый</v>
      </c>
      <c r="P296" s="292" t="str">
        <f aca="false">"ед."</f>
        <v>ед.</v>
      </c>
      <c r="Q296" s="292" t="n">
        <f aca="false">N('Аккумуляторы — перевозка'!$G$45)</f>
        <v>0</v>
      </c>
      <c r="R296" s="299" t="n">
        <f aca="false">IF(ISBLANK('Аккумуляторы — перевозка'!$F$45),"",'Аккумуляторы — перевозка'!$F$45)</f>
        <v>962.26</v>
      </c>
      <c r="S296" s="292" t="str">
        <f aca="false">IF(ISBLANK('Аккумуляторы — перевозка'!$H$45),"",'Аккумуляторы — перевозка'!$H$45)</f>
        <v/>
      </c>
    </row>
    <row r="297" customFormat="false" ht="66" hidden="false" customHeight="true" outlineLevel="0" collapsed="false">
      <c r="A297" s="291" t="str">
        <f aca="true">IF(ISNUMBER($J297),INDIRECT("L"&amp;($J297+4)),"")</f>
        <v/>
      </c>
      <c r="B297" s="291" t="str">
        <f aca="true">IF(ISNUMBER($J297),INDIRECT("M"&amp;($J297+4)),"")</f>
        <v/>
      </c>
      <c r="C297" s="296" t="str">
        <f aca="true">IF(ISNUMBER($J297),INDIRECT("N"&amp;($J297+4)),"")</f>
        <v/>
      </c>
      <c r="D297" s="291" t="str">
        <f aca="true">IF(ISNUMBER($J297),INDIRECT("O"&amp;($J297+4)),"")</f>
        <v/>
      </c>
      <c r="E297" s="291" t="str">
        <f aca="true">IF(ISNUMBER($J297),INDIRECT("P"&amp;($J297+4)),"")</f>
        <v/>
      </c>
      <c r="F297" s="300" t="str">
        <f aca="true">IF(ISNUMBER($J297),INDIRECT("Q"&amp;($J297+4)),"")</f>
        <v/>
      </c>
      <c r="G297" s="298" t="str">
        <f aca="true">IF(ISNUMBER($J297),INDIRECT("R"&amp;($J297+4)),"")</f>
        <v/>
      </c>
      <c r="H297" s="298" t="str">
        <f aca="true">IF(ISNUMBER($J297),INDIRECT("S"&amp;($J297+4)),"")</f>
        <v/>
      </c>
      <c r="J297" s="292" t="str">
        <f aca="true">IF(293&lt;=$K$1,MATCH(292.5,INDIRECT("$K$4:$K$1374"),1),"")</f>
        <v/>
      </c>
      <c r="K297" s="292" t="n">
        <f aca="false">$K$260+COUNTIF($Q$261:Q297,"&gt;0")</f>
        <v>0</v>
      </c>
      <c r="L297" s="292" t="str">
        <f aca="false">"Аккумуляторы — перевозка"</f>
        <v>Аккумуляторы — перевозка</v>
      </c>
      <c r="M297" s="292" t="str">
        <f aca="false">IF(ISBLANK('Аккумуляторы — перевозка'!$A$46),"",'Аккумуляторы — перевозка'!$A$46)</f>
        <v>BJ79A Clever портативный аккумулятор с 3 кабелями (20000mAh)「Неопасные товары」</v>
      </c>
      <c r="N297" s="292" t="str">
        <f aca="false">IF(ISBLANK('Аккумуляторы — перевозка'!$D$46),"",'Аккумуляторы — перевозка'!$D$46)</f>
        <v>6941991121555</v>
      </c>
      <c r="O297" s="292" t="str">
        <f aca="false">IF(ISBLANK('Аккумуляторы — перевозка'!$E$46),"",'Аккумуляторы — перевозка'!$E$46)</f>
        <v>чёрный</v>
      </c>
      <c r="P297" s="292" t="str">
        <f aca="false">"ед."</f>
        <v>ед.</v>
      </c>
      <c r="Q297" s="292" t="n">
        <f aca="false">N('Аккумуляторы — перевозка'!$G$46)</f>
        <v>0</v>
      </c>
      <c r="R297" s="299" t="n">
        <f aca="false">IF(ISBLANK('Аккумуляторы — перевозка'!$F$46),"",'Аккумуляторы — перевозка'!$F$46)</f>
        <v>888.86</v>
      </c>
      <c r="S297" s="292" t="str">
        <f aca="false">IF(ISBLANK('Аккумуляторы — перевозка'!$H$46),"",'Аккумуляторы — перевозка'!$H$46)</f>
        <v/>
      </c>
    </row>
    <row r="298" customFormat="false" ht="66" hidden="false" customHeight="true" outlineLevel="0" collapsed="false">
      <c r="A298" s="291" t="str">
        <f aca="true">IF(ISNUMBER($J298),INDIRECT("L"&amp;($J298+4)),"")</f>
        <v/>
      </c>
      <c r="B298" s="291" t="str">
        <f aca="true">IF(ISNUMBER($J298),INDIRECT("M"&amp;($J298+4)),"")</f>
        <v/>
      </c>
      <c r="C298" s="296" t="str">
        <f aca="true">IF(ISNUMBER($J298),INDIRECT("N"&amp;($J298+4)),"")</f>
        <v/>
      </c>
      <c r="D298" s="291" t="str">
        <f aca="true">IF(ISNUMBER($J298),INDIRECT("O"&amp;($J298+4)),"")</f>
        <v/>
      </c>
      <c r="E298" s="291" t="str">
        <f aca="true">IF(ISNUMBER($J298),INDIRECT("P"&amp;($J298+4)),"")</f>
        <v/>
      </c>
      <c r="F298" s="300" t="str">
        <f aca="true">IF(ISNUMBER($J298),INDIRECT("Q"&amp;($J298+4)),"")</f>
        <v/>
      </c>
      <c r="G298" s="298" t="str">
        <f aca="true">IF(ISNUMBER($J298),INDIRECT("R"&amp;($J298+4)),"")</f>
        <v/>
      </c>
      <c r="H298" s="298" t="str">
        <f aca="true">IF(ISNUMBER($J298),INDIRECT("S"&amp;($J298+4)),"")</f>
        <v/>
      </c>
      <c r="J298" s="292" t="str">
        <f aca="true">IF(294&lt;=$K$1,MATCH(293.5,INDIRECT("$K$4:$K$1374"),1),"")</f>
        <v/>
      </c>
      <c r="K298" s="292" t="n">
        <f aca="false">$K$260+COUNTIF($Q$261:Q298,"&gt;0")</f>
        <v>0</v>
      </c>
      <c r="L298" s="292" t="str">
        <f aca="false">"Аккумуляторы — перевозка"</f>
        <v>Аккумуляторы — перевозка</v>
      </c>
      <c r="M298" s="292" t="str">
        <f aca="false">IF(ISBLANK('Аккумуляторы — перевозка'!$A$46),"",'Аккумуляторы — перевозка'!$A$46)</f>
        <v>BJ79A Clever портативный аккумулятор с 3 кабелями (20000mAh)「Неопасные товары」</v>
      </c>
      <c r="N298" s="292" t="str">
        <f aca="false">IF(ISBLANK('Аккумуляторы — перевозка'!$D$47),"",'Аккумуляторы — перевозка'!$D$47)</f>
        <v>6941991121562</v>
      </c>
      <c r="O298" s="292" t="str">
        <f aca="false">IF(ISBLANK('Аккумуляторы — перевозка'!$E$47),"",'Аккумуляторы — перевозка'!$E$47)</f>
        <v>белый</v>
      </c>
      <c r="P298" s="292" t="str">
        <f aca="false">"ед."</f>
        <v>ед.</v>
      </c>
      <c r="Q298" s="292" t="n">
        <f aca="false">N('Аккумуляторы — перевозка'!$G$47)</f>
        <v>0</v>
      </c>
      <c r="R298" s="299" t="n">
        <f aca="false">IF(ISBLANK('Аккумуляторы — перевозка'!$F$47),"",'Аккумуляторы — перевозка'!$F$47)</f>
        <v>888.86</v>
      </c>
      <c r="S298" s="292" t="str">
        <f aca="false">IF(ISBLANK('Аккумуляторы — перевозка'!$H$47),"",'Аккумуляторы — перевозка'!$H$47)</f>
        <v/>
      </c>
    </row>
    <row r="299" customFormat="false" ht="66" hidden="false" customHeight="true" outlineLevel="0" collapsed="false">
      <c r="A299" s="291" t="str">
        <f aca="true">IF(ISNUMBER($J299),INDIRECT("L"&amp;($J299+4)),"")</f>
        <v/>
      </c>
      <c r="B299" s="291" t="str">
        <f aca="true">IF(ISNUMBER($J299),INDIRECT("M"&amp;($J299+4)),"")</f>
        <v/>
      </c>
      <c r="C299" s="296" t="str">
        <f aca="true">IF(ISNUMBER($J299),INDIRECT("N"&amp;($J299+4)),"")</f>
        <v/>
      </c>
      <c r="D299" s="291" t="str">
        <f aca="true">IF(ISNUMBER($J299),INDIRECT("O"&amp;($J299+4)),"")</f>
        <v/>
      </c>
      <c r="E299" s="291" t="str">
        <f aca="true">IF(ISNUMBER($J299),INDIRECT("P"&amp;($J299+4)),"")</f>
        <v/>
      </c>
      <c r="F299" s="300" t="str">
        <f aca="true">IF(ISNUMBER($J299),INDIRECT("Q"&amp;($J299+4)),"")</f>
        <v/>
      </c>
      <c r="G299" s="298" t="str">
        <f aca="true">IF(ISNUMBER($J299),INDIRECT("R"&amp;($J299+4)),"")</f>
        <v/>
      </c>
      <c r="H299" s="298" t="str">
        <f aca="true">IF(ISNUMBER($J299),INDIRECT("S"&amp;($J299+4)),"")</f>
        <v/>
      </c>
      <c r="J299" s="292" t="str">
        <f aca="true">IF(295&lt;=$K$1,MATCH(294.5,INDIRECT("$K$4:$K$1374"),1),"")</f>
        <v/>
      </c>
      <c r="K299" s="292" t="n">
        <f aca="false">$K$260+COUNTIF($Q$261:Q299,"&gt;0")</f>
        <v>0</v>
      </c>
      <c r="L299" s="292" t="str">
        <f aca="false">"Аккумуляторы — перевозка"</f>
        <v>Аккумуляторы — перевозка</v>
      </c>
      <c r="M299" s="292" t="str">
        <f aca="false">IF(ISBLANK('Аккумуляторы — перевозка'!$A$48),"",'Аккумуляторы — перевозка'!$A$48)</f>
        <v>BJ78A Clever портативный аккумулятор (20000mAh)「Неопасные товары」</v>
      </c>
      <c r="N299" s="292" t="str">
        <f aca="false">IF(ISBLANK('Аккумуляторы — перевозка'!$D$48),"",'Аккумуляторы — перевозка'!$D$48)</f>
        <v>6941991121494</v>
      </c>
      <c r="O299" s="292" t="str">
        <f aca="false">IF(ISBLANK('Аккумуляторы — перевозка'!$E$48),"",'Аккумуляторы — перевозка'!$E$48)</f>
        <v>чёрный</v>
      </c>
      <c r="P299" s="292" t="str">
        <f aca="false">"ед."</f>
        <v>ед.</v>
      </c>
      <c r="Q299" s="292" t="n">
        <f aca="false">N('Аккумуляторы — перевозка'!$G$48)</f>
        <v>0</v>
      </c>
      <c r="R299" s="299" t="n">
        <f aca="false">IF(ISBLANK('Аккумуляторы — перевозка'!$F$48),"",'Аккумуляторы — перевозка'!$F$48)</f>
        <v>823.63</v>
      </c>
      <c r="S299" s="292" t="str">
        <f aca="false">IF(ISBLANK('Аккумуляторы — перевозка'!$H$48),"",'Аккумуляторы — перевозка'!$H$48)</f>
        <v/>
      </c>
    </row>
    <row r="300" customFormat="false" ht="66" hidden="false" customHeight="true" outlineLevel="0" collapsed="false">
      <c r="A300" s="291" t="str">
        <f aca="true">IF(ISNUMBER($J300),INDIRECT("L"&amp;($J300+4)),"")</f>
        <v/>
      </c>
      <c r="B300" s="291" t="str">
        <f aca="true">IF(ISNUMBER($J300),INDIRECT("M"&amp;($J300+4)),"")</f>
        <v/>
      </c>
      <c r="C300" s="296" t="str">
        <f aca="true">IF(ISNUMBER($J300),INDIRECT("N"&amp;($J300+4)),"")</f>
        <v/>
      </c>
      <c r="D300" s="291" t="str">
        <f aca="true">IF(ISNUMBER($J300),INDIRECT("O"&amp;($J300+4)),"")</f>
        <v/>
      </c>
      <c r="E300" s="291" t="str">
        <f aca="true">IF(ISNUMBER($J300),INDIRECT("P"&amp;($J300+4)),"")</f>
        <v/>
      </c>
      <c r="F300" s="300" t="str">
        <f aca="true">IF(ISNUMBER($J300),INDIRECT("Q"&amp;($J300+4)),"")</f>
        <v/>
      </c>
      <c r="G300" s="298" t="str">
        <f aca="true">IF(ISNUMBER($J300),INDIRECT("R"&amp;($J300+4)),"")</f>
        <v/>
      </c>
      <c r="H300" s="298" t="str">
        <f aca="true">IF(ISNUMBER($J300),INDIRECT("S"&amp;($J300+4)),"")</f>
        <v/>
      </c>
      <c r="J300" s="292" t="str">
        <f aca="true">IF(296&lt;=$K$1,MATCH(295.5,INDIRECT("$K$4:$K$1374"),1),"")</f>
        <v/>
      </c>
      <c r="K300" s="292" t="n">
        <f aca="false">$K$260+COUNTIF($Q$261:Q300,"&gt;0")</f>
        <v>0</v>
      </c>
      <c r="L300" s="292" t="str">
        <f aca="false">"Аккумуляторы — перевозка"</f>
        <v>Аккумуляторы — перевозка</v>
      </c>
      <c r="M300" s="292" t="str">
        <f aca="false">IF(ISBLANK('Аккумуляторы — перевозка'!$A$48),"",'Аккумуляторы — перевозка'!$A$48)</f>
        <v>BJ78A Clever портативный аккумулятор (20000mAh)「Неопасные товары」</v>
      </c>
      <c r="N300" s="292" t="str">
        <f aca="false">IF(ISBLANK('Аккумуляторы — перевозка'!$D$49),"",'Аккумуляторы — перевозка'!$D$49)</f>
        <v>6941991121500</v>
      </c>
      <c r="O300" s="292" t="str">
        <f aca="false">IF(ISBLANK('Аккумуляторы — перевозка'!$E$49),"",'Аккумуляторы — перевозка'!$E$49)</f>
        <v>белый</v>
      </c>
      <c r="P300" s="292" t="str">
        <f aca="false">"ед."</f>
        <v>ед.</v>
      </c>
      <c r="Q300" s="292" t="n">
        <f aca="false">N('Аккумуляторы — перевозка'!$G$49)</f>
        <v>0</v>
      </c>
      <c r="R300" s="299" t="n">
        <f aca="false">IF(ISBLANK('Аккумуляторы — перевозка'!$F$49),"",'Аккумуляторы — перевозка'!$F$49)</f>
        <v>823.63</v>
      </c>
      <c r="S300" s="292" t="str">
        <f aca="false">IF(ISBLANK('Аккумуляторы — перевозка'!$H$49),"",'Аккумуляторы — перевозка'!$H$49)</f>
        <v/>
      </c>
    </row>
    <row r="301" customFormat="false" ht="66" hidden="false" customHeight="true" outlineLevel="0" collapsed="false">
      <c r="A301" s="291" t="str">
        <f aca="true">IF(ISNUMBER($J301),INDIRECT("L"&amp;($J301+4)),"")</f>
        <v/>
      </c>
      <c r="B301" s="291" t="str">
        <f aca="true">IF(ISNUMBER($J301),INDIRECT("M"&amp;($J301+4)),"")</f>
        <v/>
      </c>
      <c r="C301" s="296" t="str">
        <f aca="true">IF(ISNUMBER($J301),INDIRECT("N"&amp;($J301+4)),"")</f>
        <v/>
      </c>
      <c r="D301" s="291" t="str">
        <f aca="true">IF(ISNUMBER($J301),INDIRECT("O"&amp;($J301+4)),"")</f>
        <v/>
      </c>
      <c r="E301" s="291" t="str">
        <f aca="true">IF(ISNUMBER($J301),INDIRECT("P"&amp;($J301+4)),"")</f>
        <v/>
      </c>
      <c r="F301" s="300" t="str">
        <f aca="true">IF(ISNUMBER($J301),INDIRECT("Q"&amp;($J301+4)),"")</f>
        <v/>
      </c>
      <c r="G301" s="298" t="str">
        <f aca="true">IF(ISNUMBER($J301),INDIRECT("R"&amp;($J301+4)),"")</f>
        <v/>
      </c>
      <c r="H301" s="298" t="str">
        <f aca="true">IF(ISNUMBER($J301),INDIRECT("S"&amp;($J301+4)),"")</f>
        <v/>
      </c>
      <c r="J301" s="292" t="str">
        <f aca="true">IF(297&lt;=$K$1,MATCH(296.5,INDIRECT("$K$4:$K$1374"),1),"")</f>
        <v/>
      </c>
      <c r="K301" s="292" t="n">
        <f aca="false">$K$260+COUNTIF($Q$261:Q301,"&gt;0")</f>
        <v>0</v>
      </c>
      <c r="L301" s="292" t="str">
        <f aca="false">"Аккумуляторы — перевозка"</f>
        <v>Аккумуляторы — перевозка</v>
      </c>
      <c r="M301" s="292" t="str">
        <f aca="false">IF(ISBLANK('Аккумуляторы — перевозка'!$A$50),"",'Аккумуляторы — перевозка'!$A$50)</f>
        <v>BJ76A Smart портативный аккумулятор с 4 кабелями (20000mAh)「Неопасные товары」</v>
      </c>
      <c r="N301" s="292" t="str">
        <f aca="false">IF(ISBLANK('Аккумуляторы — перевозка'!$D$50),"",'Аккумуляторы — перевозка'!$D$50)</f>
        <v>6941991120053</v>
      </c>
      <c r="O301" s="292" t="str">
        <f aca="false">IF(ISBLANK('Аккумуляторы — перевозка'!$E$50),"",'Аккумуляторы — перевозка'!$E$50)</f>
        <v>чёрный</v>
      </c>
      <c r="P301" s="292" t="str">
        <f aca="false">"ед."</f>
        <v>ед.</v>
      </c>
      <c r="Q301" s="292" t="n">
        <f aca="false">N('Аккумуляторы — перевозка'!$G$50)</f>
        <v>0</v>
      </c>
      <c r="R301" s="299" t="n">
        <f aca="false">IF(ISBLANK('Аккумуляторы — перевозка'!$F$50),"",'Аккумуляторы — перевозка'!$F$50)</f>
        <v>945.95</v>
      </c>
      <c r="S301" s="292" t="str">
        <f aca="false">IF(ISBLANK('Аккумуляторы — перевозка'!$H$50),"",'Аккумуляторы — перевозка'!$H$50)</f>
        <v/>
      </c>
    </row>
    <row r="302" customFormat="false" ht="66" hidden="false" customHeight="true" outlineLevel="0" collapsed="false">
      <c r="A302" s="291" t="str">
        <f aca="true">IF(ISNUMBER($J302),INDIRECT("L"&amp;($J302+4)),"")</f>
        <v/>
      </c>
      <c r="B302" s="291" t="str">
        <f aca="true">IF(ISNUMBER($J302),INDIRECT("M"&amp;($J302+4)),"")</f>
        <v/>
      </c>
      <c r="C302" s="296" t="str">
        <f aca="true">IF(ISNUMBER($J302),INDIRECT("N"&amp;($J302+4)),"")</f>
        <v/>
      </c>
      <c r="D302" s="291" t="str">
        <f aca="true">IF(ISNUMBER($J302),INDIRECT("O"&amp;($J302+4)),"")</f>
        <v/>
      </c>
      <c r="E302" s="291" t="str">
        <f aca="true">IF(ISNUMBER($J302),INDIRECT("P"&amp;($J302+4)),"")</f>
        <v/>
      </c>
      <c r="F302" s="300" t="str">
        <f aca="true">IF(ISNUMBER($J302),INDIRECT("Q"&amp;($J302+4)),"")</f>
        <v/>
      </c>
      <c r="G302" s="298" t="str">
        <f aca="true">IF(ISNUMBER($J302),INDIRECT("R"&amp;($J302+4)),"")</f>
        <v/>
      </c>
      <c r="H302" s="298" t="str">
        <f aca="true">IF(ISNUMBER($J302),INDIRECT("S"&amp;($J302+4)),"")</f>
        <v/>
      </c>
      <c r="J302" s="292" t="str">
        <f aca="true">IF(298&lt;=$K$1,MATCH(297.5,INDIRECT("$K$4:$K$1374"),1),"")</f>
        <v/>
      </c>
      <c r="K302" s="292" t="n">
        <f aca="false">$K$260+COUNTIF($Q$261:Q302,"&gt;0")</f>
        <v>0</v>
      </c>
      <c r="L302" s="292" t="str">
        <f aca="false">"Аккумуляторы — перевозка"</f>
        <v>Аккумуляторы — перевозка</v>
      </c>
      <c r="M302" s="292" t="str">
        <f aca="false">IF(ISBLANK('Аккумуляторы — перевозка'!$A$51),"",'Аккумуляторы — перевозка'!$A$51)</f>
        <v>BJ56A Graceful 22.5W+PD20W универсальный портативный аккумулятор(20000mAh)「Неопасные товары」</v>
      </c>
      <c r="N302" s="292" t="str">
        <f aca="false">IF(ISBLANK('Аккумуляторы — перевозка'!$D$51),"",'Аккумуляторы — перевозка'!$D$51)</f>
        <v>6941991111822</v>
      </c>
      <c r="O302" s="292" t="str">
        <f aca="false">IF(ISBLANK('Аккумуляторы — перевозка'!$E$51),"",'Аккумуляторы — перевозка'!$E$51)</f>
        <v>черный</v>
      </c>
      <c r="P302" s="292" t="str">
        <f aca="false">"ед."</f>
        <v>ед.</v>
      </c>
      <c r="Q302" s="292" t="n">
        <f aca="false">N('Аккумуляторы — перевозка'!$G$51)</f>
        <v>0</v>
      </c>
      <c r="R302" s="299" t="n">
        <f aca="false">IF(ISBLANK('Аккумуляторы — перевозка'!$F$51),"",'Аккумуляторы — перевозка'!$F$51)</f>
        <v>986.72</v>
      </c>
      <c r="S302" s="292" t="str">
        <f aca="false">IF(ISBLANK('Аккумуляторы — перевозка'!$H$51),"",'Аккумуляторы — перевозка'!$H$51)</f>
        <v/>
      </c>
    </row>
    <row r="303" customFormat="false" ht="66" hidden="false" customHeight="true" outlineLevel="0" collapsed="false">
      <c r="A303" s="291" t="str">
        <f aca="true">IF(ISNUMBER($J303),INDIRECT("L"&amp;($J303+4)),"")</f>
        <v/>
      </c>
      <c r="B303" s="291" t="str">
        <f aca="true">IF(ISNUMBER($J303),INDIRECT("M"&amp;($J303+4)),"")</f>
        <v/>
      </c>
      <c r="C303" s="296" t="str">
        <f aca="true">IF(ISNUMBER($J303),INDIRECT("N"&amp;($J303+4)),"")</f>
        <v/>
      </c>
      <c r="D303" s="291" t="str">
        <f aca="true">IF(ISNUMBER($J303),INDIRECT("O"&amp;($J303+4)),"")</f>
        <v/>
      </c>
      <c r="E303" s="291" t="str">
        <f aca="true">IF(ISNUMBER($J303),INDIRECT("P"&amp;($J303+4)),"")</f>
        <v/>
      </c>
      <c r="F303" s="300" t="str">
        <f aca="true">IF(ISNUMBER($J303),INDIRECT("Q"&amp;($J303+4)),"")</f>
        <v/>
      </c>
      <c r="G303" s="298" t="str">
        <f aca="true">IF(ISNUMBER($J303),INDIRECT("R"&amp;($J303+4)),"")</f>
        <v/>
      </c>
      <c r="H303" s="298" t="str">
        <f aca="true">IF(ISNUMBER($J303),INDIRECT("S"&amp;($J303+4)),"")</f>
        <v/>
      </c>
      <c r="J303" s="292" t="str">
        <f aca="true">IF(299&lt;=$K$1,MATCH(298.5,INDIRECT("$K$4:$K$1374"),1),"")</f>
        <v/>
      </c>
      <c r="K303" s="292" t="n">
        <f aca="false">$K$260+COUNTIF($Q$261:Q303,"&gt;0")</f>
        <v>0</v>
      </c>
      <c r="L303" s="292" t="str">
        <f aca="false">"Аккумуляторы — перевозка"</f>
        <v>Аккумуляторы — перевозка</v>
      </c>
      <c r="M303" s="292" t="str">
        <f aca="false">IF(ISBLANK('Аккумуляторы — перевозка'!$A$52),"",'Аккумуляторы — перевозка'!$A$52)</f>
        <v>BJ55A Graceful портативный аккумулятор (20000mAh)「Неопасные товары」</v>
      </c>
      <c r="N303" s="292" t="str">
        <f aca="false">IF(ISBLANK('Аккумуляторы — перевозка'!$D$52),"",'Аккумуляторы — перевозка'!$D$52)</f>
        <v>6941991111785</v>
      </c>
      <c r="O303" s="292" t="str">
        <f aca="false">IF(ISBLANK('Аккумуляторы — перевозка'!$E$52),"",'Аккумуляторы — перевозка'!$E$52)</f>
        <v>черный</v>
      </c>
      <c r="P303" s="292" t="str">
        <f aca="false">"ед."</f>
        <v>ед.</v>
      </c>
      <c r="Q303" s="292" t="n">
        <f aca="false">N('Аккумуляторы — перевозка'!$G$52)</f>
        <v>0</v>
      </c>
      <c r="R303" s="299" t="n">
        <f aca="false">IF(ISBLANK('Аккумуляторы — перевозка'!$F$52),"",'Аккумуляторы — перевозка'!$F$52)</f>
        <v>848.09</v>
      </c>
      <c r="S303" s="292" t="str">
        <f aca="false">IF(ISBLANK('Аккумуляторы — перевозка'!$H$52),"",'Аккумуляторы — перевозка'!$H$52)</f>
        <v/>
      </c>
    </row>
    <row r="304" customFormat="false" ht="66" hidden="false" customHeight="true" outlineLevel="0" collapsed="false">
      <c r="A304" s="291" t="str">
        <f aca="true">IF(ISNUMBER($J304),INDIRECT("L"&amp;($J304+4)),"")</f>
        <v/>
      </c>
      <c r="B304" s="291" t="str">
        <f aca="true">IF(ISNUMBER($J304),INDIRECT("M"&amp;($J304+4)),"")</f>
        <v/>
      </c>
      <c r="C304" s="296" t="str">
        <f aca="true">IF(ISNUMBER($J304),INDIRECT("N"&amp;($J304+4)),"")</f>
        <v/>
      </c>
      <c r="D304" s="291" t="str">
        <f aca="true">IF(ISNUMBER($J304),INDIRECT("O"&amp;($J304+4)),"")</f>
        <v/>
      </c>
      <c r="E304" s="291" t="str">
        <f aca="true">IF(ISNUMBER($J304),INDIRECT("P"&amp;($J304+4)),"")</f>
        <v/>
      </c>
      <c r="F304" s="300" t="str">
        <f aca="true">IF(ISNUMBER($J304),INDIRECT("Q"&amp;($J304+4)),"")</f>
        <v/>
      </c>
      <c r="G304" s="298" t="str">
        <f aca="true">IF(ISNUMBER($J304),INDIRECT("R"&amp;($J304+4)),"")</f>
        <v/>
      </c>
      <c r="H304" s="298" t="str">
        <f aca="true">IF(ISNUMBER($J304),INDIRECT("S"&amp;($J304+4)),"")</f>
        <v/>
      </c>
      <c r="J304" s="292" t="str">
        <f aca="true">IF(300&lt;=$K$1,MATCH(299.5,INDIRECT("$K$4:$K$1374"),1),"")</f>
        <v/>
      </c>
      <c r="K304" s="292" t="n">
        <f aca="false">$K$260+COUNTIF($Q$261:Q304,"&gt;0")</f>
        <v>0</v>
      </c>
      <c r="L304" s="292" t="str">
        <f aca="false">"Зарядные устройства EU"</f>
        <v>Зарядные устройства EU</v>
      </c>
      <c r="M304" s="292" t="str">
        <f aca="false">IF(ISBLANK('Зарядные устройства EU'!$A$5),"",'Зарядные устройства EU'!$A$5)</f>
        <v>BN35 Mini PD30W+QC3.0 зарядное устройство(EU)</v>
      </c>
      <c r="N304" s="292" t="str">
        <f aca="false">IF(ISBLANK('Зарядные устройства EU'!$D$5),"",'Зарядные устройства EU'!$D$5)</f>
        <v>6941991128363</v>
      </c>
      <c r="O304" s="292" t="str">
        <f aca="false">IF(ISBLANK('Зарядные устройства EU'!$E$5),"",'Зарядные устройства EU'!$E$5)</f>
        <v>белый</v>
      </c>
      <c r="P304" s="292" t="str">
        <f aca="false">"ед."</f>
        <v>ед.</v>
      </c>
      <c r="Q304" s="292" t="n">
        <f aca="false">N('Зарядные устройства EU'!$G$5)</f>
        <v>0</v>
      </c>
      <c r="R304" s="299" t="n">
        <f aca="false">IF(ISBLANK('Зарядные устройства EU'!$F$5),"",'Зарядные устройства EU'!$F$5)</f>
        <v>358.81</v>
      </c>
      <c r="S304" s="292" t="str">
        <f aca="false">IF(ISBLANK('Зарядные устройства EU'!$H$5),"",'Зарядные устройства EU'!$H$5)</f>
        <v/>
      </c>
    </row>
    <row r="305" customFormat="false" ht="66" hidden="false" customHeight="true" outlineLevel="0" collapsed="false">
      <c r="A305" s="291" t="str">
        <f aca="true">IF(ISNUMBER($J305),INDIRECT("L"&amp;($J305+4)),"")</f>
        <v/>
      </c>
      <c r="B305" s="291" t="str">
        <f aca="true">IF(ISNUMBER($J305),INDIRECT("M"&amp;($J305+4)),"")</f>
        <v/>
      </c>
      <c r="C305" s="296" t="str">
        <f aca="true">IF(ISNUMBER($J305),INDIRECT("N"&amp;($J305+4)),"")</f>
        <v/>
      </c>
      <c r="D305" s="291" t="str">
        <f aca="true">IF(ISNUMBER($J305),INDIRECT("O"&amp;($J305+4)),"")</f>
        <v/>
      </c>
      <c r="E305" s="291" t="str">
        <f aca="true">IF(ISNUMBER($J305),INDIRECT("P"&amp;($J305+4)),"")</f>
        <v/>
      </c>
      <c r="F305" s="300" t="str">
        <f aca="true">IF(ISNUMBER($J305),INDIRECT("Q"&amp;($J305+4)),"")</f>
        <v/>
      </c>
      <c r="G305" s="298" t="str">
        <f aca="true">IF(ISNUMBER($J305),INDIRECT("R"&amp;($J305+4)),"")</f>
        <v/>
      </c>
      <c r="H305" s="298" t="str">
        <f aca="true">IF(ISNUMBER($J305),INDIRECT("S"&amp;($J305+4)),"")</f>
        <v/>
      </c>
      <c r="J305" s="292" t="str">
        <f aca="true">IF(301&lt;=$K$1,MATCH(300.5,INDIRECT("$K$4:$K$1374"),1),"")</f>
        <v/>
      </c>
      <c r="K305" s="292" t="n">
        <f aca="false">$K$260+COUNTIF($Q$261:Q305,"&gt;0")</f>
        <v>0</v>
      </c>
      <c r="L305" s="292" t="str">
        <f aca="false">"Зарядные устройства EU"</f>
        <v>Зарядные устройства EU</v>
      </c>
      <c r="M305" s="292" t="str">
        <f aca="false">IF(ISBLANK('Зарядные устройства EU'!$A$6),"",'Зарядные устройства EU'!$A$6)</f>
        <v>BN35 Mini PD30W+QC3.0 зарядное устройство набор (C to C)(EU)</v>
      </c>
      <c r="N305" s="292" t="str">
        <f aca="false">IF(ISBLANK('Зарядные устройства EU'!$D$6),"",'Зарядные устройства EU'!$D$6)</f>
        <v>6941991128370</v>
      </c>
      <c r="O305" s="292" t="str">
        <f aca="false">IF(ISBLANK('Зарядные устройства EU'!$E$6),"",'Зарядные устройства EU'!$E$6)</f>
        <v>белый</v>
      </c>
      <c r="P305" s="292" t="str">
        <f aca="false">"ед."</f>
        <v>ед.</v>
      </c>
      <c r="Q305" s="292" t="n">
        <f aca="false">N('Зарядные устройства EU'!$G$6)</f>
        <v>0</v>
      </c>
      <c r="R305" s="299" t="n">
        <f aca="false">IF(ISBLANK('Зарядные устройства EU'!$F$6),"",'Зарядные устройства EU'!$F$6)</f>
        <v>407.74</v>
      </c>
      <c r="S305" s="292" t="str">
        <f aca="false">IF(ISBLANK('Зарядные устройства EU'!$H$6),"",'Зарядные устройства EU'!$H$6)</f>
        <v/>
      </c>
    </row>
    <row r="306" customFormat="false" ht="66" hidden="false" customHeight="true" outlineLevel="0" collapsed="false">
      <c r="A306" s="291" t="str">
        <f aca="true">IF(ISNUMBER($J306),INDIRECT("L"&amp;($J306+4)),"")</f>
        <v/>
      </c>
      <c r="B306" s="291" t="str">
        <f aca="true">IF(ISNUMBER($J306),INDIRECT("M"&amp;($J306+4)),"")</f>
        <v/>
      </c>
      <c r="C306" s="296" t="str">
        <f aca="true">IF(ISNUMBER($J306),INDIRECT("N"&amp;($J306+4)),"")</f>
        <v/>
      </c>
      <c r="D306" s="291" t="str">
        <f aca="true">IF(ISNUMBER($J306),INDIRECT("O"&amp;($J306+4)),"")</f>
        <v/>
      </c>
      <c r="E306" s="291" t="str">
        <f aca="true">IF(ISNUMBER($J306),INDIRECT("P"&amp;($J306+4)),"")</f>
        <v/>
      </c>
      <c r="F306" s="300" t="str">
        <f aca="true">IF(ISNUMBER($J306),INDIRECT("Q"&amp;($J306+4)),"")</f>
        <v/>
      </c>
      <c r="G306" s="298" t="str">
        <f aca="true">IF(ISNUMBER($J306),INDIRECT("R"&amp;($J306+4)),"")</f>
        <v/>
      </c>
      <c r="H306" s="298" t="str">
        <f aca="true">IF(ISNUMBER($J306),INDIRECT("S"&amp;($J306+4)),"")</f>
        <v/>
      </c>
      <c r="J306" s="292" t="str">
        <f aca="true">IF(302&lt;=$K$1,MATCH(301.5,INDIRECT("$K$4:$K$1374"),1),"")</f>
        <v/>
      </c>
      <c r="K306" s="292" t="n">
        <f aca="false">$K$260+COUNTIF($Q$261:Q306,"&gt;0")</f>
        <v>0</v>
      </c>
      <c r="L306" s="292" t="str">
        <f aca="false">"Зарядные устройства EU"</f>
        <v>Зарядные устройства EU</v>
      </c>
      <c r="M306" s="292" t="str">
        <f aca="false">IF(ISBLANK('Зарядные устройства EU'!$A$7),"",'Зарядные устройства EU'!$A$7)</f>
        <v>BN34 Mini single port PD30W зарядное устройство(EU)</v>
      </c>
      <c r="N306" s="292" t="str">
        <f aca="false">IF(ISBLANK('Зарядные устройства EU'!$D$7),"",'Зарядные устройства EU'!$D$7)</f>
        <v>6941991128349</v>
      </c>
      <c r="O306" s="292" t="str">
        <f aca="false">IF(ISBLANK('Зарядные устройства EU'!$E$7),"",'Зарядные устройства EU'!$E$7)</f>
        <v>белый</v>
      </c>
      <c r="P306" s="292" t="str">
        <f aca="false">"ед."</f>
        <v>ед.</v>
      </c>
      <c r="Q306" s="292" t="n">
        <f aca="false">N('Зарядные устройства EU'!$G$7)</f>
        <v>0</v>
      </c>
      <c r="R306" s="299" t="n">
        <f aca="false">IF(ISBLANK('Зарядные устройства EU'!$F$7),"",'Зарядные устройства EU'!$F$7)</f>
        <v>326.19</v>
      </c>
      <c r="S306" s="292" t="str">
        <f aca="false">IF(ISBLANK('Зарядные устройства EU'!$H$7),"",'Зарядные устройства EU'!$H$7)</f>
        <v/>
      </c>
    </row>
    <row r="307" customFormat="false" ht="66" hidden="false" customHeight="true" outlineLevel="0" collapsed="false">
      <c r="A307" s="291" t="str">
        <f aca="true">IF(ISNUMBER($J307),INDIRECT("L"&amp;($J307+4)),"")</f>
        <v/>
      </c>
      <c r="B307" s="291" t="str">
        <f aca="true">IF(ISNUMBER($J307),INDIRECT("M"&amp;($J307+4)),"")</f>
        <v/>
      </c>
      <c r="C307" s="296" t="str">
        <f aca="true">IF(ISNUMBER($J307),INDIRECT("N"&amp;($J307+4)),"")</f>
        <v/>
      </c>
      <c r="D307" s="291" t="str">
        <f aca="true">IF(ISNUMBER($J307),INDIRECT("O"&amp;($J307+4)),"")</f>
        <v/>
      </c>
      <c r="E307" s="291" t="str">
        <f aca="true">IF(ISNUMBER($J307),INDIRECT("P"&amp;($J307+4)),"")</f>
        <v/>
      </c>
      <c r="F307" s="300" t="str">
        <f aca="true">IF(ISNUMBER($J307),INDIRECT("Q"&amp;($J307+4)),"")</f>
        <v/>
      </c>
      <c r="G307" s="298" t="str">
        <f aca="true">IF(ISNUMBER($J307),INDIRECT("R"&amp;($J307+4)),"")</f>
        <v/>
      </c>
      <c r="H307" s="298" t="str">
        <f aca="true">IF(ISNUMBER($J307),INDIRECT("S"&amp;($J307+4)),"")</f>
        <v/>
      </c>
      <c r="J307" s="292" t="str">
        <f aca="true">IF(303&lt;=$K$1,MATCH(302.5,INDIRECT("$K$4:$K$1374"),1),"")</f>
        <v/>
      </c>
      <c r="K307" s="292" t="n">
        <f aca="false">$K$260+COUNTIF($Q$261:Q307,"&gt;0")</f>
        <v>0</v>
      </c>
      <c r="L307" s="292" t="str">
        <f aca="false">"Зарядные устройства EU"</f>
        <v>Зарядные устройства EU</v>
      </c>
      <c r="M307" s="292" t="str">
        <f aca="false">IF(ISBLANK('Зарядные устройства EU'!$A$8),"",'Зарядные устройства EU'!$A$8)</f>
        <v>BN34 Mini single port PD30W зарядное устройство набор (C to C)(EU)</v>
      </c>
      <c r="N307" s="292" t="str">
        <f aca="false">IF(ISBLANK('Зарядные устройства EU'!$D$8),"",'Зарядные устройства EU'!$D$8)</f>
        <v>6941991128356</v>
      </c>
      <c r="O307" s="292" t="str">
        <f aca="false">IF(ISBLANK('Зарядные устройства EU'!$E$8),"",'Зарядные устройства EU'!$E$8)</f>
        <v>белый</v>
      </c>
      <c r="P307" s="292" t="str">
        <f aca="false">"ед."</f>
        <v>ед.</v>
      </c>
      <c r="Q307" s="292" t="n">
        <f aca="false">N('Зарядные устройства EU'!$G$8)</f>
        <v>0</v>
      </c>
      <c r="R307" s="299" t="n">
        <f aca="false">IF(ISBLANK('Зарядные устройства EU'!$F$8),"",'Зарядные устройства EU'!$F$8)</f>
        <v>375.12</v>
      </c>
      <c r="S307" s="292" t="str">
        <f aca="false">IF(ISBLANK('Зарядные устройства EU'!$H$8),"",'Зарядные устройства EU'!$H$8)</f>
        <v/>
      </c>
    </row>
    <row r="308" customFormat="false" ht="66" hidden="false" customHeight="true" outlineLevel="0" collapsed="false">
      <c r="A308" s="291" t="str">
        <f aca="true">IF(ISNUMBER($J308),INDIRECT("L"&amp;($J308+4)),"")</f>
        <v/>
      </c>
      <c r="B308" s="291" t="str">
        <f aca="true">IF(ISNUMBER($J308),INDIRECT("M"&amp;($J308+4)),"")</f>
        <v/>
      </c>
      <c r="C308" s="296" t="str">
        <f aca="true">IF(ISNUMBER($J308),INDIRECT("N"&amp;($J308+4)),"")</f>
        <v/>
      </c>
      <c r="D308" s="291" t="str">
        <f aca="true">IF(ISNUMBER($J308),INDIRECT("O"&amp;($J308+4)),"")</f>
        <v/>
      </c>
      <c r="E308" s="291" t="str">
        <f aca="true">IF(ISNUMBER($J308),INDIRECT("P"&amp;($J308+4)),"")</f>
        <v/>
      </c>
      <c r="F308" s="300" t="str">
        <f aca="true">IF(ISNUMBER($J308),INDIRECT("Q"&amp;($J308+4)),"")</f>
        <v/>
      </c>
      <c r="G308" s="298" t="str">
        <f aca="true">IF(ISNUMBER($J308),INDIRECT("R"&amp;($J308+4)),"")</f>
        <v/>
      </c>
      <c r="H308" s="298" t="str">
        <f aca="true">IF(ISNUMBER($J308),INDIRECT("S"&amp;($J308+4)),"")</f>
        <v/>
      </c>
      <c r="J308" s="292" t="str">
        <f aca="true">IF(304&lt;=$K$1,MATCH(303.5,INDIRECT("$K$4:$K$1374"),1),"")</f>
        <v/>
      </c>
      <c r="K308" s="292" t="n">
        <f aca="false">$K$260+COUNTIF($Q$261:Q308,"&gt;0")</f>
        <v>0</v>
      </c>
      <c r="L308" s="292" t="str">
        <f aca="false">"Зарядные устройства EU"</f>
        <v>Зарядные устройства EU</v>
      </c>
      <c r="M308" s="292" t="str">
        <f aca="false">IF(ISBLANK('Зарядные устройства EU'!$A$9),"",'Зарядные устройства EU'!$A$9)</f>
        <v>BN33 Fuente зарядное устройство с одним выходом PD40W (EU)</v>
      </c>
      <c r="N308" s="292" t="str">
        <f aca="false">IF(ISBLANK('Зарядные устройства EU'!$D$9),"",'Зарядные устройства EU'!$D$9)</f>
        <v>6941991127113</v>
      </c>
      <c r="O308" s="292" t="str">
        <f aca="false">IF(ISBLANK('Зарядные устройства EU'!$E$9),"",'Зарядные устройства EU'!$E$9)</f>
        <v>белый</v>
      </c>
      <c r="P308" s="292" t="str">
        <f aca="false">"ед."</f>
        <v>ед.</v>
      </c>
      <c r="Q308" s="292" t="n">
        <f aca="false">N('Зарядные устройства EU'!$G$9)</f>
        <v>0</v>
      </c>
      <c r="R308" s="299" t="n">
        <f aca="false">IF(ISBLANK('Зарядные устройства EU'!$F$9),"",'Зарядные устройства EU'!$F$9)</f>
        <v>489.28</v>
      </c>
      <c r="S308" s="292" t="str">
        <f aca="false">IF(ISBLANK('Зарядные устройства EU'!$H$9),"",'Зарядные устройства EU'!$H$9)</f>
        <v/>
      </c>
    </row>
    <row r="309" customFormat="false" ht="66" hidden="false" customHeight="true" outlineLevel="0" collapsed="false">
      <c r="A309" s="291" t="str">
        <f aca="true">IF(ISNUMBER($J309),INDIRECT("L"&amp;($J309+4)),"")</f>
        <v/>
      </c>
      <c r="B309" s="291" t="str">
        <f aca="true">IF(ISNUMBER($J309),INDIRECT("M"&amp;($J309+4)),"")</f>
        <v/>
      </c>
      <c r="C309" s="296" t="str">
        <f aca="true">IF(ISNUMBER($J309),INDIRECT("N"&amp;($J309+4)),"")</f>
        <v/>
      </c>
      <c r="D309" s="291" t="str">
        <f aca="true">IF(ISNUMBER($J309),INDIRECT("O"&amp;($J309+4)),"")</f>
        <v/>
      </c>
      <c r="E309" s="291" t="str">
        <f aca="true">IF(ISNUMBER($J309),INDIRECT("P"&amp;($J309+4)),"")</f>
        <v/>
      </c>
      <c r="F309" s="300" t="str">
        <f aca="true">IF(ISNUMBER($J309),INDIRECT("Q"&amp;($J309+4)),"")</f>
        <v/>
      </c>
      <c r="G309" s="298" t="str">
        <f aca="true">IF(ISNUMBER($J309),INDIRECT("R"&amp;($J309+4)),"")</f>
        <v/>
      </c>
      <c r="H309" s="298" t="str">
        <f aca="true">IF(ISNUMBER($J309),INDIRECT("S"&amp;($J309+4)),"")</f>
        <v/>
      </c>
      <c r="J309" s="292" t="str">
        <f aca="true">IF(305&lt;=$K$1,MATCH(304.5,INDIRECT("$K$4:$K$1374"),1),"")</f>
        <v/>
      </c>
      <c r="K309" s="292" t="n">
        <f aca="false">$K$260+COUNTIF($Q$261:Q309,"&gt;0")</f>
        <v>0</v>
      </c>
      <c r="L309" s="292" t="str">
        <f aca="false">"Зарядные устройства EU"</f>
        <v>Зарядные устройства EU</v>
      </c>
      <c r="M309" s="292" t="str">
        <f aca="false">IF(ISBLANK('Зарядные устройства EU'!$A$10),"",'Зарядные устройства EU'!$A$10)</f>
        <v>BN33 Fuente зарядное устройство с одним выходом PD40W набор (C на C)(EU)</v>
      </c>
      <c r="N309" s="292" t="str">
        <f aca="false">IF(ISBLANK('Зарядные устройства EU'!$D$10),"",'Зарядные устройства EU'!$D$10)</f>
        <v>6941991127120</v>
      </c>
      <c r="O309" s="292" t="str">
        <f aca="false">IF(ISBLANK('Зарядные устройства EU'!$E$10),"",'Зарядные устройства EU'!$E$10)</f>
        <v>белый</v>
      </c>
      <c r="P309" s="292" t="str">
        <f aca="false">"ед."</f>
        <v>ед.</v>
      </c>
      <c r="Q309" s="292" t="n">
        <f aca="false">N('Зарядные устройства EU'!$G$10)</f>
        <v>0</v>
      </c>
      <c r="R309" s="299" t="n">
        <f aca="false">IF(ISBLANK('Зарядные устройства EU'!$F$10),"",'Зарядные устройства EU'!$F$10)</f>
        <v>538.21</v>
      </c>
      <c r="S309" s="292" t="str">
        <f aca="false">IF(ISBLANK('Зарядные устройства EU'!$H$10),"",'Зарядные устройства EU'!$H$10)</f>
        <v/>
      </c>
    </row>
    <row r="310" customFormat="false" ht="66" hidden="false" customHeight="true" outlineLevel="0" collapsed="false">
      <c r="A310" s="291" t="str">
        <f aca="true">IF(ISNUMBER($J310),INDIRECT("L"&amp;($J310+4)),"")</f>
        <v/>
      </c>
      <c r="B310" s="291" t="str">
        <f aca="true">IF(ISNUMBER($J310),INDIRECT("M"&amp;($J310+4)),"")</f>
        <v/>
      </c>
      <c r="C310" s="296" t="str">
        <f aca="true">IF(ISNUMBER($J310),INDIRECT("N"&amp;($J310+4)),"")</f>
        <v/>
      </c>
      <c r="D310" s="291" t="str">
        <f aca="true">IF(ISNUMBER($J310),INDIRECT("O"&amp;($J310+4)),"")</f>
        <v/>
      </c>
      <c r="E310" s="291" t="str">
        <f aca="true">IF(ISNUMBER($J310),INDIRECT("P"&amp;($J310+4)),"")</f>
        <v/>
      </c>
      <c r="F310" s="300" t="str">
        <f aca="true">IF(ISNUMBER($J310),INDIRECT("Q"&amp;($J310+4)),"")</f>
        <v/>
      </c>
      <c r="G310" s="298" t="str">
        <f aca="true">IF(ISNUMBER($J310),INDIRECT("R"&amp;($J310+4)),"")</f>
        <v/>
      </c>
      <c r="H310" s="298" t="str">
        <f aca="true">IF(ISNUMBER($J310),INDIRECT("S"&amp;($J310+4)),"")</f>
        <v/>
      </c>
      <c r="J310" s="292" t="str">
        <f aca="true">IF(306&lt;=$K$1,MATCH(305.5,INDIRECT("$K$4:$K$1374"),1),"")</f>
        <v/>
      </c>
      <c r="K310" s="292" t="n">
        <f aca="false">$K$260+COUNTIF($Q$261:Q310,"&gt;0")</f>
        <v>0</v>
      </c>
      <c r="L310" s="292" t="str">
        <f aca="false">"Зарядные устройства EU"</f>
        <v>Зарядные устройства EU</v>
      </c>
      <c r="M310" s="292" t="str">
        <f aca="false">IF(ISBLANK('Зарядные устройства EU'!$A$11),"",'Зарядные устройства EU'!$A$11)</f>
        <v>BN32 Cargador PD65W (2C1A) зарядное устройство (EU)</v>
      </c>
      <c r="N310" s="292" t="str">
        <f aca="false">IF(ISBLANK('Зарядные устройства EU'!$D$11),"",'Зарядные устройства EU'!$D$11)</f>
        <v>6941991124716</v>
      </c>
      <c r="O310" s="292" t="str">
        <f aca="false">IF(ISBLANK('Зарядные устройства EU'!$E$11),"",'Зарядные устройства EU'!$E$11)</f>
        <v>белый</v>
      </c>
      <c r="P310" s="292" t="str">
        <f aca="false">"ед."</f>
        <v>ед.</v>
      </c>
      <c r="Q310" s="292" t="n">
        <f aca="false">N('Зарядные устройства EU'!$G$11)</f>
        <v>0</v>
      </c>
      <c r="R310" s="299" t="n">
        <f aca="false">IF(ISBLANK('Зарядные устройства EU'!$F$11),"",'Зарядные устройства EU'!$F$11)</f>
        <v>701.3</v>
      </c>
      <c r="S310" s="292" t="str">
        <f aca="false">IF(ISBLANK('Зарядные устройства EU'!$H$11),"",'Зарядные устройства EU'!$H$11)</f>
        <v/>
      </c>
    </row>
    <row r="311" customFormat="false" ht="66" hidden="false" customHeight="true" outlineLevel="0" collapsed="false">
      <c r="A311" s="291" t="str">
        <f aca="true">IF(ISNUMBER($J311),INDIRECT("L"&amp;($J311+4)),"")</f>
        <v/>
      </c>
      <c r="B311" s="291" t="str">
        <f aca="true">IF(ISNUMBER($J311),INDIRECT("M"&amp;($J311+4)),"")</f>
        <v/>
      </c>
      <c r="C311" s="296" t="str">
        <f aca="true">IF(ISNUMBER($J311),INDIRECT("N"&amp;($J311+4)),"")</f>
        <v/>
      </c>
      <c r="D311" s="291" t="str">
        <f aca="true">IF(ISNUMBER($J311),INDIRECT("O"&amp;($J311+4)),"")</f>
        <v/>
      </c>
      <c r="E311" s="291" t="str">
        <f aca="true">IF(ISNUMBER($J311),INDIRECT("P"&amp;($J311+4)),"")</f>
        <v/>
      </c>
      <c r="F311" s="300" t="str">
        <f aca="true">IF(ISNUMBER($J311),INDIRECT("Q"&amp;($J311+4)),"")</f>
        <v/>
      </c>
      <c r="G311" s="298" t="str">
        <f aca="true">IF(ISNUMBER($J311),INDIRECT("R"&amp;($J311+4)),"")</f>
        <v/>
      </c>
      <c r="H311" s="298" t="str">
        <f aca="true">IF(ISNUMBER($J311),INDIRECT("S"&amp;($J311+4)),"")</f>
        <v/>
      </c>
      <c r="J311" s="292" t="str">
        <f aca="true">IF(307&lt;=$K$1,MATCH(306.5,INDIRECT("$K$4:$K$1374"),1),"")</f>
        <v/>
      </c>
      <c r="K311" s="292" t="n">
        <f aca="false">$K$260+COUNTIF($Q$261:Q311,"&gt;0")</f>
        <v>0</v>
      </c>
      <c r="L311" s="292" t="str">
        <f aca="false">"Зарядные устройства EU"</f>
        <v>Зарядные устройства EU</v>
      </c>
      <c r="M311" s="292" t="str">
        <f aca="false">IF(ISBLANK('Зарядные устройства EU'!$A$12),"",'Зарядные устройства EU'!$A$12)</f>
        <v>BN31 Cargador PD45W(2C) зарядное устройство (EU)</v>
      </c>
      <c r="N311" s="292" t="str">
        <f aca="false">IF(ISBLANK('Зарядные устройства EU'!$D$12),"",'Зарядные устройства EU'!$D$12)</f>
        <v>6941991124693</v>
      </c>
      <c r="O311" s="292" t="str">
        <f aca="false">IF(ISBLANK('Зарядные устройства EU'!$E$12),"",'Зарядные устройства EU'!$E$12)</f>
        <v>белый</v>
      </c>
      <c r="P311" s="292" t="str">
        <f aca="false">"ед."</f>
        <v>ед.</v>
      </c>
      <c r="Q311" s="292" t="n">
        <f aca="false">N('Зарядные устройства EU'!$G$12)</f>
        <v>0</v>
      </c>
      <c r="R311" s="299" t="n">
        <f aca="false">IF(ISBLANK('Зарядные устройства EU'!$F$12),"",'Зарядные устройства EU'!$F$12)</f>
        <v>570.83</v>
      </c>
      <c r="S311" s="292" t="str">
        <f aca="false">IF(ISBLANK('Зарядные устройства EU'!$H$12),"",'Зарядные устройства EU'!$H$12)</f>
        <v/>
      </c>
    </row>
    <row r="312" customFormat="false" ht="66" hidden="false" customHeight="true" outlineLevel="0" collapsed="false">
      <c r="A312" s="291" t="str">
        <f aca="true">IF(ISNUMBER($J312),INDIRECT("L"&amp;($J312+4)),"")</f>
        <v/>
      </c>
      <c r="B312" s="291" t="str">
        <f aca="true">IF(ISNUMBER($J312),INDIRECT("M"&amp;($J312+4)),"")</f>
        <v/>
      </c>
      <c r="C312" s="296" t="str">
        <f aca="true">IF(ISNUMBER($J312),INDIRECT("N"&amp;($J312+4)),"")</f>
        <v/>
      </c>
      <c r="D312" s="291" t="str">
        <f aca="true">IF(ISNUMBER($J312),INDIRECT("O"&amp;($J312+4)),"")</f>
        <v/>
      </c>
      <c r="E312" s="291" t="str">
        <f aca="true">IF(ISNUMBER($J312),INDIRECT("P"&amp;($J312+4)),"")</f>
        <v/>
      </c>
      <c r="F312" s="300" t="str">
        <f aca="true">IF(ISNUMBER($J312),INDIRECT("Q"&amp;($J312+4)),"")</f>
        <v/>
      </c>
      <c r="G312" s="298" t="str">
        <f aca="true">IF(ISNUMBER($J312),INDIRECT("R"&amp;($J312+4)),"")</f>
        <v/>
      </c>
      <c r="H312" s="298" t="str">
        <f aca="true">IF(ISNUMBER($J312),INDIRECT("S"&amp;($J312+4)),"")</f>
        <v/>
      </c>
      <c r="J312" s="292" t="str">
        <f aca="true">IF(308&lt;=$K$1,MATCH(307.5,INDIRECT("$K$4:$K$1374"),1),"")</f>
        <v/>
      </c>
      <c r="K312" s="292" t="n">
        <f aca="false">$K$260+COUNTIF($Q$261:Q312,"&gt;0")</f>
        <v>0</v>
      </c>
      <c r="L312" s="292" t="str">
        <f aca="false">"Зарядные устройства EU"</f>
        <v>Зарядные устройства EU</v>
      </c>
      <c r="M312" s="292" t="str">
        <f aca="false">IF(ISBLANK('Зарядные устройства EU'!$A$13),"",'Зарядные устройства EU'!$A$13)</f>
        <v>BN30 Cargador PD45W (1C1A) зарядное устройство (EU)</v>
      </c>
      <c r="N312" s="292" t="str">
        <f aca="false">IF(ISBLANK('Зарядные устройства EU'!$D$13),"",'Зарядные устройства EU'!$D$13)</f>
        <v>6941991124679</v>
      </c>
      <c r="O312" s="292" t="str">
        <f aca="false">IF(ISBLANK('Зарядные устройства EU'!$E$13),"",'Зарядные устройства EU'!$E$13)</f>
        <v>белый</v>
      </c>
      <c r="P312" s="292" t="str">
        <f aca="false">"ед."</f>
        <v>ед.</v>
      </c>
      <c r="Q312" s="292" t="n">
        <f aca="false">N('Зарядные устройства EU'!$G$13)</f>
        <v>0</v>
      </c>
      <c r="R312" s="299" t="n">
        <f aca="false">IF(ISBLANK('Зарядные устройства EU'!$F$13),"",'Зарядные устройства EU'!$F$13)</f>
        <v>546.37</v>
      </c>
      <c r="S312" s="292" t="str">
        <f aca="false">IF(ISBLANK('Зарядные устройства EU'!$H$13),"",'Зарядные устройства EU'!$H$13)</f>
        <v/>
      </c>
    </row>
    <row r="313" customFormat="false" ht="66" hidden="false" customHeight="true" outlineLevel="0" collapsed="false">
      <c r="A313" s="291" t="str">
        <f aca="true">IF(ISNUMBER($J313),INDIRECT("L"&amp;($J313+4)),"")</f>
        <v/>
      </c>
      <c r="B313" s="291" t="str">
        <f aca="true">IF(ISNUMBER($J313),INDIRECT("M"&amp;($J313+4)),"")</f>
        <v/>
      </c>
      <c r="C313" s="296" t="str">
        <f aca="true">IF(ISNUMBER($J313),INDIRECT("N"&amp;($J313+4)),"")</f>
        <v/>
      </c>
      <c r="D313" s="291" t="str">
        <f aca="true">IF(ISNUMBER($J313),INDIRECT("O"&amp;($J313+4)),"")</f>
        <v/>
      </c>
      <c r="E313" s="291" t="str">
        <f aca="true">IF(ISNUMBER($J313),INDIRECT("P"&amp;($J313+4)),"")</f>
        <v/>
      </c>
      <c r="F313" s="300" t="str">
        <f aca="true">IF(ISNUMBER($J313),INDIRECT("Q"&amp;($J313+4)),"")</f>
        <v/>
      </c>
      <c r="G313" s="298" t="str">
        <f aca="true">IF(ISNUMBER($J313),INDIRECT("R"&amp;($J313+4)),"")</f>
        <v/>
      </c>
      <c r="H313" s="298" t="str">
        <f aca="true">IF(ISNUMBER($J313),INDIRECT("S"&amp;($J313+4)),"")</f>
        <v/>
      </c>
      <c r="J313" s="292" t="str">
        <f aca="true">IF(309&lt;=$K$1,MATCH(308.5,INDIRECT("$K$4:$K$1374"),1),"")</f>
        <v/>
      </c>
      <c r="K313" s="292" t="n">
        <f aca="false">$K$260+COUNTIF($Q$261:Q313,"&gt;0")</f>
        <v>0</v>
      </c>
      <c r="L313" s="292" t="str">
        <f aca="false">"Зарядные устройства EU"</f>
        <v>Зарядные устройства EU</v>
      </c>
      <c r="M313" s="292" t="str">
        <f aca="false">IF(ISBLANK('Зарядные устройства EU'!$A$14),"",'Зарядные устройства EU'!$A$14)</f>
        <v>BN29 Fuente PD30W+QC3.0 зарядное устройство (EU)</v>
      </c>
      <c r="N313" s="292" t="str">
        <f aca="false">IF(ISBLANK('Зарядные устройства EU'!$D$14),"",'Зарядные устройства EU'!$D$14)</f>
        <v>6941991120329</v>
      </c>
      <c r="O313" s="292" t="str">
        <f aca="false">IF(ISBLANK('Зарядные устройства EU'!$E$14),"",'Зарядные устройства EU'!$E$14)</f>
        <v>белый</v>
      </c>
      <c r="P313" s="292" t="str">
        <f aca="false">"ед."</f>
        <v>ед.</v>
      </c>
      <c r="Q313" s="292" t="n">
        <f aca="false">N('Зарядные устройства EU'!$G$14)</f>
        <v>0</v>
      </c>
      <c r="R313" s="299" t="n">
        <f aca="false">IF(ISBLANK('Зарядные устройства EU'!$F$14),"",'Зарядные устройства EU'!$F$14)</f>
        <v>318.03</v>
      </c>
      <c r="S313" s="292" t="str">
        <f aca="false">IF(ISBLANK('Зарядные устройства EU'!$H$14),"",'Зарядные устройства EU'!$H$14)</f>
        <v/>
      </c>
    </row>
    <row r="314" customFormat="false" ht="66" hidden="false" customHeight="true" outlineLevel="0" collapsed="false">
      <c r="A314" s="291" t="str">
        <f aca="true">IF(ISNUMBER($J314),INDIRECT("L"&amp;($J314+4)),"")</f>
        <v/>
      </c>
      <c r="B314" s="291" t="str">
        <f aca="true">IF(ISNUMBER($J314),INDIRECT("M"&amp;($J314+4)),"")</f>
        <v/>
      </c>
      <c r="C314" s="296" t="str">
        <f aca="true">IF(ISNUMBER($J314),INDIRECT("N"&amp;($J314+4)),"")</f>
        <v/>
      </c>
      <c r="D314" s="291" t="str">
        <f aca="true">IF(ISNUMBER($J314),INDIRECT("O"&amp;($J314+4)),"")</f>
        <v/>
      </c>
      <c r="E314" s="291" t="str">
        <f aca="true">IF(ISNUMBER($J314),INDIRECT("P"&amp;($J314+4)),"")</f>
        <v/>
      </c>
      <c r="F314" s="300" t="str">
        <f aca="true">IF(ISNUMBER($J314),INDIRECT("Q"&amp;($J314+4)),"")</f>
        <v/>
      </c>
      <c r="G314" s="298" t="str">
        <f aca="true">IF(ISNUMBER($J314),INDIRECT("R"&amp;($J314+4)),"")</f>
        <v/>
      </c>
      <c r="H314" s="298" t="str">
        <f aca="true">IF(ISNUMBER($J314),INDIRECT("S"&amp;($J314+4)),"")</f>
        <v/>
      </c>
      <c r="J314" s="292" t="str">
        <f aca="true">IF(310&lt;=$K$1,MATCH(309.5,INDIRECT("$K$4:$K$1374"),1),"")</f>
        <v/>
      </c>
      <c r="K314" s="292" t="n">
        <f aca="false">$K$260+COUNTIF($Q$261:Q314,"&gt;0")</f>
        <v>0</v>
      </c>
      <c r="L314" s="292" t="str">
        <f aca="false">"Зарядные устройства EU"</f>
        <v>Зарядные устройства EU</v>
      </c>
      <c r="M314" s="292" t="str">
        <f aca="false">IF(ISBLANK('Зарядные устройства EU'!$A$15),"",'Зарядные устройства EU'!$A$15)</f>
        <v>BN28 Fuente зарядное устройство с одним портом PD30W (EU)</v>
      </c>
      <c r="N314" s="292" t="str">
        <f aca="false">IF(ISBLANK('Зарядные устройства EU'!$D$15),"",'Зарядные устройства EU'!$D$15)</f>
        <v>6941991120299</v>
      </c>
      <c r="O314" s="292" t="str">
        <f aca="false">IF(ISBLANK('Зарядные устройства EU'!$E$15),"",'Зарядные устройства EU'!$E$15)</f>
        <v>белый</v>
      </c>
      <c r="P314" s="292" t="str">
        <f aca="false">"ед."</f>
        <v>ед.</v>
      </c>
      <c r="Q314" s="292" t="n">
        <f aca="false">N('Зарядные устройства EU'!$G$15)</f>
        <v>0</v>
      </c>
      <c r="R314" s="299" t="n">
        <f aca="false">IF(ISBLANK('Зарядные устройства EU'!$F$15),"",'Зарядные устройства EU'!$F$15)</f>
        <v>293.57</v>
      </c>
      <c r="S314" s="292" t="str">
        <f aca="false">IF(ISBLANK('Зарядные устройства EU'!$H$15),"",'Зарядные устройства EU'!$H$15)</f>
        <v/>
      </c>
    </row>
    <row r="315" customFormat="false" ht="66" hidden="false" customHeight="true" outlineLevel="0" collapsed="false">
      <c r="A315" s="291" t="str">
        <f aca="true">IF(ISNUMBER($J315),INDIRECT("L"&amp;($J315+4)),"")</f>
        <v/>
      </c>
      <c r="B315" s="291" t="str">
        <f aca="true">IF(ISNUMBER($J315),INDIRECT("M"&amp;($J315+4)),"")</f>
        <v/>
      </c>
      <c r="C315" s="296" t="str">
        <f aca="true">IF(ISNUMBER($J315),INDIRECT("N"&amp;($J315+4)),"")</f>
        <v/>
      </c>
      <c r="D315" s="291" t="str">
        <f aca="true">IF(ISNUMBER($J315),INDIRECT("O"&amp;($J315+4)),"")</f>
        <v/>
      </c>
      <c r="E315" s="291" t="str">
        <f aca="true">IF(ISNUMBER($J315),INDIRECT("P"&amp;($J315+4)),"")</f>
        <v/>
      </c>
      <c r="F315" s="300" t="str">
        <f aca="true">IF(ISNUMBER($J315),INDIRECT("Q"&amp;($J315+4)),"")</f>
        <v/>
      </c>
      <c r="G315" s="298" t="str">
        <f aca="true">IF(ISNUMBER($J315),INDIRECT("R"&amp;($J315+4)),"")</f>
        <v/>
      </c>
      <c r="H315" s="298" t="str">
        <f aca="true">IF(ISNUMBER($J315),INDIRECT("S"&amp;($J315+4)),"")</f>
        <v/>
      </c>
      <c r="J315" s="292" t="str">
        <f aca="true">IF(311&lt;=$K$1,MATCH(310.5,INDIRECT("$K$4:$K$1374"),1),"")</f>
        <v/>
      </c>
      <c r="K315" s="292" t="n">
        <f aca="false">$K$260+COUNTIF($Q$261:Q315,"&gt;0")</f>
        <v>0</v>
      </c>
      <c r="L315" s="292" t="str">
        <f aca="false">"Зарядные устройства EU"</f>
        <v>Зарядные устройства EU</v>
      </c>
      <c r="M315" s="292" t="str">
        <f aca="false">IF(ISBLANK('Зарядные устройства EU'!$A$16),"",'Зарядные устройства EU'!$A$16)</f>
        <v>BN27 Fuente PD20W+QC3.0 зарядное устройство (EU)</v>
      </c>
      <c r="N315" s="292" t="str">
        <f aca="false">IF(ISBLANK('Зарядные устройства EU'!$D$16),"",'Зарядные устройства EU'!$D$16)</f>
        <v>6941991120268</v>
      </c>
      <c r="O315" s="292" t="str">
        <f aca="false">IF(ISBLANK('Зарядные устройства EU'!$E$16),"",'Зарядные устройства EU'!$E$16)</f>
        <v>белый</v>
      </c>
      <c r="P315" s="292" t="str">
        <f aca="false">"ед."</f>
        <v>ед.</v>
      </c>
      <c r="Q315" s="292" t="n">
        <f aca="false">N('Зарядные устройства EU'!$G$16)</f>
        <v>0</v>
      </c>
      <c r="R315" s="299" t="n">
        <f aca="false">IF(ISBLANK('Зарядные устройства EU'!$F$16),"",'Зарядные устройства EU'!$F$16)</f>
        <v>277.26</v>
      </c>
      <c r="S315" s="292" t="str">
        <f aca="false">IF(ISBLANK('Зарядные устройства EU'!$H$16),"",'Зарядные устройства EU'!$H$16)</f>
        <v/>
      </c>
    </row>
    <row r="316" customFormat="false" ht="66" hidden="false" customHeight="true" outlineLevel="0" collapsed="false">
      <c r="A316" s="291" t="str">
        <f aca="true">IF(ISNUMBER($J316),INDIRECT("L"&amp;($J316+4)),"")</f>
        <v/>
      </c>
      <c r="B316" s="291" t="str">
        <f aca="true">IF(ISNUMBER($J316),INDIRECT("M"&amp;($J316+4)),"")</f>
        <v/>
      </c>
      <c r="C316" s="296" t="str">
        <f aca="true">IF(ISNUMBER($J316),INDIRECT("N"&amp;($J316+4)),"")</f>
        <v/>
      </c>
      <c r="D316" s="291" t="str">
        <f aca="true">IF(ISNUMBER($J316),INDIRECT("O"&amp;($J316+4)),"")</f>
        <v/>
      </c>
      <c r="E316" s="291" t="str">
        <f aca="true">IF(ISNUMBER($J316),INDIRECT("P"&amp;($J316+4)),"")</f>
        <v/>
      </c>
      <c r="F316" s="300" t="str">
        <f aca="true">IF(ISNUMBER($J316),INDIRECT("Q"&amp;($J316+4)),"")</f>
        <v/>
      </c>
      <c r="G316" s="298" t="str">
        <f aca="true">IF(ISNUMBER($J316),INDIRECT("R"&amp;($J316+4)),"")</f>
        <v/>
      </c>
      <c r="H316" s="298" t="str">
        <f aca="true">IF(ISNUMBER($J316),INDIRECT("S"&amp;($J316+4)),"")</f>
        <v/>
      </c>
      <c r="J316" s="292" t="str">
        <f aca="true">IF(312&lt;=$K$1,MATCH(311.5,INDIRECT("$K$4:$K$1374"),1),"")</f>
        <v/>
      </c>
      <c r="K316" s="292" t="n">
        <f aca="false">$K$260+COUNTIF($Q$261:Q316,"&gt;0")</f>
        <v>0</v>
      </c>
      <c r="L316" s="292" t="str">
        <f aca="false">"Зарядные устройства EU"</f>
        <v>Зарядные устройства EU</v>
      </c>
      <c r="M316" s="292" t="str">
        <f aca="false">IF(ISBLANK('Зарядные устройства EU'!$A$17),"",'Зарядные устройства EU'!$A$17)</f>
        <v>BN19 Intenso PD20W+QC 3.0 зарядное устройство (EU)</v>
      </c>
      <c r="N316" s="292" t="str">
        <f aca="false">IF(ISBLANK('Зарядные устройства EU'!$D$17),"",'Зарядные устройства EU'!$D$17)</f>
        <v>6941991120848</v>
      </c>
      <c r="O316" s="292" t="str">
        <f aca="false">IF(ISBLANK('Зарядные устройства EU'!$E$17),"",'Зарядные устройства EU'!$E$17)</f>
        <v>чёрный</v>
      </c>
      <c r="P316" s="292" t="str">
        <f aca="false">"ед."</f>
        <v>ед.</v>
      </c>
      <c r="Q316" s="292" t="n">
        <f aca="false">N('Зарядные устройства EU'!$G$17)</f>
        <v>0</v>
      </c>
      <c r="R316" s="299" t="n">
        <f aca="false">IF(ISBLANK('Зарядные устройства EU'!$F$17),"",'Зарядные устройства EU'!$F$17)</f>
        <v>277.26</v>
      </c>
      <c r="S316" s="292" t="str">
        <f aca="false">IF(ISBLANK('Зарядные устройства EU'!$H$17),"",'Зарядные устройства EU'!$H$17)</f>
        <v/>
      </c>
    </row>
    <row r="317" customFormat="false" ht="66" hidden="false" customHeight="true" outlineLevel="0" collapsed="false">
      <c r="A317" s="291" t="str">
        <f aca="true">IF(ISNUMBER($J317),INDIRECT("L"&amp;($J317+4)),"")</f>
        <v/>
      </c>
      <c r="B317" s="291" t="str">
        <f aca="true">IF(ISNUMBER($J317),INDIRECT("M"&amp;($J317+4)),"")</f>
        <v/>
      </c>
      <c r="C317" s="296" t="str">
        <f aca="true">IF(ISNUMBER($J317),INDIRECT("N"&amp;($J317+4)),"")</f>
        <v/>
      </c>
      <c r="D317" s="291" t="str">
        <f aca="true">IF(ISNUMBER($J317),INDIRECT("O"&amp;($J317+4)),"")</f>
        <v/>
      </c>
      <c r="E317" s="291" t="str">
        <f aca="true">IF(ISNUMBER($J317),INDIRECT("P"&amp;($J317+4)),"")</f>
        <v/>
      </c>
      <c r="F317" s="300" t="str">
        <f aca="true">IF(ISNUMBER($J317),INDIRECT("Q"&amp;($J317+4)),"")</f>
        <v/>
      </c>
      <c r="G317" s="298" t="str">
        <f aca="true">IF(ISNUMBER($J317),INDIRECT("R"&amp;($J317+4)),"")</f>
        <v/>
      </c>
      <c r="H317" s="298" t="str">
        <f aca="true">IF(ISNUMBER($J317),INDIRECT("S"&amp;($J317+4)),"")</f>
        <v/>
      </c>
      <c r="J317" s="292" t="str">
        <f aca="true">IF(313&lt;=$K$1,MATCH(312.5,INDIRECT("$K$4:$K$1374"),1),"")</f>
        <v/>
      </c>
      <c r="K317" s="292" t="n">
        <f aca="false">$K$260+COUNTIF($Q$261:Q317,"&gt;0")</f>
        <v>0</v>
      </c>
      <c r="L317" s="292" t="str">
        <f aca="false">"Зарядные устройства EU"</f>
        <v>Зарядные устройства EU</v>
      </c>
      <c r="M317" s="292" t="str">
        <f aca="false">IF(ISBLANK('Зарядные устройства EU'!$A$18),"",'Зарядные устройства EU'!$A$18)</f>
        <v>BN13 Safety PD30W зарядное устройство с одним портом   набор (C на iP)(EU)</v>
      </c>
      <c r="N317" s="292" t="str">
        <f aca="false">IF(ISBLANK('Зарядные устройства EU'!$D$18),"",'Зарядные устройства EU'!$D$18)</f>
        <v>6941991106811</v>
      </c>
      <c r="O317" s="292" t="str">
        <f aca="false">IF(ISBLANK('Зарядные устройства EU'!$E$18),"",'Зарядные устройства EU'!$E$18)</f>
        <v>белый</v>
      </c>
      <c r="P317" s="292" t="str">
        <f aca="false">"ед."</f>
        <v>ед.</v>
      </c>
      <c r="Q317" s="292" t="n">
        <f aca="false">N('Зарядные устройства EU'!$G$18)</f>
        <v>0</v>
      </c>
      <c r="R317" s="299" t="n">
        <f aca="false">IF(ISBLANK('Зарядные устройства EU'!$F$18),"",'Зарядные устройства EU'!$F$18)</f>
        <v>595.29</v>
      </c>
      <c r="S317" s="292" t="str">
        <f aca="false">IF(ISBLANK('Зарядные устройства EU'!$H$18),"",'Зарядные устройства EU'!$H$18)</f>
        <v/>
      </c>
    </row>
    <row r="318" customFormat="false" ht="66" hidden="false" customHeight="true" outlineLevel="0" collapsed="false">
      <c r="A318" s="291" t="str">
        <f aca="true">IF(ISNUMBER($J318),INDIRECT("L"&amp;($J318+4)),"")</f>
        <v/>
      </c>
      <c r="B318" s="291" t="str">
        <f aca="true">IF(ISNUMBER($J318),INDIRECT("M"&amp;($J318+4)),"")</f>
        <v/>
      </c>
      <c r="C318" s="296" t="str">
        <f aca="true">IF(ISNUMBER($J318),INDIRECT("N"&amp;($J318+4)),"")</f>
        <v/>
      </c>
      <c r="D318" s="291" t="str">
        <f aca="true">IF(ISNUMBER($J318),INDIRECT("O"&amp;($J318+4)),"")</f>
        <v/>
      </c>
      <c r="E318" s="291" t="str">
        <f aca="true">IF(ISNUMBER($J318),INDIRECT("P"&amp;($J318+4)),"")</f>
        <v/>
      </c>
      <c r="F318" s="300" t="str">
        <f aca="true">IF(ISNUMBER($J318),INDIRECT("Q"&amp;($J318+4)),"")</f>
        <v/>
      </c>
      <c r="G318" s="298" t="str">
        <f aca="true">IF(ISNUMBER($J318),INDIRECT("R"&amp;($J318+4)),"")</f>
        <v/>
      </c>
      <c r="H318" s="298" t="str">
        <f aca="true">IF(ISNUMBER($J318),INDIRECT("S"&amp;($J318+4)),"")</f>
        <v/>
      </c>
      <c r="J318" s="292" t="str">
        <f aca="true">IF(314&lt;=$K$1,MATCH(313.5,INDIRECT("$K$4:$K$1374"),1),"")</f>
        <v/>
      </c>
      <c r="K318" s="292" t="n">
        <f aca="false">$K$260+COUNTIF($Q$261:Q318,"&gt;0")</f>
        <v>0</v>
      </c>
      <c r="L318" s="292" t="str">
        <f aca="false">"Зарядные устройства EU"</f>
        <v>Зарядные устройства EU</v>
      </c>
      <c r="M318" s="292" t="str">
        <f aca="false">IF(ISBLANK('Зарядные устройства EU'!$A$19),"",'Зарядные устройства EU'!$A$19)</f>
        <v>BN13 Safety PD30W зарядное устройство с одним портом   набор (Type-C на Type-C)(EU)</v>
      </c>
      <c r="N318" s="292" t="str">
        <f aca="false">IF(ISBLANK('Зарядные устройства EU'!$D$19),"",'Зарядные устройства EU'!$D$19)</f>
        <v>6941991106828</v>
      </c>
      <c r="O318" s="292" t="str">
        <f aca="false">IF(ISBLANK('Зарядные устройства EU'!$E$19),"",'Зарядные устройства EU'!$E$19)</f>
        <v>черный</v>
      </c>
      <c r="P318" s="292" t="str">
        <f aca="false">"ед."</f>
        <v>ед.</v>
      </c>
      <c r="Q318" s="292" t="n">
        <f aca="false">N('Зарядные устройства EU'!$G$19)</f>
        <v>0</v>
      </c>
      <c r="R318" s="299" t="n">
        <f aca="false">IF(ISBLANK('Зарядные устройства EU'!$F$19),"",'Зарядные устройства EU'!$F$19)</f>
        <v>554.52</v>
      </c>
      <c r="S318" s="292" t="str">
        <f aca="false">IF(ISBLANK('Зарядные устройства EU'!$H$19),"",'Зарядные устройства EU'!$H$19)</f>
        <v/>
      </c>
    </row>
    <row r="319" customFormat="false" ht="66" hidden="false" customHeight="true" outlineLevel="0" collapsed="false">
      <c r="A319" s="291" t="str">
        <f aca="true">IF(ISNUMBER($J319),INDIRECT("L"&amp;($J319+4)),"")</f>
        <v/>
      </c>
      <c r="B319" s="291" t="str">
        <f aca="true">IF(ISNUMBER($J319),INDIRECT("M"&amp;($J319+4)),"")</f>
        <v/>
      </c>
      <c r="C319" s="296" t="str">
        <f aca="true">IF(ISNUMBER($J319),INDIRECT("N"&amp;($J319+4)),"")</f>
        <v/>
      </c>
      <c r="D319" s="291" t="str">
        <f aca="true">IF(ISNUMBER($J319),INDIRECT("O"&amp;($J319+4)),"")</f>
        <v/>
      </c>
      <c r="E319" s="291" t="str">
        <f aca="true">IF(ISNUMBER($J319),INDIRECT("P"&amp;($J319+4)),"")</f>
        <v/>
      </c>
      <c r="F319" s="300" t="str">
        <f aca="true">IF(ISNUMBER($J319),INDIRECT("Q"&amp;($J319+4)),"")</f>
        <v/>
      </c>
      <c r="G319" s="298" t="str">
        <f aca="true">IF(ISNUMBER($J319),INDIRECT("R"&amp;($J319+4)),"")</f>
        <v/>
      </c>
      <c r="H319" s="298" t="str">
        <f aca="true">IF(ISNUMBER($J319),INDIRECT("S"&amp;($J319+4)),"")</f>
        <v/>
      </c>
      <c r="J319" s="292" t="str">
        <f aca="true">IF(315&lt;=$K$1,MATCH(314.5,INDIRECT("$K$4:$K$1374"),1),"")</f>
        <v/>
      </c>
      <c r="K319" s="292" t="n">
        <f aca="false">$K$260+COUNTIF($Q$261:Q319,"&gt;0")</f>
        <v>0</v>
      </c>
      <c r="L319" s="292" t="str">
        <f aca="false">"Зарядные устройства EU"</f>
        <v>Зарядные устройства EU</v>
      </c>
      <c r="M319" s="292" t="str">
        <f aca="false">IF(ISBLANK('Зарядные устройства EU'!$A$20),"",'Зарядные устройства EU'!$A$20)</f>
        <v>BN9 Reacher PD35W зарядное устройство с двумя портами (2C) набор (C на iP)(EU)</v>
      </c>
      <c r="N319" s="292" t="str">
        <f aca="false">IF(ISBLANK('Зарядные устройства EU'!$D$20),"",'Зарядные устройства EU'!$D$20)</f>
        <v>6974443388176</v>
      </c>
      <c r="O319" s="292" t="str">
        <f aca="false">IF(ISBLANK('Зарядные устройства EU'!$E$20),"",'Зарядные устройства EU'!$E$20)</f>
        <v>белый</v>
      </c>
      <c r="P319" s="292" t="str">
        <f aca="false">"ед."</f>
        <v>ед.</v>
      </c>
      <c r="Q319" s="292" t="n">
        <f aca="false">N('Зарядные устройства EU'!$G$20)</f>
        <v>0</v>
      </c>
      <c r="R319" s="299" t="n">
        <f aca="false">IF(ISBLANK('Зарядные устройства EU'!$F$20),"",'Зарядные устройства EU'!$F$20)</f>
        <v>676.84</v>
      </c>
      <c r="S319" s="292" t="str">
        <f aca="false">IF(ISBLANK('Зарядные устройства EU'!$H$20),"",'Зарядные устройства EU'!$H$20)</f>
        <v/>
      </c>
    </row>
    <row r="320" customFormat="false" ht="66" hidden="false" customHeight="true" outlineLevel="0" collapsed="false">
      <c r="A320" s="291" t="str">
        <f aca="true">IF(ISNUMBER($J320),INDIRECT("L"&amp;($J320+4)),"")</f>
        <v/>
      </c>
      <c r="B320" s="291" t="str">
        <f aca="true">IF(ISNUMBER($J320),INDIRECT("M"&amp;($J320+4)),"")</f>
        <v/>
      </c>
      <c r="C320" s="296" t="str">
        <f aca="true">IF(ISNUMBER($J320),INDIRECT("N"&amp;($J320+4)),"")</f>
        <v/>
      </c>
      <c r="D320" s="291" t="str">
        <f aca="true">IF(ISNUMBER($J320),INDIRECT("O"&amp;($J320+4)),"")</f>
        <v/>
      </c>
      <c r="E320" s="291" t="str">
        <f aca="true">IF(ISNUMBER($J320),INDIRECT("P"&amp;($J320+4)),"")</f>
        <v/>
      </c>
      <c r="F320" s="300" t="str">
        <f aca="true">IF(ISNUMBER($J320),INDIRECT("Q"&amp;($J320+4)),"")</f>
        <v/>
      </c>
      <c r="G320" s="298" t="str">
        <f aca="true">IF(ISNUMBER($J320),INDIRECT("R"&amp;($J320+4)),"")</f>
        <v/>
      </c>
      <c r="H320" s="298" t="str">
        <f aca="true">IF(ISNUMBER($J320),INDIRECT("S"&amp;($J320+4)),"")</f>
        <v/>
      </c>
      <c r="J320" s="292" t="str">
        <f aca="true">IF(316&lt;=$K$1,MATCH(315.5,INDIRECT("$K$4:$K$1374"),1),"")</f>
        <v/>
      </c>
      <c r="K320" s="292" t="n">
        <f aca="false">$K$260+COUNTIF($Q$261:Q320,"&gt;0")</f>
        <v>0</v>
      </c>
      <c r="L320" s="292" t="str">
        <f aca="false">"Зарядные устройства EU"</f>
        <v>Зарядные устройства EU</v>
      </c>
      <c r="M320" s="292" t="str">
        <f aca="false">IF(ISBLANK('Зарядные устройства EU'!$A$21),"",'Зарядные устройства EU'!$A$21)</f>
        <v>BN9 Reacher PD35W зарядное устройство с двумя портами (2C) набор (Type-C на Type-C)(EU)</v>
      </c>
      <c r="N320" s="292" t="str">
        <f aca="false">IF(ISBLANK('Зарядные устройства EU'!$D$21),"",'Зарядные устройства EU'!$D$21)</f>
        <v>6974443388183</v>
      </c>
      <c r="O320" s="292" t="str">
        <f aca="false">IF(ISBLANK('Зарядные устройства EU'!$E$21),"",'Зарядные устройства EU'!$E$21)</f>
        <v>белый</v>
      </c>
      <c r="P320" s="292" t="str">
        <f aca="false">"ед."</f>
        <v>ед.</v>
      </c>
      <c r="Q320" s="292" t="n">
        <f aca="false">N('Зарядные устройства EU'!$G$21)</f>
        <v>0</v>
      </c>
      <c r="R320" s="299" t="n">
        <f aca="false">IF(ISBLANK('Зарядные устройства EU'!$F$21),"",'Зарядные устройства EU'!$F$21)</f>
        <v>668.69</v>
      </c>
      <c r="S320" s="292" t="str">
        <f aca="false">IF(ISBLANK('Зарядные устройства EU'!$H$21),"",'Зарядные устройства EU'!$H$21)</f>
        <v/>
      </c>
    </row>
    <row r="321" customFormat="false" ht="66" hidden="false" customHeight="true" outlineLevel="0" collapsed="false">
      <c r="A321" s="291" t="str">
        <f aca="true">IF(ISNUMBER($J321),INDIRECT("L"&amp;($J321+4)),"")</f>
        <v/>
      </c>
      <c r="B321" s="291" t="str">
        <f aca="true">IF(ISNUMBER($J321),INDIRECT("M"&amp;($J321+4)),"")</f>
        <v/>
      </c>
      <c r="C321" s="296" t="str">
        <f aca="true">IF(ISNUMBER($J321),INDIRECT("N"&amp;($J321+4)),"")</f>
        <v/>
      </c>
      <c r="D321" s="291" t="str">
        <f aca="true">IF(ISNUMBER($J321),INDIRECT("O"&amp;($J321+4)),"")</f>
        <v/>
      </c>
      <c r="E321" s="291" t="str">
        <f aca="true">IF(ISNUMBER($J321),INDIRECT("P"&amp;($J321+4)),"")</f>
        <v/>
      </c>
      <c r="F321" s="300" t="str">
        <f aca="true">IF(ISNUMBER($J321),INDIRECT("Q"&amp;($J321+4)),"")</f>
        <v/>
      </c>
      <c r="G321" s="298" t="str">
        <f aca="true">IF(ISNUMBER($J321),INDIRECT("R"&amp;($J321+4)),"")</f>
        <v/>
      </c>
      <c r="H321" s="298" t="str">
        <f aca="true">IF(ISNUMBER($J321),INDIRECT("S"&amp;($J321+4)),"")</f>
        <v/>
      </c>
      <c r="J321" s="292" t="str">
        <f aca="true">IF(317&lt;=$K$1,MATCH(316.5,INDIRECT("$K$4:$K$1374"),1),"")</f>
        <v/>
      </c>
      <c r="K321" s="292" t="n">
        <f aca="false">$K$260+COUNTIF($Q$261:Q321,"&gt;0")</f>
        <v>0</v>
      </c>
      <c r="L321" s="292" t="str">
        <f aca="false">"Зарядные устройства EU"</f>
        <v>Зарядные устройства EU</v>
      </c>
      <c r="M321" s="292" t="str">
        <f aca="false">IF(ISBLANK('Зарядные устройства EU'!$A$24),"",'Зарядные устройства EU'!$A$24)</f>
        <v>BAS93A Cloud PD30W+QC3.0 зарядное устройство (EU)</v>
      </c>
      <c r="N321" s="292" t="str">
        <f aca="false">IF(ISBLANK('Зарядные устройства EU'!$D$24),"",'Зарядные устройства EU'!$D$24)</f>
        <v>6941991129209</v>
      </c>
      <c r="O321" s="292" t="str">
        <f aca="false">IF(ISBLANK('Зарядные устройства EU'!$E$24),"",'Зарядные устройства EU'!$E$24)</f>
        <v>белый</v>
      </c>
      <c r="P321" s="292" t="str">
        <f aca="false">"ед."</f>
        <v>ед.</v>
      </c>
      <c r="Q321" s="292" t="n">
        <f aca="false">N('Зарядные устройства EU'!$G$24)</f>
        <v>0</v>
      </c>
      <c r="R321" s="299" t="n">
        <f aca="false">IF(ISBLANK('Зарядные устройства EU'!$F$24),"",'Зарядные устройства EU'!$F$24)</f>
        <v>195.71</v>
      </c>
      <c r="S321" s="292" t="str">
        <f aca="false">IF(ISBLANK('Зарядные устройства EU'!$H$24),"",'Зарядные устройства EU'!$H$24)</f>
        <v/>
      </c>
    </row>
    <row r="322" customFormat="false" ht="66" hidden="false" customHeight="true" outlineLevel="0" collapsed="false">
      <c r="A322" s="291" t="str">
        <f aca="true">IF(ISNUMBER($J322),INDIRECT("L"&amp;($J322+4)),"")</f>
        <v/>
      </c>
      <c r="B322" s="291" t="str">
        <f aca="true">IF(ISNUMBER($J322),INDIRECT("M"&amp;($J322+4)),"")</f>
        <v/>
      </c>
      <c r="C322" s="296" t="str">
        <f aca="true">IF(ISNUMBER($J322),INDIRECT("N"&amp;($J322+4)),"")</f>
        <v/>
      </c>
      <c r="D322" s="291" t="str">
        <f aca="true">IF(ISNUMBER($J322),INDIRECT("O"&amp;($J322+4)),"")</f>
        <v/>
      </c>
      <c r="E322" s="291" t="str">
        <f aca="true">IF(ISNUMBER($J322),INDIRECT("P"&amp;($J322+4)),"")</f>
        <v/>
      </c>
      <c r="F322" s="300" t="str">
        <f aca="true">IF(ISNUMBER($J322),INDIRECT("Q"&amp;($J322+4)),"")</f>
        <v/>
      </c>
      <c r="G322" s="298" t="str">
        <f aca="true">IF(ISNUMBER($J322),INDIRECT("R"&amp;($J322+4)),"")</f>
        <v/>
      </c>
      <c r="H322" s="298" t="str">
        <f aca="true">IF(ISNUMBER($J322),INDIRECT("S"&amp;($J322+4)),"")</f>
        <v/>
      </c>
      <c r="J322" s="292" t="str">
        <f aca="true">IF(318&lt;=$K$1,MATCH(317.5,INDIRECT("$K$4:$K$1374"),1),"")</f>
        <v/>
      </c>
      <c r="K322" s="292" t="n">
        <f aca="false">$K$260+COUNTIF($Q$261:Q322,"&gt;0")</f>
        <v>0</v>
      </c>
      <c r="L322" s="292" t="str">
        <f aca="false">"Зарядные устройства EU"</f>
        <v>Зарядные устройства EU</v>
      </c>
      <c r="M322" s="292" t="str">
        <f aca="false">IF(ISBLANK('Зарядные устройства EU'!$A$25),"",'Зарядные устройства EU'!$A$25)</f>
        <v>BAS93A Cloud PD30W+QC3.0 зарядное  устройство набор (C на C)(EU)</v>
      </c>
      <c r="N322" s="292" t="str">
        <f aca="false">IF(ISBLANK('Зарядные устройства EU'!$D$25),"",'Зарядные устройства EU'!$D$25)</f>
        <v>6941991129216</v>
      </c>
      <c r="O322" s="292" t="str">
        <f aca="false">IF(ISBLANK('Зарядные устройства EU'!$E$25),"",'Зарядные устройства EU'!$E$25)</f>
        <v>белый</v>
      </c>
      <c r="P322" s="292" t="str">
        <f aca="false">"ед."</f>
        <v>ед.</v>
      </c>
      <c r="Q322" s="292" t="n">
        <f aca="false">N('Зарядные устройства EU'!$G$25)</f>
        <v>0</v>
      </c>
      <c r="R322" s="299" t="n">
        <f aca="false">IF(ISBLANK('Зарядные устройства EU'!$F$25),"",'Зарядные устройства EU'!$F$25)</f>
        <v>236.49</v>
      </c>
      <c r="S322" s="292" t="str">
        <f aca="false">IF(ISBLANK('Зарядные устройства EU'!$H$25),"",'Зарядные устройства EU'!$H$25)</f>
        <v/>
      </c>
    </row>
    <row r="323" customFormat="false" ht="66" hidden="false" customHeight="true" outlineLevel="0" collapsed="false">
      <c r="A323" s="291" t="str">
        <f aca="true">IF(ISNUMBER($J323),INDIRECT("L"&amp;($J323+4)),"")</f>
        <v/>
      </c>
      <c r="B323" s="291" t="str">
        <f aca="true">IF(ISNUMBER($J323),INDIRECT("M"&amp;($J323+4)),"")</f>
        <v/>
      </c>
      <c r="C323" s="296" t="str">
        <f aca="true">IF(ISNUMBER($J323),INDIRECT("N"&amp;($J323+4)),"")</f>
        <v/>
      </c>
      <c r="D323" s="291" t="str">
        <f aca="true">IF(ISNUMBER($J323),INDIRECT("O"&amp;($J323+4)),"")</f>
        <v/>
      </c>
      <c r="E323" s="291" t="str">
        <f aca="true">IF(ISNUMBER($J323),INDIRECT("P"&amp;($J323+4)),"")</f>
        <v/>
      </c>
      <c r="F323" s="300" t="str">
        <f aca="true">IF(ISNUMBER($J323),INDIRECT("Q"&amp;($J323+4)),"")</f>
        <v/>
      </c>
      <c r="G323" s="298" t="str">
        <f aca="true">IF(ISNUMBER($J323),INDIRECT("R"&amp;($J323+4)),"")</f>
        <v/>
      </c>
      <c r="H323" s="298" t="str">
        <f aca="true">IF(ISNUMBER($J323),INDIRECT("S"&amp;($J323+4)),"")</f>
        <v/>
      </c>
      <c r="J323" s="292" t="str">
        <f aca="true">IF(319&lt;=$K$1,MATCH(318.5,INDIRECT("$K$4:$K$1374"),1),"")</f>
        <v/>
      </c>
      <c r="K323" s="292" t="n">
        <f aca="false">$K$260+COUNTIF($Q$261:Q323,"&gt;0")</f>
        <v>0</v>
      </c>
      <c r="L323" s="292" t="str">
        <f aca="false">"Зарядные устройства EU"</f>
        <v>Зарядные устройства EU</v>
      </c>
      <c r="M323" s="292" t="str">
        <f aca="false">IF(ISBLANK('Зарядные устройства EU'!$A$26),"",'Зарядные устройства EU'!$A$26)</f>
        <v>BAS92A Cloud PD25W зарядное устройство (EU)</v>
      </c>
      <c r="N323" s="292" t="str">
        <f aca="false">IF(ISBLANK('Зарядные устройства EU'!$D$26),"",'Зарядные устройства EU'!$D$26)</f>
        <v>6941991129186</v>
      </c>
      <c r="O323" s="292" t="str">
        <f aca="false">IF(ISBLANK('Зарядные устройства EU'!$E$26),"",'Зарядные устройства EU'!$E$26)</f>
        <v>белый</v>
      </c>
      <c r="P323" s="292" t="str">
        <f aca="false">"ед."</f>
        <v>ед.</v>
      </c>
      <c r="Q323" s="292" t="n">
        <f aca="false">N('Зарядные устройства EU'!$G$26)</f>
        <v>0</v>
      </c>
      <c r="R323" s="299" t="n">
        <f aca="false">IF(ISBLANK('Зарядные устройства EU'!$F$26),"",'Зарядные устройства EU'!$F$26)</f>
        <v>171.25</v>
      </c>
      <c r="S323" s="292" t="str">
        <f aca="false">IF(ISBLANK('Зарядные устройства EU'!$H$26),"",'Зарядные устройства EU'!$H$26)</f>
        <v/>
      </c>
    </row>
    <row r="324" customFormat="false" ht="66" hidden="false" customHeight="true" outlineLevel="0" collapsed="false">
      <c r="A324" s="291" t="str">
        <f aca="true">IF(ISNUMBER($J324),INDIRECT("L"&amp;($J324+4)),"")</f>
        <v/>
      </c>
      <c r="B324" s="291" t="str">
        <f aca="true">IF(ISNUMBER($J324),INDIRECT("M"&amp;($J324+4)),"")</f>
        <v/>
      </c>
      <c r="C324" s="296" t="str">
        <f aca="true">IF(ISNUMBER($J324),INDIRECT("N"&amp;($J324+4)),"")</f>
        <v/>
      </c>
      <c r="D324" s="291" t="str">
        <f aca="true">IF(ISNUMBER($J324),INDIRECT("O"&amp;($J324+4)),"")</f>
        <v/>
      </c>
      <c r="E324" s="291" t="str">
        <f aca="true">IF(ISNUMBER($J324),INDIRECT("P"&amp;($J324+4)),"")</f>
        <v/>
      </c>
      <c r="F324" s="300" t="str">
        <f aca="true">IF(ISNUMBER($J324),INDIRECT("Q"&amp;($J324+4)),"")</f>
        <v/>
      </c>
      <c r="G324" s="298" t="str">
        <f aca="true">IF(ISNUMBER($J324),INDIRECT("R"&amp;($J324+4)),"")</f>
        <v/>
      </c>
      <c r="H324" s="298" t="str">
        <f aca="true">IF(ISNUMBER($J324),INDIRECT("S"&amp;($J324+4)),"")</f>
        <v/>
      </c>
      <c r="J324" s="292" t="str">
        <f aca="true">IF(320&lt;=$K$1,MATCH(319.5,INDIRECT("$K$4:$K$1374"),1),"")</f>
        <v/>
      </c>
      <c r="K324" s="292" t="n">
        <f aca="false">$K$260+COUNTIF($Q$261:Q324,"&gt;0")</f>
        <v>0</v>
      </c>
      <c r="L324" s="292" t="str">
        <f aca="false">"Зарядные устройства EU"</f>
        <v>Зарядные устройства EU</v>
      </c>
      <c r="M324" s="292" t="str">
        <f aca="false">IF(ISBLANK('Зарядные устройства EU'!$A$27),"",'Зарядные устройства EU'!$A$27)</f>
        <v>BAS92A Cloud PD25W зарядное  устройство набор (C на C)(EU)</v>
      </c>
      <c r="N324" s="292" t="str">
        <f aca="false">IF(ISBLANK('Зарядные устройства EU'!$D$27),"",'Зарядные устройства EU'!$D$27)</f>
        <v>6941991129193</v>
      </c>
      <c r="O324" s="292" t="str">
        <f aca="false">IF(ISBLANK('Зарядные устройства EU'!$E$27),"",'Зарядные устройства EU'!$E$27)</f>
        <v>белый</v>
      </c>
      <c r="P324" s="292" t="str">
        <f aca="false">"ед."</f>
        <v>ед.</v>
      </c>
      <c r="Q324" s="292" t="n">
        <f aca="false">N('Зарядные устройства EU'!$G$27)</f>
        <v>0</v>
      </c>
      <c r="R324" s="299" t="n">
        <f aca="false">IF(ISBLANK('Зарядные устройства EU'!$F$27),"",'Зарядные устройства EU'!$F$27)</f>
        <v>208.76</v>
      </c>
      <c r="S324" s="292" t="str">
        <f aca="false">IF(ISBLANK('Зарядные устройства EU'!$H$27),"",'Зарядные устройства EU'!$H$27)</f>
        <v/>
      </c>
    </row>
    <row r="325" customFormat="false" ht="66" hidden="false" customHeight="true" outlineLevel="0" collapsed="false">
      <c r="A325" s="291" t="str">
        <f aca="true">IF(ISNUMBER($J325),INDIRECT("L"&amp;($J325+4)),"")</f>
        <v/>
      </c>
      <c r="B325" s="291" t="str">
        <f aca="true">IF(ISNUMBER($J325),INDIRECT("M"&amp;($J325+4)),"")</f>
        <v/>
      </c>
      <c r="C325" s="296" t="str">
        <f aca="true">IF(ISNUMBER($J325),INDIRECT("N"&amp;($J325+4)),"")</f>
        <v/>
      </c>
      <c r="D325" s="291" t="str">
        <f aca="true">IF(ISNUMBER($J325),INDIRECT("O"&amp;($J325+4)),"")</f>
        <v/>
      </c>
      <c r="E325" s="291" t="str">
        <f aca="true">IF(ISNUMBER($J325),INDIRECT("P"&amp;($J325+4)),"")</f>
        <v/>
      </c>
      <c r="F325" s="300" t="str">
        <f aca="true">IF(ISNUMBER($J325),INDIRECT("Q"&amp;($J325+4)),"")</f>
        <v/>
      </c>
      <c r="G325" s="298" t="str">
        <f aca="true">IF(ISNUMBER($J325),INDIRECT("R"&amp;($J325+4)),"")</f>
        <v/>
      </c>
      <c r="H325" s="298" t="str">
        <f aca="true">IF(ISNUMBER($J325),INDIRECT("S"&amp;($J325+4)),"")</f>
        <v/>
      </c>
      <c r="J325" s="292" t="str">
        <f aca="true">IF(321&lt;=$K$1,MATCH(320.5,INDIRECT("$K$4:$K$1374"),1),"")</f>
        <v/>
      </c>
      <c r="K325" s="292" t="n">
        <f aca="false">$K$260+COUNTIF($Q$261:Q325,"&gt;0")</f>
        <v>0</v>
      </c>
      <c r="L325" s="292" t="str">
        <f aca="false">"Зарядные устройства EU"</f>
        <v>Зарядные устройства EU</v>
      </c>
      <c r="M325" s="292" t="str">
        <f aca="false">IF(ISBLANK('Зарядные устройства EU'!$A$28),"",'Зарядные устройства EU'!$A$28)</f>
        <v>BAS91A Cloud 22.5W зарядное устройство (EU)</v>
      </c>
      <c r="N325" s="292" t="str">
        <f aca="false">IF(ISBLANK('Зарядные устройства EU'!$D$28),"",'Зарядные устройства EU'!$D$28)</f>
        <v>6941991129162</v>
      </c>
      <c r="O325" s="292" t="str">
        <f aca="false">IF(ISBLANK('Зарядные устройства EU'!$E$28),"",'Зарядные устройства EU'!$E$28)</f>
        <v>белый</v>
      </c>
      <c r="P325" s="292" t="str">
        <f aca="false">"ед."</f>
        <v>ед.</v>
      </c>
      <c r="Q325" s="292" t="n">
        <f aca="false">N('Зарядные устройства EU'!$G$28)</f>
        <v>0</v>
      </c>
      <c r="R325" s="299" t="n">
        <f aca="false">IF(ISBLANK('Зарядные устройства EU'!$F$28),"",'Зарядные устройства EU'!$F$28)</f>
        <v>143.52</v>
      </c>
      <c r="S325" s="292" t="str">
        <f aca="false">IF(ISBLANK('Зарядные устройства EU'!$H$28),"",'Зарядные устройства EU'!$H$28)</f>
        <v/>
      </c>
    </row>
    <row r="326" customFormat="false" ht="66" hidden="false" customHeight="true" outlineLevel="0" collapsed="false">
      <c r="A326" s="291" t="str">
        <f aca="true">IF(ISNUMBER($J326),INDIRECT("L"&amp;($J326+4)),"")</f>
        <v/>
      </c>
      <c r="B326" s="291" t="str">
        <f aca="true">IF(ISNUMBER($J326),INDIRECT("M"&amp;($J326+4)),"")</f>
        <v/>
      </c>
      <c r="C326" s="296" t="str">
        <f aca="true">IF(ISNUMBER($J326),INDIRECT("N"&amp;($J326+4)),"")</f>
        <v/>
      </c>
      <c r="D326" s="291" t="str">
        <f aca="true">IF(ISNUMBER($J326),INDIRECT("O"&amp;($J326+4)),"")</f>
        <v/>
      </c>
      <c r="E326" s="291" t="str">
        <f aca="true">IF(ISNUMBER($J326),INDIRECT("P"&amp;($J326+4)),"")</f>
        <v/>
      </c>
      <c r="F326" s="300" t="str">
        <f aca="true">IF(ISNUMBER($J326),INDIRECT("Q"&amp;($J326+4)),"")</f>
        <v/>
      </c>
      <c r="G326" s="298" t="str">
        <f aca="true">IF(ISNUMBER($J326),INDIRECT("R"&amp;($J326+4)),"")</f>
        <v/>
      </c>
      <c r="H326" s="298" t="str">
        <f aca="true">IF(ISNUMBER($J326),INDIRECT("S"&amp;($J326+4)),"")</f>
        <v/>
      </c>
      <c r="J326" s="292" t="str">
        <f aca="true">IF(322&lt;=$K$1,MATCH(321.5,INDIRECT("$K$4:$K$1374"),1),"")</f>
        <v/>
      </c>
      <c r="K326" s="292" t="n">
        <f aca="false">$K$260+COUNTIF($Q$261:Q326,"&gt;0")</f>
        <v>0</v>
      </c>
      <c r="L326" s="292" t="str">
        <f aca="false">"Зарядные устройства EU"</f>
        <v>Зарядные устройства EU</v>
      </c>
      <c r="M326" s="292" t="str">
        <f aca="false">IF(ISBLANK('Зарядные устройства EU'!$A$29),"",'Зарядные устройства EU'!$A$29)</f>
        <v>BAS91A Cloud 22.5W зарядное  устройство набор (Type-C)(EU)</v>
      </c>
      <c r="N326" s="292" t="str">
        <f aca="false">IF(ISBLANK('Зарядные устройства EU'!$D$29),"",'Зарядные устройства EU'!$D$29)</f>
        <v>6941991129179</v>
      </c>
      <c r="O326" s="292" t="str">
        <f aca="false">IF(ISBLANK('Зарядные устройства EU'!$E$29),"",'Зарядные устройства EU'!$E$29)</f>
        <v>белый</v>
      </c>
      <c r="P326" s="292" t="str">
        <f aca="false">"ед."</f>
        <v>ед.</v>
      </c>
      <c r="Q326" s="292" t="n">
        <f aca="false">N('Зарядные устройства EU'!$G$29)</f>
        <v>0</v>
      </c>
      <c r="R326" s="299" t="n">
        <f aca="false">IF(ISBLANK('Зарядные устройства EU'!$F$29),"",'Зарядные устройства EU'!$F$29)</f>
        <v>171.25</v>
      </c>
      <c r="S326" s="292" t="str">
        <f aca="false">IF(ISBLANK('Зарядные устройства EU'!$H$29),"",'Зарядные устройства EU'!$H$29)</f>
        <v/>
      </c>
    </row>
    <row r="327" customFormat="false" ht="66" hidden="false" customHeight="true" outlineLevel="0" collapsed="false">
      <c r="A327" s="291" t="str">
        <f aca="true">IF(ISNUMBER($J327),INDIRECT("L"&amp;($J327+4)),"")</f>
        <v/>
      </c>
      <c r="B327" s="291" t="str">
        <f aca="true">IF(ISNUMBER($J327),INDIRECT("M"&amp;($J327+4)),"")</f>
        <v/>
      </c>
      <c r="C327" s="296" t="str">
        <f aca="true">IF(ISNUMBER($J327),INDIRECT("N"&amp;($J327+4)),"")</f>
        <v/>
      </c>
      <c r="D327" s="291" t="str">
        <f aca="true">IF(ISNUMBER($J327),INDIRECT("O"&amp;($J327+4)),"")</f>
        <v/>
      </c>
      <c r="E327" s="291" t="str">
        <f aca="true">IF(ISNUMBER($J327),INDIRECT("P"&amp;($J327+4)),"")</f>
        <v/>
      </c>
      <c r="F327" s="300" t="str">
        <f aca="true">IF(ISNUMBER($J327),INDIRECT("Q"&amp;($J327+4)),"")</f>
        <v/>
      </c>
      <c r="G327" s="298" t="str">
        <f aca="true">IF(ISNUMBER($J327),INDIRECT("R"&amp;($J327+4)),"")</f>
        <v/>
      </c>
      <c r="H327" s="298" t="str">
        <f aca="true">IF(ISNUMBER($J327),INDIRECT("S"&amp;($J327+4)),"")</f>
        <v/>
      </c>
      <c r="J327" s="292" t="str">
        <f aca="true">IF(323&lt;=$K$1,MATCH(322.5,INDIRECT("$K$4:$K$1374"),1),"")</f>
        <v/>
      </c>
      <c r="K327" s="292" t="n">
        <f aca="false">$K$260+COUNTIF($Q$261:Q327,"&gt;0")</f>
        <v>0</v>
      </c>
      <c r="L327" s="292" t="str">
        <f aca="false">"Зарядные устройства EU"</f>
        <v>Зарядные устройства EU</v>
      </c>
      <c r="M327" s="292" t="str">
        <f aca="false">IF(ISBLANK('Зарядные устройства EU'!$A$30),"",'Зарядные устройства EU'!$A$30)</f>
        <v>BAS86A Star PD40W зарядное устройство (EU)</v>
      </c>
      <c r="N327" s="292" t="str">
        <f aca="false">IF(ISBLANK('Зарядные устройства EU'!$D$30),"",'Зарядные устройства EU'!$D$30)</f>
        <v>6941991131004</v>
      </c>
      <c r="O327" s="292" t="str">
        <f aca="false">IF(ISBLANK('Зарядные устройства EU'!$E$30),"",'Зарядные устройства EU'!$E$30)</f>
        <v>черный</v>
      </c>
      <c r="P327" s="292" t="str">
        <f aca="false">"ед."</f>
        <v>ед.</v>
      </c>
      <c r="Q327" s="292" t="n">
        <f aca="false">N('Зарядные устройства EU'!$G$30)</f>
        <v>0</v>
      </c>
      <c r="R327" s="299" t="n">
        <f aca="false">IF(ISBLANK('Зарядные устройства EU'!$F$30),"",'Зарядные устройства EU'!$F$30)</f>
        <v>309.88</v>
      </c>
      <c r="S327" s="292" t="str">
        <f aca="false">IF(ISBLANK('Зарядные устройства EU'!$H$30),"",'Зарядные устройства EU'!$H$30)</f>
        <v/>
      </c>
    </row>
    <row r="328" customFormat="false" ht="66" hidden="false" customHeight="true" outlineLevel="0" collapsed="false">
      <c r="A328" s="291" t="str">
        <f aca="true">IF(ISNUMBER($J328),INDIRECT("L"&amp;($J328+4)),"")</f>
        <v/>
      </c>
      <c r="B328" s="291" t="str">
        <f aca="true">IF(ISNUMBER($J328),INDIRECT("M"&amp;($J328+4)),"")</f>
        <v/>
      </c>
      <c r="C328" s="296" t="str">
        <f aca="true">IF(ISNUMBER($J328),INDIRECT("N"&amp;($J328+4)),"")</f>
        <v/>
      </c>
      <c r="D328" s="291" t="str">
        <f aca="true">IF(ISNUMBER($J328),INDIRECT("O"&amp;($J328+4)),"")</f>
        <v/>
      </c>
      <c r="E328" s="291" t="str">
        <f aca="true">IF(ISNUMBER($J328),INDIRECT("P"&amp;($J328+4)),"")</f>
        <v/>
      </c>
      <c r="F328" s="300" t="str">
        <f aca="true">IF(ISNUMBER($J328),INDIRECT("Q"&amp;($J328+4)),"")</f>
        <v/>
      </c>
      <c r="G328" s="298" t="str">
        <f aca="true">IF(ISNUMBER($J328),INDIRECT("R"&amp;($J328+4)),"")</f>
        <v/>
      </c>
      <c r="H328" s="298" t="str">
        <f aca="true">IF(ISNUMBER($J328),INDIRECT("S"&amp;($J328+4)),"")</f>
        <v/>
      </c>
      <c r="J328" s="292" t="str">
        <f aca="true">IF(324&lt;=$K$1,MATCH(323.5,INDIRECT("$K$4:$K$1374"),1),"")</f>
        <v/>
      </c>
      <c r="K328" s="292" t="n">
        <f aca="false">$K$260+COUNTIF($Q$261:Q328,"&gt;0")</f>
        <v>0</v>
      </c>
      <c r="L328" s="292" t="str">
        <f aca="false">"Зарядные устройства EU"</f>
        <v>Зарядные устройства EU</v>
      </c>
      <c r="M328" s="292" t="str">
        <f aca="false">IF(ISBLANK('Зарядные устройства EU'!$A$31),"",'Зарядные устройства EU'!$A$31)</f>
        <v>BAS86A Star PD40W зарядное устройство  набор (C на C)(EU)</v>
      </c>
      <c r="N328" s="292" t="str">
        <f aca="false">IF(ISBLANK('Зарядные устройства EU'!$D$31),"",'Зарядные устройства EU'!$D$31)</f>
        <v>6941991131011</v>
      </c>
      <c r="O328" s="292" t="str">
        <f aca="false">IF(ISBLANK('Зарядные устройства EU'!$E$31),"",'Зарядные устройства EU'!$E$31)</f>
        <v>черный</v>
      </c>
      <c r="P328" s="292" t="str">
        <f aca="false">"ед."</f>
        <v>ед.</v>
      </c>
      <c r="Q328" s="292" t="n">
        <f aca="false">N('Зарядные устройства EU'!$G$31)</f>
        <v>0</v>
      </c>
      <c r="R328" s="299" t="n">
        <f aca="false">IF(ISBLANK('Зарядные устройства EU'!$F$31),"",'Зарядные устройства EU'!$F$31)</f>
        <v>350.65</v>
      </c>
      <c r="S328" s="292" t="str">
        <f aca="false">IF(ISBLANK('Зарядные устройства EU'!$H$31),"",'Зарядные устройства EU'!$H$31)</f>
        <v/>
      </c>
    </row>
    <row r="329" customFormat="false" ht="66" hidden="false" customHeight="true" outlineLevel="0" collapsed="false">
      <c r="A329" s="291" t="str">
        <f aca="true">IF(ISNUMBER($J329),INDIRECT("L"&amp;($J329+4)),"")</f>
        <v/>
      </c>
      <c r="B329" s="291" t="str">
        <f aca="true">IF(ISNUMBER($J329),INDIRECT("M"&amp;($J329+4)),"")</f>
        <v/>
      </c>
      <c r="C329" s="296" t="str">
        <f aca="true">IF(ISNUMBER($J329),INDIRECT("N"&amp;($J329+4)),"")</f>
        <v/>
      </c>
      <c r="D329" s="291" t="str">
        <f aca="true">IF(ISNUMBER($J329),INDIRECT("O"&amp;($J329+4)),"")</f>
        <v/>
      </c>
      <c r="E329" s="291" t="str">
        <f aca="true">IF(ISNUMBER($J329),INDIRECT("P"&amp;($J329+4)),"")</f>
        <v/>
      </c>
      <c r="F329" s="300" t="str">
        <f aca="true">IF(ISNUMBER($J329),INDIRECT("Q"&amp;($J329+4)),"")</f>
        <v/>
      </c>
      <c r="G329" s="298" t="str">
        <f aca="true">IF(ISNUMBER($J329),INDIRECT("R"&amp;($J329+4)),"")</f>
        <v/>
      </c>
      <c r="H329" s="298" t="str">
        <f aca="true">IF(ISNUMBER($J329),INDIRECT("S"&amp;($J329+4)),"")</f>
        <v/>
      </c>
      <c r="J329" s="292" t="str">
        <f aca="true">IF(325&lt;=$K$1,MATCH(324.5,INDIRECT("$K$4:$K$1374"),1),"")</f>
        <v/>
      </c>
      <c r="K329" s="292" t="n">
        <f aca="false">$K$260+COUNTIF($Q$261:Q329,"&gt;0")</f>
        <v>0</v>
      </c>
      <c r="L329" s="292" t="str">
        <f aca="false">"Зарядные устройства EU"</f>
        <v>Зарядные устройства EU</v>
      </c>
      <c r="M329" s="292" t="str">
        <f aca="false">IF(ISBLANK('Зарядные устройства EU'!$A$32),"",'Зарядные устройства EU'!$A$32)</f>
        <v>BAS85A Star PD30W+QC3.0 зарядное устройство (EU)</v>
      </c>
      <c r="N329" s="292" t="str">
        <f aca="false">IF(ISBLANK('Зарядные устройства EU'!$D$32),"",'Зарядные устройства EU'!$D$32)</f>
        <v>6941991126840</v>
      </c>
      <c r="O329" s="292" t="str">
        <f aca="false">IF(ISBLANK('Зарядные устройства EU'!$E$32),"",'Зарядные устройства EU'!$E$32)</f>
        <v>черный</v>
      </c>
      <c r="P329" s="292" t="str">
        <f aca="false">"ед."</f>
        <v>ед.</v>
      </c>
      <c r="Q329" s="292" t="n">
        <f aca="false">N('Зарядные устройства EU'!$G$32)</f>
        <v>0</v>
      </c>
      <c r="R329" s="299" t="n">
        <f aca="false">IF(ISBLANK('Зарядные устройства EU'!$F$32),"",'Зарядные устройства EU'!$F$32)</f>
        <v>195.71</v>
      </c>
      <c r="S329" s="292" t="str">
        <f aca="false">IF(ISBLANK('Зарядные устройства EU'!$H$32),"",'Зарядные устройства EU'!$H$32)</f>
        <v/>
      </c>
    </row>
    <row r="330" customFormat="false" ht="66" hidden="false" customHeight="true" outlineLevel="0" collapsed="false">
      <c r="A330" s="291" t="str">
        <f aca="true">IF(ISNUMBER($J330),INDIRECT("L"&amp;($J330+4)),"")</f>
        <v/>
      </c>
      <c r="B330" s="291" t="str">
        <f aca="true">IF(ISNUMBER($J330),INDIRECT("M"&amp;($J330+4)),"")</f>
        <v/>
      </c>
      <c r="C330" s="296" t="str">
        <f aca="true">IF(ISNUMBER($J330),INDIRECT("N"&amp;($J330+4)),"")</f>
        <v/>
      </c>
      <c r="D330" s="291" t="str">
        <f aca="true">IF(ISNUMBER($J330),INDIRECT("O"&amp;($J330+4)),"")</f>
        <v/>
      </c>
      <c r="E330" s="291" t="str">
        <f aca="true">IF(ISNUMBER($J330),INDIRECT("P"&amp;($J330+4)),"")</f>
        <v/>
      </c>
      <c r="F330" s="300" t="str">
        <f aca="true">IF(ISNUMBER($J330),INDIRECT("Q"&amp;($J330+4)),"")</f>
        <v/>
      </c>
      <c r="G330" s="298" t="str">
        <f aca="true">IF(ISNUMBER($J330),INDIRECT("R"&amp;($J330+4)),"")</f>
        <v/>
      </c>
      <c r="H330" s="298" t="str">
        <f aca="true">IF(ISNUMBER($J330),INDIRECT("S"&amp;($J330+4)),"")</f>
        <v/>
      </c>
      <c r="J330" s="292" t="str">
        <f aca="true">IF(326&lt;=$K$1,MATCH(325.5,INDIRECT("$K$4:$K$1374"),1),"")</f>
        <v/>
      </c>
      <c r="K330" s="292" t="n">
        <f aca="false">$K$260+COUNTIF($Q$261:Q330,"&gt;0")</f>
        <v>0</v>
      </c>
      <c r="L330" s="292" t="str">
        <f aca="false">"Зарядные устройства EU"</f>
        <v>Зарядные устройства EU</v>
      </c>
      <c r="M330" s="292" t="str">
        <f aca="false">IF(ISBLANK('Зарядные устройства EU'!$A$33),"",'Зарядные устройства EU'!$A$33)</f>
        <v>BAS84A Star single port PD25W зарядное устройство (EU)</v>
      </c>
      <c r="N330" s="292" t="str">
        <f aca="false">IF(ISBLANK('Зарядные устройства EU'!$D$33),"",'Зарядные устройства EU'!$D$33)</f>
        <v>6941991126826</v>
      </c>
      <c r="O330" s="292" t="str">
        <f aca="false">IF(ISBLANK('Зарядные устройства EU'!$E$33),"",'Зарядные устройства EU'!$E$33)</f>
        <v>черный</v>
      </c>
      <c r="P330" s="292" t="str">
        <f aca="false">"ед."</f>
        <v>ед.</v>
      </c>
      <c r="Q330" s="292" t="n">
        <f aca="false">N('Зарядные устройства EU'!$G$33)</f>
        <v>0</v>
      </c>
      <c r="R330" s="299" t="n">
        <f aca="false">IF(ISBLANK('Зарядные устройства EU'!$F$33),"",'Зарядные устройства EU'!$F$33)</f>
        <v>174.51</v>
      </c>
      <c r="S330" s="292" t="str">
        <f aca="false">IF(ISBLANK('Зарядные устройства EU'!$H$33),"",'Зарядные устройства EU'!$H$33)</f>
        <v/>
      </c>
    </row>
    <row r="331" customFormat="false" ht="66" hidden="false" customHeight="true" outlineLevel="0" collapsed="false">
      <c r="A331" s="291" t="str">
        <f aca="true">IF(ISNUMBER($J331),INDIRECT("L"&amp;($J331+4)),"")</f>
        <v/>
      </c>
      <c r="B331" s="291" t="str">
        <f aca="true">IF(ISNUMBER($J331),INDIRECT("M"&amp;($J331+4)),"")</f>
        <v/>
      </c>
      <c r="C331" s="296" t="str">
        <f aca="true">IF(ISNUMBER($J331),INDIRECT("N"&amp;($J331+4)),"")</f>
        <v/>
      </c>
      <c r="D331" s="291" t="str">
        <f aca="true">IF(ISNUMBER($J331),INDIRECT("O"&amp;($J331+4)),"")</f>
        <v/>
      </c>
      <c r="E331" s="291" t="str">
        <f aca="true">IF(ISNUMBER($J331),INDIRECT("P"&amp;($J331+4)),"")</f>
        <v/>
      </c>
      <c r="F331" s="300" t="str">
        <f aca="true">IF(ISNUMBER($J331),INDIRECT("Q"&amp;($J331+4)),"")</f>
        <v/>
      </c>
      <c r="G331" s="298" t="str">
        <f aca="true">IF(ISNUMBER($J331),INDIRECT("R"&amp;($J331+4)),"")</f>
        <v/>
      </c>
      <c r="H331" s="298" t="str">
        <f aca="true">IF(ISNUMBER($J331),INDIRECT("S"&amp;($J331+4)),"")</f>
        <v/>
      </c>
      <c r="J331" s="292" t="str">
        <f aca="true">IF(327&lt;=$K$1,MATCH(326.5,INDIRECT("$K$4:$K$1374"),1),"")</f>
        <v/>
      </c>
      <c r="K331" s="292" t="n">
        <f aca="false">$K$260+COUNTIF($Q$261:Q331,"&gt;0")</f>
        <v>0</v>
      </c>
      <c r="L331" s="292" t="str">
        <f aca="false">"Зарядные устройства EU"</f>
        <v>Зарядные устройства EU</v>
      </c>
      <c r="M331" s="292" t="str">
        <f aca="false">IF(ISBLANK('Зарядные устройства EU'!$A$34),"",'Зарядные устройства EU'!$A$34)</f>
        <v>BAS83A Star PD20W+QC3.0 зарядное устройство (EU)</v>
      </c>
      <c r="N331" s="292" t="str">
        <f aca="false">IF(ISBLANK('Зарядные устройства EU'!$D$34),"",'Зарядные устройства EU'!$D$34)</f>
        <v>6941991126765</v>
      </c>
      <c r="O331" s="292" t="str">
        <f aca="false">IF(ISBLANK('Зарядные устройства EU'!$E$34),"",'Зарядные устройства EU'!$E$34)</f>
        <v>черный</v>
      </c>
      <c r="P331" s="292" t="str">
        <f aca="false">"ед."</f>
        <v>ед.</v>
      </c>
      <c r="Q331" s="292" t="n">
        <f aca="false">N('Зарядные устройства EU'!$G$34)</f>
        <v>0</v>
      </c>
      <c r="R331" s="299" t="n">
        <f aca="false">IF(ISBLANK('Зарядные устройства EU'!$F$34),"",'Зарядные устройства EU'!$F$34)</f>
        <v>153.31</v>
      </c>
      <c r="S331" s="292" t="str">
        <f aca="false">IF(ISBLANK('Зарядные устройства EU'!$H$34),"",'Зарядные устройства EU'!$H$34)</f>
        <v/>
      </c>
    </row>
    <row r="332" customFormat="false" ht="66" hidden="false" customHeight="true" outlineLevel="0" collapsed="false">
      <c r="A332" s="291" t="str">
        <f aca="true">IF(ISNUMBER($J332),INDIRECT("L"&amp;($J332+4)),"")</f>
        <v/>
      </c>
      <c r="B332" s="291" t="str">
        <f aca="true">IF(ISNUMBER($J332),INDIRECT("M"&amp;($J332+4)),"")</f>
        <v/>
      </c>
      <c r="C332" s="296" t="str">
        <f aca="true">IF(ISNUMBER($J332),INDIRECT("N"&amp;($J332+4)),"")</f>
        <v/>
      </c>
      <c r="D332" s="291" t="str">
        <f aca="true">IF(ISNUMBER($J332),INDIRECT("O"&amp;($J332+4)),"")</f>
        <v/>
      </c>
      <c r="E332" s="291" t="str">
        <f aca="true">IF(ISNUMBER($J332),INDIRECT("P"&amp;($J332+4)),"")</f>
        <v/>
      </c>
      <c r="F332" s="300" t="str">
        <f aca="true">IF(ISNUMBER($J332),INDIRECT("Q"&amp;($J332+4)),"")</f>
        <v/>
      </c>
      <c r="G332" s="298" t="str">
        <f aca="true">IF(ISNUMBER($J332),INDIRECT("R"&amp;($J332+4)),"")</f>
        <v/>
      </c>
      <c r="H332" s="298" t="str">
        <f aca="true">IF(ISNUMBER($J332),INDIRECT("S"&amp;($J332+4)),"")</f>
        <v/>
      </c>
      <c r="J332" s="292" t="str">
        <f aca="true">IF(328&lt;=$K$1,MATCH(327.5,INDIRECT("$K$4:$K$1374"),1),"")</f>
        <v/>
      </c>
      <c r="K332" s="292" t="n">
        <f aca="false">$K$260+COUNTIF($Q$261:Q332,"&gt;0")</f>
        <v>0</v>
      </c>
      <c r="L332" s="292" t="str">
        <f aca="false">"Зарядные устройства EU"</f>
        <v>Зарядные устройства EU</v>
      </c>
      <c r="M332" s="292" t="str">
        <f aca="false">IF(ISBLANK('Зарядные устройства EU'!$A$34),"",'Зарядные устройства EU'!$A$34)</f>
        <v>BAS83A Star PD20W+QC3.0 зарядное устройство (EU)</v>
      </c>
      <c r="N332" s="292" t="str">
        <f aca="false">IF(ISBLANK('Зарядные устройства EU'!$D$35),"",'Зарядные устройства EU'!$D$35)</f>
        <v>6941991126772</v>
      </c>
      <c r="O332" s="292" t="str">
        <f aca="false">IF(ISBLANK('Зарядные устройства EU'!$E$35),"",'Зарядные устройства EU'!$E$35)</f>
        <v>белый</v>
      </c>
      <c r="P332" s="292" t="str">
        <f aca="false">"ед."</f>
        <v>ед.</v>
      </c>
      <c r="Q332" s="292" t="n">
        <f aca="false">N('Зарядные устройства EU'!$G$35)</f>
        <v>0</v>
      </c>
      <c r="R332" s="299" t="n">
        <f aca="false">IF(ISBLANK('Зарядные устройства EU'!$F$35),"",'Зарядные устройства EU'!$F$35)</f>
        <v>153.31</v>
      </c>
      <c r="S332" s="292" t="str">
        <f aca="false">IF(ISBLANK('Зарядные устройства EU'!$H$35),"",'Зарядные устройства EU'!$H$35)</f>
        <v/>
      </c>
    </row>
    <row r="333" customFormat="false" ht="66" hidden="false" customHeight="true" outlineLevel="0" collapsed="false">
      <c r="A333" s="291" t="str">
        <f aca="true">IF(ISNUMBER($J333),INDIRECT("L"&amp;($J333+4)),"")</f>
        <v/>
      </c>
      <c r="B333" s="291" t="str">
        <f aca="true">IF(ISNUMBER($J333),INDIRECT("M"&amp;($J333+4)),"")</f>
        <v/>
      </c>
      <c r="C333" s="296" t="str">
        <f aca="true">IF(ISNUMBER($J333),INDIRECT("N"&amp;($J333+4)),"")</f>
        <v/>
      </c>
      <c r="D333" s="291" t="str">
        <f aca="true">IF(ISNUMBER($J333),INDIRECT("O"&amp;($J333+4)),"")</f>
        <v/>
      </c>
      <c r="E333" s="291" t="str">
        <f aca="true">IF(ISNUMBER($J333),INDIRECT("P"&amp;($J333+4)),"")</f>
        <v/>
      </c>
      <c r="F333" s="300" t="str">
        <f aca="true">IF(ISNUMBER($J333),INDIRECT("Q"&amp;($J333+4)),"")</f>
        <v/>
      </c>
      <c r="G333" s="298" t="str">
        <f aca="true">IF(ISNUMBER($J333),INDIRECT("R"&amp;($J333+4)),"")</f>
        <v/>
      </c>
      <c r="H333" s="298" t="str">
        <f aca="true">IF(ISNUMBER($J333),INDIRECT("S"&amp;($J333+4)),"")</f>
        <v/>
      </c>
      <c r="J333" s="292" t="str">
        <f aca="true">IF(329&lt;=$K$1,MATCH(328.5,INDIRECT("$K$4:$K$1374"),1),"")</f>
        <v/>
      </c>
      <c r="K333" s="292" t="n">
        <f aca="false">$K$260+COUNTIF($Q$261:Q333,"&gt;0")</f>
        <v>0</v>
      </c>
      <c r="L333" s="292" t="str">
        <f aca="false">"Зарядные устройства EU"</f>
        <v>Зарядные устройства EU</v>
      </c>
      <c r="M333" s="292" t="str">
        <f aca="false">IF(ISBLANK('Зарядные устройства EU'!$A$36),"",'Зарядные устройства EU'!$A$36)</f>
        <v>BAS81A Star зарядное устройство набор (iP)(EU)</v>
      </c>
      <c r="N333" s="292" t="str">
        <f aca="false">IF(ISBLANK('Зарядные устройства EU'!$D$36),"",'Зарядные устройства EU'!$D$36)</f>
        <v>6941991126642</v>
      </c>
      <c r="O333" s="292" t="str">
        <f aca="false">IF(ISBLANK('Зарядные устройства EU'!$E$36),"",'Зарядные устройства EU'!$E$36)</f>
        <v>черный</v>
      </c>
      <c r="P333" s="292" t="str">
        <f aca="false">"ед."</f>
        <v>ед.</v>
      </c>
      <c r="Q333" s="292" t="n">
        <f aca="false">N('Зарядные устройства EU'!$G$36)</f>
        <v>0</v>
      </c>
      <c r="R333" s="299" t="n">
        <f aca="false">IF(ISBLANK('Зарядные устройства EU'!$F$36),"",'Зарядные устройства EU'!$F$36)</f>
        <v>120.69</v>
      </c>
      <c r="S333" s="292" t="str">
        <f aca="false">IF(ISBLANK('Зарядные устройства EU'!$H$36),"",'Зарядные устройства EU'!$H$36)</f>
        <v/>
      </c>
    </row>
    <row r="334" customFormat="false" ht="66" hidden="false" customHeight="true" outlineLevel="0" collapsed="false">
      <c r="A334" s="291" t="str">
        <f aca="true">IF(ISNUMBER($J334),INDIRECT("L"&amp;($J334+4)),"")</f>
        <v/>
      </c>
      <c r="B334" s="291" t="str">
        <f aca="true">IF(ISNUMBER($J334),INDIRECT("M"&amp;($J334+4)),"")</f>
        <v/>
      </c>
      <c r="C334" s="296" t="str">
        <f aca="true">IF(ISNUMBER($J334),INDIRECT("N"&amp;($J334+4)),"")</f>
        <v/>
      </c>
      <c r="D334" s="291" t="str">
        <f aca="true">IF(ISNUMBER($J334),INDIRECT("O"&amp;($J334+4)),"")</f>
        <v/>
      </c>
      <c r="E334" s="291" t="str">
        <f aca="true">IF(ISNUMBER($J334),INDIRECT("P"&amp;($J334+4)),"")</f>
        <v/>
      </c>
      <c r="F334" s="300" t="str">
        <f aca="true">IF(ISNUMBER($J334),INDIRECT("Q"&amp;($J334+4)),"")</f>
        <v/>
      </c>
      <c r="G334" s="298" t="str">
        <f aca="true">IF(ISNUMBER($J334),INDIRECT("R"&amp;($J334+4)),"")</f>
        <v/>
      </c>
      <c r="H334" s="298" t="str">
        <f aca="true">IF(ISNUMBER($J334),INDIRECT("S"&amp;($J334+4)),"")</f>
        <v/>
      </c>
      <c r="J334" s="292" t="str">
        <f aca="true">IF(330&lt;=$K$1,MATCH(329.5,INDIRECT("$K$4:$K$1374"),1),"")</f>
        <v/>
      </c>
      <c r="K334" s="292" t="n">
        <f aca="false">$K$260+COUNTIF($Q$261:Q334,"&gt;0")</f>
        <v>0</v>
      </c>
      <c r="L334" s="292" t="str">
        <f aca="false">"Зарядные устройства EU"</f>
        <v>Зарядные устройства EU</v>
      </c>
      <c r="M334" s="292" t="str">
        <f aca="false">IF(ISBLANK('Зарядные устройства EU'!$A$36),"",'Зарядные устройства EU'!$A$36)</f>
        <v>BAS81A Star зарядное устройство набор (iP)(EU)</v>
      </c>
      <c r="N334" s="292" t="str">
        <f aca="false">IF(ISBLANK('Зарядные устройства EU'!$D$37),"",'Зарядные устройства EU'!$D$37)</f>
        <v>6941991126659</v>
      </c>
      <c r="O334" s="292" t="str">
        <f aca="false">IF(ISBLANK('Зарядные устройства EU'!$E$37),"",'Зарядные устройства EU'!$E$37)</f>
        <v>белый</v>
      </c>
      <c r="P334" s="292" t="str">
        <f aca="false">"ед."</f>
        <v>ед.</v>
      </c>
      <c r="Q334" s="292" t="n">
        <f aca="false">N('Зарядные устройства EU'!$G$37)</f>
        <v>0</v>
      </c>
      <c r="R334" s="299" t="n">
        <f aca="false">IF(ISBLANK('Зарядные устройства EU'!$F$37),"",'Зарядные устройства EU'!$F$37)</f>
        <v>120.69</v>
      </c>
      <c r="S334" s="292" t="str">
        <f aca="false">IF(ISBLANK('Зарядные устройства EU'!$H$37),"",'Зарядные устройства EU'!$H$37)</f>
        <v/>
      </c>
    </row>
    <row r="335" customFormat="false" ht="66" hidden="false" customHeight="true" outlineLevel="0" collapsed="false">
      <c r="A335" s="291" t="str">
        <f aca="true">IF(ISNUMBER($J335),INDIRECT("L"&amp;($J335+4)),"")</f>
        <v/>
      </c>
      <c r="B335" s="291" t="str">
        <f aca="true">IF(ISNUMBER($J335),INDIRECT("M"&amp;($J335+4)),"")</f>
        <v/>
      </c>
      <c r="C335" s="296" t="str">
        <f aca="true">IF(ISNUMBER($J335),INDIRECT("N"&amp;($J335+4)),"")</f>
        <v/>
      </c>
      <c r="D335" s="291" t="str">
        <f aca="true">IF(ISNUMBER($J335),INDIRECT("O"&amp;($J335+4)),"")</f>
        <v/>
      </c>
      <c r="E335" s="291" t="str">
        <f aca="true">IF(ISNUMBER($J335),INDIRECT("P"&amp;($J335+4)),"")</f>
        <v/>
      </c>
      <c r="F335" s="300" t="str">
        <f aca="true">IF(ISNUMBER($J335),INDIRECT("Q"&amp;($J335+4)),"")</f>
        <v/>
      </c>
      <c r="G335" s="298" t="str">
        <f aca="true">IF(ISNUMBER($J335),INDIRECT("R"&amp;($J335+4)),"")</f>
        <v/>
      </c>
      <c r="H335" s="298" t="str">
        <f aca="true">IF(ISNUMBER($J335),INDIRECT("S"&amp;($J335+4)),"")</f>
        <v/>
      </c>
      <c r="J335" s="292" t="str">
        <f aca="true">IF(331&lt;=$K$1,MATCH(330.5,INDIRECT("$K$4:$K$1374"),1),"")</f>
        <v/>
      </c>
      <c r="K335" s="292" t="n">
        <f aca="false">$K$260+COUNTIF($Q$261:Q335,"&gt;0")</f>
        <v>0</v>
      </c>
      <c r="L335" s="292" t="str">
        <f aca="false">"Зарядные устройства EU"</f>
        <v>Зарядные устройства EU</v>
      </c>
      <c r="M335" s="292" t="str">
        <f aca="false">IF(ISBLANK('Зарядные устройства EU'!$A$38),"",'Зарядные устройства EU'!$A$38)</f>
        <v>BAS76A Source PD30W+QC3.0 зарядное устройство (EU)</v>
      </c>
      <c r="N335" s="292" t="str">
        <f aca="false">IF(ISBLANK('Зарядные устройства EU'!$D$38),"",'Зарядные устройства EU'!$D$38)</f>
        <v>6941991122873</v>
      </c>
      <c r="O335" s="292" t="str">
        <f aca="false">IF(ISBLANK('Зарядные устройства EU'!$E$38),"",'Зарядные устройства EU'!$E$38)</f>
        <v>черный</v>
      </c>
      <c r="P335" s="292" t="str">
        <f aca="false">"ед."</f>
        <v>ед.</v>
      </c>
      <c r="Q335" s="292" t="n">
        <f aca="false">N('Зарядные устройства EU'!$G$38)</f>
        <v>0</v>
      </c>
      <c r="R335" s="299" t="n">
        <f aca="false">IF(ISBLANK('Зарядные устройства EU'!$F$38),"",'Зарядные устройства EU'!$F$38)</f>
        <v>181.03</v>
      </c>
      <c r="S335" s="292" t="str">
        <f aca="false">IF(ISBLANK('Зарядные устройства EU'!$H$38),"",'Зарядные устройства EU'!$H$38)</f>
        <v/>
      </c>
    </row>
    <row r="336" customFormat="false" ht="66" hidden="false" customHeight="true" outlineLevel="0" collapsed="false">
      <c r="A336" s="291" t="str">
        <f aca="true">IF(ISNUMBER($J336),INDIRECT("L"&amp;($J336+4)),"")</f>
        <v/>
      </c>
      <c r="B336" s="291" t="str">
        <f aca="true">IF(ISNUMBER($J336),INDIRECT("M"&amp;($J336+4)),"")</f>
        <v/>
      </c>
      <c r="C336" s="296" t="str">
        <f aca="true">IF(ISNUMBER($J336),INDIRECT("N"&amp;($J336+4)),"")</f>
        <v/>
      </c>
      <c r="D336" s="291" t="str">
        <f aca="true">IF(ISNUMBER($J336),INDIRECT("O"&amp;($J336+4)),"")</f>
        <v/>
      </c>
      <c r="E336" s="291" t="str">
        <f aca="true">IF(ISNUMBER($J336),INDIRECT("P"&amp;($J336+4)),"")</f>
        <v/>
      </c>
      <c r="F336" s="300" t="str">
        <f aca="true">IF(ISNUMBER($J336),INDIRECT("Q"&amp;($J336+4)),"")</f>
        <v/>
      </c>
      <c r="G336" s="298" t="str">
        <f aca="true">IF(ISNUMBER($J336),INDIRECT("R"&amp;($J336+4)),"")</f>
        <v/>
      </c>
      <c r="H336" s="298" t="str">
        <f aca="true">IF(ISNUMBER($J336),INDIRECT("S"&amp;($J336+4)),"")</f>
        <v/>
      </c>
      <c r="J336" s="292" t="str">
        <f aca="true">IF(332&lt;=$K$1,MATCH(331.5,INDIRECT("$K$4:$K$1374"),1),"")</f>
        <v/>
      </c>
      <c r="K336" s="292" t="n">
        <f aca="false">$K$260+COUNTIF($Q$261:Q336,"&gt;0")</f>
        <v>0</v>
      </c>
      <c r="L336" s="292" t="str">
        <f aca="false">"Зарядные устройства EU"</f>
        <v>Зарядные устройства EU</v>
      </c>
      <c r="M336" s="292" t="str">
        <f aca="false">IF(ISBLANK('Зарядные устройства EU'!$A$38),"",'Зарядные устройства EU'!$A$38)</f>
        <v>BAS76A Source PD30W+QC3.0 зарядное устройство (EU)</v>
      </c>
      <c r="N336" s="292" t="str">
        <f aca="false">IF(ISBLANK('Зарядные устройства EU'!$D$39),"",'Зарядные устройства EU'!$D$39)</f>
        <v>6941991122880</v>
      </c>
      <c r="O336" s="292" t="str">
        <f aca="false">IF(ISBLANK('Зарядные устройства EU'!$E$39),"",'Зарядные устройства EU'!$E$39)</f>
        <v>белый</v>
      </c>
      <c r="P336" s="292" t="str">
        <f aca="false">"ед."</f>
        <v>ед.</v>
      </c>
      <c r="Q336" s="292" t="n">
        <f aca="false">N('Зарядные устройства EU'!$G$39)</f>
        <v>0</v>
      </c>
      <c r="R336" s="299" t="n">
        <f aca="false">IF(ISBLANK('Зарядные устройства EU'!$F$39),"",'Зарядные устройства EU'!$F$39)</f>
        <v>181.03</v>
      </c>
      <c r="S336" s="292" t="str">
        <f aca="false">IF(ISBLANK('Зарядные устройства EU'!$H$39),"",'Зарядные устройства EU'!$H$39)</f>
        <v/>
      </c>
    </row>
    <row r="337" customFormat="false" ht="66" hidden="false" customHeight="true" outlineLevel="0" collapsed="false">
      <c r="A337" s="291" t="str">
        <f aca="true">IF(ISNUMBER($J337),INDIRECT("L"&amp;($J337+4)),"")</f>
        <v/>
      </c>
      <c r="B337" s="291" t="str">
        <f aca="true">IF(ISNUMBER($J337),INDIRECT("M"&amp;($J337+4)),"")</f>
        <v/>
      </c>
      <c r="C337" s="296" t="str">
        <f aca="true">IF(ISNUMBER($J337),INDIRECT("N"&amp;($J337+4)),"")</f>
        <v/>
      </c>
      <c r="D337" s="291" t="str">
        <f aca="true">IF(ISNUMBER($J337),INDIRECT("O"&amp;($J337+4)),"")</f>
        <v/>
      </c>
      <c r="E337" s="291" t="str">
        <f aca="true">IF(ISNUMBER($J337),INDIRECT("P"&amp;($J337+4)),"")</f>
        <v/>
      </c>
      <c r="F337" s="300" t="str">
        <f aca="true">IF(ISNUMBER($J337),INDIRECT("Q"&amp;($J337+4)),"")</f>
        <v/>
      </c>
      <c r="G337" s="298" t="str">
        <f aca="true">IF(ISNUMBER($J337),INDIRECT("R"&amp;($J337+4)),"")</f>
        <v/>
      </c>
      <c r="H337" s="298" t="str">
        <f aca="true">IF(ISNUMBER($J337),INDIRECT("S"&amp;($J337+4)),"")</f>
        <v/>
      </c>
      <c r="J337" s="292" t="str">
        <f aca="true">IF(333&lt;=$K$1,MATCH(332.5,INDIRECT("$K$4:$K$1374"),1),"")</f>
        <v/>
      </c>
      <c r="K337" s="292" t="n">
        <f aca="false">$K$260+COUNTIF($Q$261:Q337,"&gt;0")</f>
        <v>0</v>
      </c>
      <c r="L337" s="292" t="str">
        <f aca="false">"Зарядные устройства EU"</f>
        <v>Зарядные устройства EU</v>
      </c>
      <c r="M337" s="292" t="str">
        <f aca="false">IF(ISBLANK('Зарядные устройства EU'!$A$40),"",'Зарядные устройства EU'!$A$40)</f>
        <v>BAS76A Source PD30W+QC3.0 зарядное устройство набор (C на iP)(EU)</v>
      </c>
      <c r="N337" s="292" t="str">
        <f aca="false">IF(ISBLANK('Зарядные устройства EU'!$D$40),"",'Зарядные устройства EU'!$D$40)</f>
        <v>6941991122897</v>
      </c>
      <c r="O337" s="292" t="str">
        <f aca="false">IF(ISBLANK('Зарядные устройства EU'!$E$40),"",'Зарядные устройства EU'!$E$40)</f>
        <v>черный</v>
      </c>
      <c r="P337" s="292" t="str">
        <f aca="false">"ед."</f>
        <v>ед.</v>
      </c>
      <c r="Q337" s="292" t="n">
        <f aca="false">N('Зарядные устройства EU'!$G$40)</f>
        <v>0</v>
      </c>
      <c r="R337" s="299" t="n">
        <f aca="false">IF(ISBLANK('Зарядные устройства EU'!$F$40),"",'Зарядные устройства EU'!$F$40)</f>
        <v>241.38</v>
      </c>
      <c r="S337" s="292" t="str">
        <f aca="false">IF(ISBLANK('Зарядные устройства EU'!$H$40),"",'Зарядные устройства EU'!$H$40)</f>
        <v/>
      </c>
    </row>
    <row r="338" customFormat="false" ht="66" hidden="false" customHeight="true" outlineLevel="0" collapsed="false">
      <c r="A338" s="291" t="str">
        <f aca="true">IF(ISNUMBER($J338),INDIRECT("L"&amp;($J338+4)),"")</f>
        <v/>
      </c>
      <c r="B338" s="291" t="str">
        <f aca="true">IF(ISNUMBER($J338),INDIRECT("M"&amp;($J338+4)),"")</f>
        <v/>
      </c>
      <c r="C338" s="296" t="str">
        <f aca="true">IF(ISNUMBER($J338),INDIRECT("N"&amp;($J338+4)),"")</f>
        <v/>
      </c>
      <c r="D338" s="291" t="str">
        <f aca="true">IF(ISNUMBER($J338),INDIRECT("O"&amp;($J338+4)),"")</f>
        <v/>
      </c>
      <c r="E338" s="291" t="str">
        <f aca="true">IF(ISNUMBER($J338),INDIRECT("P"&amp;($J338+4)),"")</f>
        <v/>
      </c>
      <c r="F338" s="300" t="str">
        <f aca="true">IF(ISNUMBER($J338),INDIRECT("Q"&amp;($J338+4)),"")</f>
        <v/>
      </c>
      <c r="G338" s="298" t="str">
        <f aca="true">IF(ISNUMBER($J338),INDIRECT("R"&amp;($J338+4)),"")</f>
        <v/>
      </c>
      <c r="H338" s="298" t="str">
        <f aca="true">IF(ISNUMBER($J338),INDIRECT("S"&amp;($J338+4)),"")</f>
        <v/>
      </c>
      <c r="J338" s="292" t="str">
        <f aca="true">IF(334&lt;=$K$1,MATCH(333.5,INDIRECT("$K$4:$K$1374"),1),"")</f>
        <v/>
      </c>
      <c r="K338" s="292" t="n">
        <f aca="false">$K$260+COUNTIF($Q$261:Q338,"&gt;0")</f>
        <v>0</v>
      </c>
      <c r="L338" s="292" t="str">
        <f aca="false">"Зарядные устройства EU"</f>
        <v>Зарядные устройства EU</v>
      </c>
      <c r="M338" s="292" t="str">
        <f aca="false">IF(ISBLANK('Зарядные устройства EU'!$A$40),"",'Зарядные устройства EU'!$A$40)</f>
        <v>BAS76A Source PD30W+QC3.0 зарядное устройство набор (C на iP)(EU)</v>
      </c>
      <c r="N338" s="292" t="str">
        <f aca="false">IF(ISBLANK('Зарядные устройства EU'!$D$41),"",'Зарядные устройства EU'!$D$41)</f>
        <v>6941991122903</v>
      </c>
      <c r="O338" s="292" t="str">
        <f aca="false">IF(ISBLANK('Зарядные устройства EU'!$E$41),"",'Зарядные устройства EU'!$E$41)</f>
        <v>белый</v>
      </c>
      <c r="P338" s="292" t="str">
        <f aca="false">"ед."</f>
        <v>ед.</v>
      </c>
      <c r="Q338" s="292" t="n">
        <f aca="false">N('Зарядные устройства EU'!$G$41)</f>
        <v>0</v>
      </c>
      <c r="R338" s="299" t="n">
        <f aca="false">IF(ISBLANK('Зарядные устройства EU'!$F$41),"",'Зарядные устройства EU'!$F$41)</f>
        <v>241.38</v>
      </c>
      <c r="S338" s="292" t="str">
        <f aca="false">IF(ISBLANK('Зарядные устройства EU'!$H$41),"",'Зарядные устройства EU'!$H$41)</f>
        <v/>
      </c>
    </row>
    <row r="339" customFormat="false" ht="66" hidden="false" customHeight="true" outlineLevel="0" collapsed="false">
      <c r="A339" s="291" t="str">
        <f aca="true">IF(ISNUMBER($J339),INDIRECT("L"&amp;($J339+4)),"")</f>
        <v/>
      </c>
      <c r="B339" s="291" t="str">
        <f aca="true">IF(ISNUMBER($J339),INDIRECT("M"&amp;($J339+4)),"")</f>
        <v/>
      </c>
      <c r="C339" s="296" t="str">
        <f aca="true">IF(ISNUMBER($J339),INDIRECT("N"&amp;($J339+4)),"")</f>
        <v/>
      </c>
      <c r="D339" s="291" t="str">
        <f aca="true">IF(ISNUMBER($J339),INDIRECT("O"&amp;($J339+4)),"")</f>
        <v/>
      </c>
      <c r="E339" s="291" t="str">
        <f aca="true">IF(ISNUMBER($J339),INDIRECT("P"&amp;($J339+4)),"")</f>
        <v/>
      </c>
      <c r="F339" s="300" t="str">
        <f aca="true">IF(ISNUMBER($J339),INDIRECT("Q"&amp;($J339+4)),"")</f>
        <v/>
      </c>
      <c r="G339" s="298" t="str">
        <f aca="true">IF(ISNUMBER($J339),INDIRECT("R"&amp;($J339+4)),"")</f>
        <v/>
      </c>
      <c r="H339" s="298" t="str">
        <f aca="true">IF(ISNUMBER($J339),INDIRECT("S"&amp;($J339+4)),"")</f>
        <v/>
      </c>
      <c r="J339" s="292" t="str">
        <f aca="true">IF(335&lt;=$K$1,MATCH(334.5,INDIRECT("$K$4:$K$1374"),1),"")</f>
        <v/>
      </c>
      <c r="K339" s="292" t="n">
        <f aca="false">$K$260+COUNTIF($Q$261:Q339,"&gt;0")</f>
        <v>0</v>
      </c>
      <c r="L339" s="292" t="str">
        <f aca="false">"Зарядные устройства EU"</f>
        <v>Зарядные устройства EU</v>
      </c>
      <c r="M339" s="292" t="str">
        <f aca="false">IF(ISBLANK('Зарядные устройства EU'!$A$42),"",'Зарядные устройства EU'!$A$42)</f>
        <v>BAS76A Source PD30W+QC3.0 зарядное устройство набор (C на C)(EU)</v>
      </c>
      <c r="N339" s="292" t="str">
        <f aca="false">IF(ISBLANK('Зарядные устройства EU'!$D$42),"",'Зарядные устройства EU'!$D$42)</f>
        <v>6941991122910</v>
      </c>
      <c r="O339" s="292" t="str">
        <f aca="false">IF(ISBLANK('Зарядные устройства EU'!$E$42),"",'Зарядные устройства EU'!$E$42)</f>
        <v>черный</v>
      </c>
      <c r="P339" s="292" t="str">
        <f aca="false">"ед."</f>
        <v>ед.</v>
      </c>
      <c r="Q339" s="292" t="n">
        <f aca="false">N('Зарядные устройства EU'!$G$42)</f>
        <v>0</v>
      </c>
      <c r="R339" s="299" t="n">
        <f aca="false">IF(ISBLANK('Зарядные устройства EU'!$F$42),"",'Зарядные устройства EU'!$F$42)</f>
        <v>220.18</v>
      </c>
      <c r="S339" s="292" t="str">
        <f aca="false">IF(ISBLANK('Зарядные устройства EU'!$H$42),"",'Зарядные устройства EU'!$H$42)</f>
        <v/>
      </c>
    </row>
    <row r="340" customFormat="false" ht="66" hidden="false" customHeight="true" outlineLevel="0" collapsed="false">
      <c r="A340" s="291" t="str">
        <f aca="true">IF(ISNUMBER($J340),INDIRECT("L"&amp;($J340+4)),"")</f>
        <v/>
      </c>
      <c r="B340" s="291" t="str">
        <f aca="true">IF(ISNUMBER($J340),INDIRECT("M"&amp;($J340+4)),"")</f>
        <v/>
      </c>
      <c r="C340" s="296" t="str">
        <f aca="true">IF(ISNUMBER($J340),INDIRECT("N"&amp;($J340+4)),"")</f>
        <v/>
      </c>
      <c r="D340" s="291" t="str">
        <f aca="true">IF(ISNUMBER($J340),INDIRECT("O"&amp;($J340+4)),"")</f>
        <v/>
      </c>
      <c r="E340" s="291" t="str">
        <f aca="true">IF(ISNUMBER($J340),INDIRECT("P"&amp;($J340+4)),"")</f>
        <v/>
      </c>
      <c r="F340" s="300" t="str">
        <f aca="true">IF(ISNUMBER($J340),INDIRECT("Q"&amp;($J340+4)),"")</f>
        <v/>
      </c>
      <c r="G340" s="298" t="str">
        <f aca="true">IF(ISNUMBER($J340),INDIRECT("R"&amp;($J340+4)),"")</f>
        <v/>
      </c>
      <c r="H340" s="298" t="str">
        <f aca="true">IF(ISNUMBER($J340),INDIRECT("S"&amp;($J340+4)),"")</f>
        <v/>
      </c>
      <c r="J340" s="292" t="str">
        <f aca="true">IF(336&lt;=$K$1,MATCH(335.5,INDIRECT("$K$4:$K$1374"),1),"")</f>
        <v/>
      </c>
      <c r="K340" s="292" t="n">
        <f aca="false">$K$260+COUNTIF($Q$261:Q340,"&gt;0")</f>
        <v>0</v>
      </c>
      <c r="L340" s="292" t="str">
        <f aca="false">"Зарядные устройства EU"</f>
        <v>Зарядные устройства EU</v>
      </c>
      <c r="M340" s="292" t="str">
        <f aca="false">IF(ISBLANK('Зарядные устройства EU'!$A$42),"",'Зарядные устройства EU'!$A$42)</f>
        <v>BAS76A Source PD30W+QC3.0 зарядное устройство набор (C на C)(EU)</v>
      </c>
      <c r="N340" s="292" t="str">
        <f aca="false">IF(ISBLANK('Зарядные устройства EU'!$D$43),"",'Зарядные устройства EU'!$D$43)</f>
        <v>6941991122927</v>
      </c>
      <c r="O340" s="292" t="str">
        <f aca="false">IF(ISBLANK('Зарядные устройства EU'!$E$43),"",'Зарядные устройства EU'!$E$43)</f>
        <v>белый</v>
      </c>
      <c r="P340" s="292" t="str">
        <f aca="false">"ед."</f>
        <v>ед.</v>
      </c>
      <c r="Q340" s="292" t="n">
        <f aca="false">N('Зарядные устройства EU'!$G$43)</f>
        <v>0</v>
      </c>
      <c r="R340" s="299" t="n">
        <f aca="false">IF(ISBLANK('Зарядные устройства EU'!$F$43),"",'Зарядные устройства EU'!$F$43)</f>
        <v>220.18</v>
      </c>
      <c r="S340" s="292" t="str">
        <f aca="false">IF(ISBLANK('Зарядные устройства EU'!$H$43),"",'Зарядные устройства EU'!$H$43)</f>
        <v/>
      </c>
    </row>
    <row r="341" customFormat="false" ht="66" hidden="false" customHeight="true" outlineLevel="0" collapsed="false">
      <c r="A341" s="291" t="str">
        <f aca="true">IF(ISNUMBER($J341),INDIRECT("L"&amp;($J341+4)),"")</f>
        <v/>
      </c>
      <c r="B341" s="291" t="str">
        <f aca="true">IF(ISNUMBER($J341),INDIRECT("M"&amp;($J341+4)),"")</f>
        <v/>
      </c>
      <c r="C341" s="296" t="str">
        <f aca="true">IF(ISNUMBER($J341),INDIRECT("N"&amp;($J341+4)),"")</f>
        <v/>
      </c>
      <c r="D341" s="291" t="str">
        <f aca="true">IF(ISNUMBER($J341),INDIRECT("O"&amp;($J341+4)),"")</f>
        <v/>
      </c>
      <c r="E341" s="291" t="str">
        <f aca="true">IF(ISNUMBER($J341),INDIRECT("P"&amp;($J341+4)),"")</f>
        <v/>
      </c>
      <c r="F341" s="300" t="str">
        <f aca="true">IF(ISNUMBER($J341),INDIRECT("Q"&amp;($J341+4)),"")</f>
        <v/>
      </c>
      <c r="G341" s="298" t="str">
        <f aca="true">IF(ISNUMBER($J341),INDIRECT("R"&amp;($J341+4)),"")</f>
        <v/>
      </c>
      <c r="H341" s="298" t="str">
        <f aca="true">IF(ISNUMBER($J341),INDIRECT("S"&amp;($J341+4)),"")</f>
        <v/>
      </c>
      <c r="J341" s="292" t="str">
        <f aca="true">IF(337&lt;=$K$1,MATCH(336.5,INDIRECT("$K$4:$K$1374"),1),"")</f>
        <v/>
      </c>
      <c r="K341" s="292" t="n">
        <f aca="false">$K$260+COUNTIF($Q$261:Q341,"&gt;0")</f>
        <v>0</v>
      </c>
      <c r="L341" s="292" t="str">
        <f aca="false">"Зарядные устройства EU"</f>
        <v>Зарядные устройства EU</v>
      </c>
      <c r="M341" s="292" t="str">
        <f aca="false">IF(ISBLANK('Зарядные устройства EU'!$A$44),"",'Зарядные устройства EU'!$A$44)</f>
        <v>BAS75A Source PD30W зарядное устройство (EU)</v>
      </c>
      <c r="N341" s="292" t="str">
        <f aca="false">IF(ISBLANK('Зарядные устройства EU'!$D$44),"",'Зарядные устройства EU'!$D$44)</f>
        <v>6941991122811</v>
      </c>
      <c r="O341" s="292" t="str">
        <f aca="false">IF(ISBLANK('Зарядные устройства EU'!$E$44),"",'Зарядные устройства EU'!$E$44)</f>
        <v>черный</v>
      </c>
      <c r="P341" s="292" t="str">
        <f aca="false">"ед."</f>
        <v>ед.</v>
      </c>
      <c r="Q341" s="292" t="n">
        <f aca="false">N('Зарядные устройства EU'!$G$44)</f>
        <v>0</v>
      </c>
      <c r="R341" s="299" t="n">
        <f aca="false">IF(ISBLANK('Зарядные устройства EU'!$F$44),"",'Зарядные устройства EU'!$F$44)</f>
        <v>146.78</v>
      </c>
      <c r="S341" s="292" t="str">
        <f aca="false">IF(ISBLANK('Зарядные устройства EU'!$H$44),"",'Зарядные устройства EU'!$H$44)</f>
        <v/>
      </c>
    </row>
    <row r="342" customFormat="false" ht="66" hidden="false" customHeight="true" outlineLevel="0" collapsed="false">
      <c r="A342" s="291" t="str">
        <f aca="true">IF(ISNUMBER($J342),INDIRECT("L"&amp;($J342+4)),"")</f>
        <v/>
      </c>
      <c r="B342" s="291" t="str">
        <f aca="true">IF(ISNUMBER($J342),INDIRECT("M"&amp;($J342+4)),"")</f>
        <v/>
      </c>
      <c r="C342" s="296" t="str">
        <f aca="true">IF(ISNUMBER($J342),INDIRECT("N"&amp;($J342+4)),"")</f>
        <v/>
      </c>
      <c r="D342" s="291" t="str">
        <f aca="true">IF(ISNUMBER($J342),INDIRECT("O"&amp;($J342+4)),"")</f>
        <v/>
      </c>
      <c r="E342" s="291" t="str">
        <f aca="true">IF(ISNUMBER($J342),INDIRECT("P"&amp;($J342+4)),"")</f>
        <v/>
      </c>
      <c r="F342" s="300" t="str">
        <f aca="true">IF(ISNUMBER($J342),INDIRECT("Q"&amp;($J342+4)),"")</f>
        <v/>
      </c>
      <c r="G342" s="298" t="str">
        <f aca="true">IF(ISNUMBER($J342),INDIRECT("R"&amp;($J342+4)),"")</f>
        <v/>
      </c>
      <c r="H342" s="298" t="str">
        <f aca="true">IF(ISNUMBER($J342),INDIRECT("S"&amp;($J342+4)),"")</f>
        <v/>
      </c>
      <c r="J342" s="292" t="str">
        <f aca="true">IF(338&lt;=$K$1,MATCH(337.5,INDIRECT("$K$4:$K$1374"),1),"")</f>
        <v/>
      </c>
      <c r="K342" s="292" t="n">
        <f aca="false">$K$260+COUNTIF($Q$261:Q342,"&gt;0")</f>
        <v>0</v>
      </c>
      <c r="L342" s="292" t="str">
        <f aca="false">"Зарядные устройства EU"</f>
        <v>Зарядные устройства EU</v>
      </c>
      <c r="M342" s="292" t="str">
        <f aca="false">IF(ISBLANK('Зарядные устройства EU'!$A$44),"",'Зарядные устройства EU'!$A$44)</f>
        <v>BAS75A Source PD30W зарядное устройство (EU)</v>
      </c>
      <c r="N342" s="292" t="str">
        <f aca="false">IF(ISBLANK('Зарядные устройства EU'!$D$45),"",'Зарядные устройства EU'!$D$45)</f>
        <v>6941991122828</v>
      </c>
      <c r="O342" s="292" t="str">
        <f aca="false">IF(ISBLANK('Зарядные устройства EU'!$E$45),"",'Зарядные устройства EU'!$E$45)</f>
        <v>белый</v>
      </c>
      <c r="P342" s="292" t="str">
        <f aca="false">"ед."</f>
        <v>ед.</v>
      </c>
      <c r="Q342" s="292" t="n">
        <f aca="false">N('Зарядные устройства EU'!$G$45)</f>
        <v>0</v>
      </c>
      <c r="R342" s="299" t="n">
        <f aca="false">IF(ISBLANK('Зарядные устройства EU'!$F$45),"",'Зарядные устройства EU'!$F$45)</f>
        <v>146.78</v>
      </c>
      <c r="S342" s="292" t="str">
        <f aca="false">IF(ISBLANK('Зарядные устройства EU'!$H$45),"",'Зарядные устройства EU'!$H$45)</f>
        <v/>
      </c>
    </row>
    <row r="343" customFormat="false" ht="66" hidden="false" customHeight="true" outlineLevel="0" collapsed="false">
      <c r="A343" s="291" t="str">
        <f aca="true">IF(ISNUMBER($J343),INDIRECT("L"&amp;($J343+4)),"")</f>
        <v/>
      </c>
      <c r="B343" s="291" t="str">
        <f aca="true">IF(ISNUMBER($J343),INDIRECT("M"&amp;($J343+4)),"")</f>
        <v/>
      </c>
      <c r="C343" s="296" t="str">
        <f aca="true">IF(ISNUMBER($J343),INDIRECT("N"&amp;($J343+4)),"")</f>
        <v/>
      </c>
      <c r="D343" s="291" t="str">
        <f aca="true">IF(ISNUMBER($J343),INDIRECT("O"&amp;($J343+4)),"")</f>
        <v/>
      </c>
      <c r="E343" s="291" t="str">
        <f aca="true">IF(ISNUMBER($J343),INDIRECT("P"&amp;($J343+4)),"")</f>
        <v/>
      </c>
      <c r="F343" s="300" t="str">
        <f aca="true">IF(ISNUMBER($J343),INDIRECT("Q"&amp;($J343+4)),"")</f>
        <v/>
      </c>
      <c r="G343" s="298" t="str">
        <f aca="true">IF(ISNUMBER($J343),INDIRECT("R"&amp;($J343+4)),"")</f>
        <v/>
      </c>
      <c r="H343" s="298" t="str">
        <f aca="true">IF(ISNUMBER($J343),INDIRECT("S"&amp;($J343+4)),"")</f>
        <v/>
      </c>
      <c r="J343" s="292" t="str">
        <f aca="true">IF(339&lt;=$K$1,MATCH(338.5,INDIRECT("$K$4:$K$1374"),1),"")</f>
        <v/>
      </c>
      <c r="K343" s="292" t="n">
        <f aca="false">$K$260+COUNTIF($Q$261:Q343,"&gt;0")</f>
        <v>0</v>
      </c>
      <c r="L343" s="292" t="str">
        <f aca="false">"Зарядные устройства EU"</f>
        <v>Зарядные устройства EU</v>
      </c>
      <c r="M343" s="292" t="str">
        <f aca="false">IF(ISBLANK('Зарядные устройства EU'!$A$46),"",'Зарядные устройства EU'!$A$46)</f>
        <v>BAS75A Source PD30W зарядное устройство набор (C на iP)(EU)</v>
      </c>
      <c r="N343" s="292" t="str">
        <f aca="false">IF(ISBLANK('Зарядные устройства EU'!$D$46),"",'Зарядные устройства EU'!$D$46)</f>
        <v>6941991122835</v>
      </c>
      <c r="O343" s="292" t="str">
        <f aca="false">IF(ISBLANK('Зарядные устройства EU'!$E$46),"",'Зарядные устройства EU'!$E$46)</f>
        <v>черный</v>
      </c>
      <c r="P343" s="292" t="str">
        <f aca="false">"ед."</f>
        <v>ед.</v>
      </c>
      <c r="Q343" s="292" t="n">
        <f aca="false">N('Зарядные устройства EU'!$G$46)</f>
        <v>0</v>
      </c>
      <c r="R343" s="299" t="n">
        <f aca="false">IF(ISBLANK('Зарядные устройства EU'!$F$46),"",'Зарядные устройства EU'!$F$46)</f>
        <v>207.13</v>
      </c>
      <c r="S343" s="292" t="str">
        <f aca="false">IF(ISBLANK('Зарядные устройства EU'!$H$46),"",'Зарядные устройства EU'!$H$46)</f>
        <v/>
      </c>
    </row>
    <row r="344" customFormat="false" ht="66" hidden="false" customHeight="true" outlineLevel="0" collapsed="false">
      <c r="A344" s="291" t="str">
        <f aca="true">IF(ISNUMBER($J344),INDIRECT("L"&amp;($J344+4)),"")</f>
        <v/>
      </c>
      <c r="B344" s="291" t="str">
        <f aca="true">IF(ISNUMBER($J344),INDIRECT("M"&amp;($J344+4)),"")</f>
        <v/>
      </c>
      <c r="C344" s="296" t="str">
        <f aca="true">IF(ISNUMBER($J344),INDIRECT("N"&amp;($J344+4)),"")</f>
        <v/>
      </c>
      <c r="D344" s="291" t="str">
        <f aca="true">IF(ISNUMBER($J344),INDIRECT("O"&amp;($J344+4)),"")</f>
        <v/>
      </c>
      <c r="E344" s="291" t="str">
        <f aca="true">IF(ISNUMBER($J344),INDIRECT("P"&amp;($J344+4)),"")</f>
        <v/>
      </c>
      <c r="F344" s="300" t="str">
        <f aca="true">IF(ISNUMBER($J344),INDIRECT("Q"&amp;($J344+4)),"")</f>
        <v/>
      </c>
      <c r="G344" s="298" t="str">
        <f aca="true">IF(ISNUMBER($J344),INDIRECT("R"&amp;($J344+4)),"")</f>
        <v/>
      </c>
      <c r="H344" s="298" t="str">
        <f aca="true">IF(ISNUMBER($J344),INDIRECT("S"&amp;($J344+4)),"")</f>
        <v/>
      </c>
      <c r="J344" s="292" t="str">
        <f aca="true">IF(340&lt;=$K$1,MATCH(339.5,INDIRECT("$K$4:$K$1374"),1),"")</f>
        <v/>
      </c>
      <c r="K344" s="292" t="n">
        <f aca="false">$K$260+COUNTIF($Q$261:Q344,"&gt;0")</f>
        <v>0</v>
      </c>
      <c r="L344" s="292" t="str">
        <f aca="false">"Зарядные устройства EU"</f>
        <v>Зарядные устройства EU</v>
      </c>
      <c r="M344" s="292" t="str">
        <f aca="false">IF(ISBLANK('Зарядные устройства EU'!$A$46),"",'Зарядные устройства EU'!$A$46)</f>
        <v>BAS75A Source PD30W зарядное устройство набор (C на iP)(EU)</v>
      </c>
      <c r="N344" s="292" t="str">
        <f aca="false">IF(ISBLANK('Зарядные устройства EU'!$D$47),"",'Зарядные устройства EU'!$D$47)</f>
        <v>6941991122842</v>
      </c>
      <c r="O344" s="292" t="str">
        <f aca="false">IF(ISBLANK('Зарядные устройства EU'!$E$47),"",'Зарядные устройства EU'!$E$47)</f>
        <v>белый</v>
      </c>
      <c r="P344" s="292" t="str">
        <f aca="false">"ед."</f>
        <v>ед.</v>
      </c>
      <c r="Q344" s="292" t="n">
        <f aca="false">N('Зарядные устройства EU'!$G$47)</f>
        <v>0</v>
      </c>
      <c r="R344" s="299" t="n">
        <f aca="false">IF(ISBLANK('Зарядные устройства EU'!$F$47),"",'Зарядные устройства EU'!$F$47)</f>
        <v>207.13</v>
      </c>
      <c r="S344" s="292" t="str">
        <f aca="false">IF(ISBLANK('Зарядные устройства EU'!$H$47),"",'Зарядные устройства EU'!$H$47)</f>
        <v/>
      </c>
    </row>
    <row r="345" customFormat="false" ht="66" hidden="false" customHeight="true" outlineLevel="0" collapsed="false">
      <c r="A345" s="291" t="str">
        <f aca="true">IF(ISNUMBER($J345),INDIRECT("L"&amp;($J345+4)),"")</f>
        <v/>
      </c>
      <c r="B345" s="291" t="str">
        <f aca="true">IF(ISNUMBER($J345),INDIRECT("M"&amp;($J345+4)),"")</f>
        <v/>
      </c>
      <c r="C345" s="296" t="str">
        <f aca="true">IF(ISNUMBER($J345),INDIRECT("N"&amp;($J345+4)),"")</f>
        <v/>
      </c>
      <c r="D345" s="291" t="str">
        <f aca="true">IF(ISNUMBER($J345),INDIRECT("O"&amp;($J345+4)),"")</f>
        <v/>
      </c>
      <c r="E345" s="291" t="str">
        <f aca="true">IF(ISNUMBER($J345),INDIRECT("P"&amp;($J345+4)),"")</f>
        <v/>
      </c>
      <c r="F345" s="300" t="str">
        <f aca="true">IF(ISNUMBER($J345),INDIRECT("Q"&amp;($J345+4)),"")</f>
        <v/>
      </c>
      <c r="G345" s="298" t="str">
        <f aca="true">IF(ISNUMBER($J345),INDIRECT("R"&amp;($J345+4)),"")</f>
        <v/>
      </c>
      <c r="H345" s="298" t="str">
        <f aca="true">IF(ISNUMBER($J345),INDIRECT("S"&amp;($J345+4)),"")</f>
        <v/>
      </c>
      <c r="J345" s="292" t="str">
        <f aca="true">IF(341&lt;=$K$1,MATCH(340.5,INDIRECT("$K$4:$K$1374"),1),"")</f>
        <v/>
      </c>
      <c r="K345" s="292" t="n">
        <f aca="false">$K$260+COUNTIF($Q$261:Q345,"&gt;0")</f>
        <v>0</v>
      </c>
      <c r="L345" s="292" t="str">
        <f aca="false">"Зарядные устройства EU"</f>
        <v>Зарядные устройства EU</v>
      </c>
      <c r="M345" s="292" t="str">
        <f aca="false">IF(ISBLANK('Зарядные устройства EU'!$A$48),"",'Зарядные устройства EU'!$A$48)</f>
        <v>BAS75A Source PD30W зарядное устройство набор (C на C)(EU)</v>
      </c>
      <c r="N345" s="292" t="str">
        <f aca="false">IF(ISBLANK('Зарядные устройства EU'!$D$48),"",'Зарядные устройства EU'!$D$48)</f>
        <v>6941991122859</v>
      </c>
      <c r="O345" s="292" t="str">
        <f aca="false">IF(ISBLANK('Зарядные устройства EU'!$E$48),"",'Зарядные устройства EU'!$E$48)</f>
        <v>черный</v>
      </c>
      <c r="P345" s="292" t="str">
        <f aca="false">"ед."</f>
        <v>ед.</v>
      </c>
      <c r="Q345" s="292" t="n">
        <f aca="false">N('Зарядные устройства EU'!$G$48)</f>
        <v>0</v>
      </c>
      <c r="R345" s="299" t="n">
        <f aca="false">IF(ISBLANK('Зарядные устройства EU'!$F$48),"",'Зарядные устройства EU'!$F$48)</f>
        <v>184.3</v>
      </c>
      <c r="S345" s="292" t="str">
        <f aca="false">IF(ISBLANK('Зарядные устройства EU'!$H$48),"",'Зарядные устройства EU'!$H$48)</f>
        <v/>
      </c>
    </row>
    <row r="346" customFormat="false" ht="66" hidden="false" customHeight="true" outlineLevel="0" collapsed="false">
      <c r="A346" s="291" t="str">
        <f aca="true">IF(ISNUMBER($J346),INDIRECT("L"&amp;($J346+4)),"")</f>
        <v/>
      </c>
      <c r="B346" s="291" t="str">
        <f aca="true">IF(ISNUMBER($J346),INDIRECT("M"&amp;($J346+4)),"")</f>
        <v/>
      </c>
      <c r="C346" s="296" t="str">
        <f aca="true">IF(ISNUMBER($J346),INDIRECT("N"&amp;($J346+4)),"")</f>
        <v/>
      </c>
      <c r="D346" s="291" t="str">
        <f aca="true">IF(ISNUMBER($J346),INDIRECT("O"&amp;($J346+4)),"")</f>
        <v/>
      </c>
      <c r="E346" s="291" t="str">
        <f aca="true">IF(ISNUMBER($J346),INDIRECT("P"&amp;($J346+4)),"")</f>
        <v/>
      </c>
      <c r="F346" s="300" t="str">
        <f aca="true">IF(ISNUMBER($J346),INDIRECT("Q"&amp;($J346+4)),"")</f>
        <v/>
      </c>
      <c r="G346" s="298" t="str">
        <f aca="true">IF(ISNUMBER($J346),INDIRECT("R"&amp;($J346+4)),"")</f>
        <v/>
      </c>
      <c r="H346" s="298" t="str">
        <f aca="true">IF(ISNUMBER($J346),INDIRECT("S"&amp;($J346+4)),"")</f>
        <v/>
      </c>
      <c r="J346" s="292" t="str">
        <f aca="true">IF(342&lt;=$K$1,MATCH(341.5,INDIRECT("$K$4:$K$1374"),1),"")</f>
        <v/>
      </c>
      <c r="K346" s="292" t="n">
        <f aca="false">$K$260+COUNTIF($Q$261:Q346,"&gt;0")</f>
        <v>0</v>
      </c>
      <c r="L346" s="292" t="str">
        <f aca="false">"Зарядные устройства EU"</f>
        <v>Зарядные устройства EU</v>
      </c>
      <c r="M346" s="292" t="str">
        <f aca="false">IF(ISBLANK('Зарядные устройства EU'!$A$48),"",'Зарядные устройства EU'!$A$48)</f>
        <v>BAS75A Source PD30W зарядное устройство набор (C на C)(EU)</v>
      </c>
      <c r="N346" s="292" t="str">
        <f aca="false">IF(ISBLANK('Зарядные устройства EU'!$D$49),"",'Зарядные устройства EU'!$D$49)</f>
        <v>6941991122866</v>
      </c>
      <c r="O346" s="292" t="str">
        <f aca="false">IF(ISBLANK('Зарядные устройства EU'!$E$49),"",'Зарядные устройства EU'!$E$49)</f>
        <v>белый</v>
      </c>
      <c r="P346" s="292" t="str">
        <f aca="false">"ед."</f>
        <v>ед.</v>
      </c>
      <c r="Q346" s="292" t="n">
        <f aca="false">N('Зарядные устройства EU'!$G$49)</f>
        <v>0</v>
      </c>
      <c r="R346" s="299" t="n">
        <f aca="false">IF(ISBLANK('Зарядные устройства EU'!$F$49),"",'Зарядные устройства EU'!$F$49)</f>
        <v>184.3</v>
      </c>
      <c r="S346" s="292" t="str">
        <f aca="false">IF(ISBLANK('Зарядные устройства EU'!$H$49),"",'Зарядные устройства EU'!$H$49)</f>
        <v/>
      </c>
    </row>
    <row r="347" customFormat="false" ht="66" hidden="false" customHeight="true" outlineLevel="0" collapsed="false">
      <c r="A347" s="291" t="str">
        <f aca="true">IF(ISNUMBER($J347),INDIRECT("L"&amp;($J347+4)),"")</f>
        <v/>
      </c>
      <c r="B347" s="291" t="str">
        <f aca="true">IF(ISNUMBER($J347),INDIRECT("M"&amp;($J347+4)),"")</f>
        <v/>
      </c>
      <c r="C347" s="296" t="str">
        <f aca="true">IF(ISNUMBER($J347),INDIRECT("N"&amp;($J347+4)),"")</f>
        <v/>
      </c>
      <c r="D347" s="291" t="str">
        <f aca="true">IF(ISNUMBER($J347),INDIRECT("O"&amp;($J347+4)),"")</f>
        <v/>
      </c>
      <c r="E347" s="291" t="str">
        <f aca="true">IF(ISNUMBER($J347),INDIRECT("P"&amp;($J347+4)),"")</f>
        <v/>
      </c>
      <c r="F347" s="300" t="str">
        <f aca="true">IF(ISNUMBER($J347),INDIRECT("Q"&amp;($J347+4)),"")</f>
        <v/>
      </c>
      <c r="G347" s="298" t="str">
        <f aca="true">IF(ISNUMBER($J347),INDIRECT("R"&amp;($J347+4)),"")</f>
        <v/>
      </c>
      <c r="H347" s="298" t="str">
        <f aca="true">IF(ISNUMBER($J347),INDIRECT("S"&amp;($J347+4)),"")</f>
        <v/>
      </c>
      <c r="J347" s="292" t="str">
        <f aca="true">IF(343&lt;=$K$1,MATCH(342.5,INDIRECT("$K$4:$K$1374"),1),"")</f>
        <v/>
      </c>
      <c r="K347" s="292" t="n">
        <f aca="false">$K$260+COUNTIF($Q$261:Q347,"&gt;0")</f>
        <v>0</v>
      </c>
      <c r="L347" s="292" t="str">
        <f aca="false">"Зарядные устройства EU"</f>
        <v>Зарядные устройства EU</v>
      </c>
      <c r="M347" s="292" t="str">
        <f aca="false">IF(ISBLANK('Зарядные устройства EU'!$A$50),"",'Зарядные устройства EU'!$A$50)</f>
        <v>BAS74A Source PD20W+QC3.0 зарядное устройство (EU)</v>
      </c>
      <c r="N347" s="292" t="str">
        <f aca="false">IF(ISBLANK('Зарядные устройства EU'!$D$50),"",'Зарядные устройства EU'!$D$50)</f>
        <v>6941991122750</v>
      </c>
      <c r="O347" s="292" t="str">
        <f aca="false">IF(ISBLANK('Зарядные устройства EU'!$E$50),"",'Зарядные устройства EU'!$E$50)</f>
        <v>черный</v>
      </c>
      <c r="P347" s="292" t="str">
        <f aca="false">"ед."</f>
        <v>ед.</v>
      </c>
      <c r="Q347" s="292" t="n">
        <f aca="false">N('Зарядные устройства EU'!$G$50)</f>
        <v>0</v>
      </c>
      <c r="R347" s="299" t="n">
        <f aca="false">IF(ISBLANK('Зарядные устройства EU'!$F$50),"",'Зарядные устройства EU'!$F$50)</f>
        <v>140.26</v>
      </c>
      <c r="S347" s="292" t="str">
        <f aca="false">IF(ISBLANK('Зарядные устройства EU'!$H$50),"",'Зарядные устройства EU'!$H$50)</f>
        <v/>
      </c>
    </row>
    <row r="348" customFormat="false" ht="66" hidden="false" customHeight="true" outlineLevel="0" collapsed="false">
      <c r="A348" s="291" t="str">
        <f aca="true">IF(ISNUMBER($J348),INDIRECT("L"&amp;($J348+4)),"")</f>
        <v/>
      </c>
      <c r="B348" s="291" t="str">
        <f aca="true">IF(ISNUMBER($J348),INDIRECT("M"&amp;($J348+4)),"")</f>
        <v/>
      </c>
      <c r="C348" s="296" t="str">
        <f aca="true">IF(ISNUMBER($J348),INDIRECT("N"&amp;($J348+4)),"")</f>
        <v/>
      </c>
      <c r="D348" s="291" t="str">
        <f aca="true">IF(ISNUMBER($J348),INDIRECT("O"&amp;($J348+4)),"")</f>
        <v/>
      </c>
      <c r="E348" s="291" t="str">
        <f aca="true">IF(ISNUMBER($J348),INDIRECT("P"&amp;($J348+4)),"")</f>
        <v/>
      </c>
      <c r="F348" s="300" t="str">
        <f aca="true">IF(ISNUMBER($J348),INDIRECT("Q"&amp;($J348+4)),"")</f>
        <v/>
      </c>
      <c r="G348" s="298" t="str">
        <f aca="true">IF(ISNUMBER($J348),INDIRECT("R"&amp;($J348+4)),"")</f>
        <v/>
      </c>
      <c r="H348" s="298" t="str">
        <f aca="true">IF(ISNUMBER($J348),INDIRECT("S"&amp;($J348+4)),"")</f>
        <v/>
      </c>
      <c r="J348" s="292" t="str">
        <f aca="true">IF(344&lt;=$K$1,MATCH(343.5,INDIRECT("$K$4:$K$1374"),1),"")</f>
        <v/>
      </c>
      <c r="K348" s="292" t="n">
        <f aca="false">$K$260+COUNTIF($Q$261:Q348,"&gt;0")</f>
        <v>0</v>
      </c>
      <c r="L348" s="292" t="str">
        <f aca="false">"Зарядные устройства EU"</f>
        <v>Зарядные устройства EU</v>
      </c>
      <c r="M348" s="292" t="str">
        <f aca="false">IF(ISBLANK('Зарядные устройства EU'!$A$50),"",'Зарядные устройства EU'!$A$50)</f>
        <v>BAS74A Source PD20W+QC3.0 зарядное устройство (EU)</v>
      </c>
      <c r="N348" s="292" t="str">
        <f aca="false">IF(ISBLANK('Зарядные устройства EU'!$D$51),"",'Зарядные устройства EU'!$D$51)</f>
        <v>6941991122767</v>
      </c>
      <c r="O348" s="292" t="str">
        <f aca="false">IF(ISBLANK('Зарядные устройства EU'!$E$51),"",'Зарядные устройства EU'!$E$51)</f>
        <v>белый</v>
      </c>
      <c r="P348" s="292" t="str">
        <f aca="false">"ед."</f>
        <v>ед.</v>
      </c>
      <c r="Q348" s="292" t="n">
        <f aca="false">N('Зарядные устройства EU'!$G$51)</f>
        <v>0</v>
      </c>
      <c r="R348" s="299" t="n">
        <f aca="false">IF(ISBLANK('Зарядные устройства EU'!$F$51),"",'Зарядные устройства EU'!$F$51)</f>
        <v>140.26</v>
      </c>
      <c r="S348" s="292" t="str">
        <f aca="false">IF(ISBLANK('Зарядные устройства EU'!$H$51),"",'Зарядные устройства EU'!$H$51)</f>
        <v/>
      </c>
    </row>
    <row r="349" customFormat="false" ht="66" hidden="false" customHeight="true" outlineLevel="0" collapsed="false">
      <c r="A349" s="291" t="str">
        <f aca="true">IF(ISNUMBER($J349),INDIRECT("L"&amp;($J349+4)),"")</f>
        <v/>
      </c>
      <c r="B349" s="291" t="str">
        <f aca="true">IF(ISNUMBER($J349),INDIRECT("M"&amp;($J349+4)),"")</f>
        <v/>
      </c>
      <c r="C349" s="296" t="str">
        <f aca="true">IF(ISNUMBER($J349),INDIRECT("N"&amp;($J349+4)),"")</f>
        <v/>
      </c>
      <c r="D349" s="291" t="str">
        <f aca="true">IF(ISNUMBER($J349),INDIRECT("O"&amp;($J349+4)),"")</f>
        <v/>
      </c>
      <c r="E349" s="291" t="str">
        <f aca="true">IF(ISNUMBER($J349),INDIRECT("P"&amp;($J349+4)),"")</f>
        <v/>
      </c>
      <c r="F349" s="300" t="str">
        <f aca="true">IF(ISNUMBER($J349),INDIRECT("Q"&amp;($J349+4)),"")</f>
        <v/>
      </c>
      <c r="G349" s="298" t="str">
        <f aca="true">IF(ISNUMBER($J349),INDIRECT("R"&amp;($J349+4)),"")</f>
        <v/>
      </c>
      <c r="H349" s="298" t="str">
        <f aca="true">IF(ISNUMBER($J349),INDIRECT("S"&amp;($J349+4)),"")</f>
        <v/>
      </c>
      <c r="J349" s="292" t="str">
        <f aca="true">IF(345&lt;=$K$1,MATCH(344.5,INDIRECT("$K$4:$K$1374"),1),"")</f>
        <v/>
      </c>
      <c r="K349" s="292" t="n">
        <f aca="false">$K$260+COUNTIF($Q$261:Q349,"&gt;0")</f>
        <v>0</v>
      </c>
      <c r="L349" s="292" t="str">
        <f aca="false">"Зарядные устройства EU"</f>
        <v>Зарядные устройства EU</v>
      </c>
      <c r="M349" s="292" t="str">
        <f aca="false">IF(ISBLANK('Зарядные устройства EU'!$A$52),"",'Зарядные устройства EU'!$A$52)</f>
        <v>BAS74A Source PD20W+QC3.0 зарядное устройство набор (C на iP)(EU)</v>
      </c>
      <c r="N349" s="292" t="str">
        <f aca="false">IF(ISBLANK('Зарядные устройства EU'!$D$52),"",'Зарядные устройства EU'!$D$52)</f>
        <v>6941991122781</v>
      </c>
      <c r="O349" s="292" t="str">
        <f aca="false">IF(ISBLANK('Зарядные устройства EU'!$E$52),"",'Зарядные устройства EU'!$E$52)</f>
        <v>белый</v>
      </c>
      <c r="P349" s="292" t="str">
        <f aca="false">"ед."</f>
        <v>ед.</v>
      </c>
      <c r="Q349" s="292" t="n">
        <f aca="false">N('Зарядные устройства EU'!$G$52)</f>
        <v>0</v>
      </c>
      <c r="R349" s="299" t="n">
        <f aca="false">IF(ISBLANK('Зарядные устройства EU'!$F$52),"",'Зарядные устройства EU'!$F$52)</f>
        <v>200.61</v>
      </c>
      <c r="S349" s="292" t="str">
        <f aca="false">IF(ISBLANK('Зарядные устройства EU'!$H$52),"",'Зарядные устройства EU'!$H$52)</f>
        <v/>
      </c>
    </row>
    <row r="350" customFormat="false" ht="66" hidden="false" customHeight="true" outlineLevel="0" collapsed="false">
      <c r="A350" s="291" t="str">
        <f aca="true">IF(ISNUMBER($J350),INDIRECT("L"&amp;($J350+4)),"")</f>
        <v/>
      </c>
      <c r="B350" s="291" t="str">
        <f aca="true">IF(ISNUMBER($J350),INDIRECT("M"&amp;($J350+4)),"")</f>
        <v/>
      </c>
      <c r="C350" s="296" t="str">
        <f aca="true">IF(ISNUMBER($J350),INDIRECT("N"&amp;($J350+4)),"")</f>
        <v/>
      </c>
      <c r="D350" s="291" t="str">
        <f aca="true">IF(ISNUMBER($J350),INDIRECT("O"&amp;($J350+4)),"")</f>
        <v/>
      </c>
      <c r="E350" s="291" t="str">
        <f aca="true">IF(ISNUMBER($J350),INDIRECT("P"&amp;($J350+4)),"")</f>
        <v/>
      </c>
      <c r="F350" s="300" t="str">
        <f aca="true">IF(ISNUMBER($J350),INDIRECT("Q"&amp;($J350+4)),"")</f>
        <v/>
      </c>
      <c r="G350" s="298" t="str">
        <f aca="true">IF(ISNUMBER($J350),INDIRECT("R"&amp;($J350+4)),"")</f>
        <v/>
      </c>
      <c r="H350" s="298" t="str">
        <f aca="true">IF(ISNUMBER($J350),INDIRECT("S"&amp;($J350+4)),"")</f>
        <v/>
      </c>
      <c r="J350" s="292" t="str">
        <f aca="true">IF(346&lt;=$K$1,MATCH(345.5,INDIRECT("$K$4:$K$1374"),1),"")</f>
        <v/>
      </c>
      <c r="K350" s="292" t="n">
        <f aca="false">$K$260+COUNTIF($Q$261:Q350,"&gt;0")</f>
        <v>0</v>
      </c>
      <c r="L350" s="292" t="str">
        <f aca="false">"Зарядные устройства EU"</f>
        <v>Зарядные устройства EU</v>
      </c>
      <c r="M350" s="292" t="str">
        <f aca="false">IF(ISBLANK('Зарядные устройства EU'!$A$53),"",'Зарядные устройства EU'!$A$53)</f>
        <v>BAS73A Source PD20W зарядное устройство (EU)</v>
      </c>
      <c r="N350" s="292" t="str">
        <f aca="false">IF(ISBLANK('Зарядные устройства EU'!$D$53),"",'Зарядные устройства EU'!$D$53)</f>
        <v>6941991122699</v>
      </c>
      <c r="O350" s="292" t="str">
        <f aca="false">IF(ISBLANK('Зарядные устройства EU'!$E$53),"",'Зарядные устройства EU'!$E$53)</f>
        <v>черный</v>
      </c>
      <c r="P350" s="292" t="str">
        <f aca="false">"ед."</f>
        <v>ед.</v>
      </c>
      <c r="Q350" s="292" t="n">
        <f aca="false">N('Зарядные устройства EU'!$G$53)</f>
        <v>0</v>
      </c>
      <c r="R350" s="299" t="n">
        <f aca="false">IF(ISBLANK('Зарядные устройства EU'!$F$53),"",'Зарядные устройства EU'!$F$53)</f>
        <v>110.9</v>
      </c>
      <c r="S350" s="292" t="str">
        <f aca="false">IF(ISBLANK('Зарядные устройства EU'!$H$53),"",'Зарядные устройства EU'!$H$53)</f>
        <v/>
      </c>
    </row>
    <row r="351" customFormat="false" ht="66" hidden="false" customHeight="true" outlineLevel="0" collapsed="false">
      <c r="A351" s="291" t="str">
        <f aca="true">IF(ISNUMBER($J351),INDIRECT("L"&amp;($J351+4)),"")</f>
        <v/>
      </c>
      <c r="B351" s="291" t="str">
        <f aca="true">IF(ISNUMBER($J351),INDIRECT("M"&amp;($J351+4)),"")</f>
        <v/>
      </c>
      <c r="C351" s="296" t="str">
        <f aca="true">IF(ISNUMBER($J351),INDIRECT("N"&amp;($J351+4)),"")</f>
        <v/>
      </c>
      <c r="D351" s="291" t="str">
        <f aca="true">IF(ISNUMBER($J351),INDIRECT("O"&amp;($J351+4)),"")</f>
        <v/>
      </c>
      <c r="E351" s="291" t="str">
        <f aca="true">IF(ISNUMBER($J351),INDIRECT("P"&amp;($J351+4)),"")</f>
        <v/>
      </c>
      <c r="F351" s="300" t="str">
        <f aca="true">IF(ISNUMBER($J351),INDIRECT("Q"&amp;($J351+4)),"")</f>
        <v/>
      </c>
      <c r="G351" s="298" t="str">
        <f aca="true">IF(ISNUMBER($J351),INDIRECT("R"&amp;($J351+4)),"")</f>
        <v/>
      </c>
      <c r="H351" s="298" t="str">
        <f aca="true">IF(ISNUMBER($J351),INDIRECT("S"&amp;($J351+4)),"")</f>
        <v/>
      </c>
      <c r="J351" s="292" t="str">
        <f aca="true">IF(347&lt;=$K$1,MATCH(346.5,INDIRECT("$K$4:$K$1374"),1),"")</f>
        <v/>
      </c>
      <c r="K351" s="292" t="n">
        <f aca="false">$K$260+COUNTIF($Q$261:Q351,"&gt;0")</f>
        <v>0</v>
      </c>
      <c r="L351" s="292" t="str">
        <f aca="false">"Зарядные устройства EU"</f>
        <v>Зарядные устройства EU</v>
      </c>
      <c r="M351" s="292" t="str">
        <f aca="false">IF(ISBLANK('Зарядные устройства EU'!$A$53),"",'Зарядные устройства EU'!$A$53)</f>
        <v>BAS73A Source PD20W зарядное устройство (EU)</v>
      </c>
      <c r="N351" s="292" t="str">
        <f aca="false">IF(ISBLANK('Зарядные устройства EU'!$D$54),"",'Зарядные устройства EU'!$D$54)</f>
        <v>6941991122705</v>
      </c>
      <c r="O351" s="292" t="str">
        <f aca="false">IF(ISBLANK('Зарядные устройства EU'!$E$54),"",'Зарядные устройства EU'!$E$54)</f>
        <v>белый</v>
      </c>
      <c r="P351" s="292" t="str">
        <f aca="false">"ед."</f>
        <v>ед.</v>
      </c>
      <c r="Q351" s="292" t="n">
        <f aca="false">N('Зарядные устройства EU'!$G$54)</f>
        <v>0</v>
      </c>
      <c r="R351" s="299" t="n">
        <f aca="false">IF(ISBLANK('Зарядные устройства EU'!$F$54),"",'Зарядные устройства EU'!$F$54)</f>
        <v>110.9</v>
      </c>
      <c r="S351" s="292" t="str">
        <f aca="false">IF(ISBLANK('Зарядные устройства EU'!$H$54),"",'Зарядные устройства EU'!$H$54)</f>
        <v/>
      </c>
    </row>
    <row r="352" customFormat="false" ht="66" hidden="false" customHeight="true" outlineLevel="0" collapsed="false">
      <c r="A352" s="291" t="str">
        <f aca="true">IF(ISNUMBER($J352),INDIRECT("L"&amp;($J352+4)),"")</f>
        <v/>
      </c>
      <c r="B352" s="291" t="str">
        <f aca="true">IF(ISNUMBER($J352),INDIRECT("M"&amp;($J352+4)),"")</f>
        <v/>
      </c>
      <c r="C352" s="296" t="str">
        <f aca="true">IF(ISNUMBER($J352),INDIRECT("N"&amp;($J352+4)),"")</f>
        <v/>
      </c>
      <c r="D352" s="291" t="str">
        <f aca="true">IF(ISNUMBER($J352),INDIRECT("O"&amp;($J352+4)),"")</f>
        <v/>
      </c>
      <c r="E352" s="291" t="str">
        <f aca="true">IF(ISNUMBER($J352),INDIRECT("P"&amp;($J352+4)),"")</f>
        <v/>
      </c>
      <c r="F352" s="300" t="str">
        <f aca="true">IF(ISNUMBER($J352),INDIRECT("Q"&amp;($J352+4)),"")</f>
        <v/>
      </c>
      <c r="G352" s="298" t="str">
        <f aca="true">IF(ISNUMBER($J352),INDIRECT("R"&amp;($J352+4)),"")</f>
        <v/>
      </c>
      <c r="H352" s="298" t="str">
        <f aca="true">IF(ISNUMBER($J352),INDIRECT("S"&amp;($J352+4)),"")</f>
        <v/>
      </c>
      <c r="J352" s="292" t="str">
        <f aca="true">IF(348&lt;=$K$1,MATCH(347.5,INDIRECT("$K$4:$K$1374"),1),"")</f>
        <v/>
      </c>
      <c r="K352" s="292" t="n">
        <f aca="false">$K$260+COUNTIF($Q$261:Q352,"&gt;0")</f>
        <v>0</v>
      </c>
      <c r="L352" s="292" t="str">
        <f aca="false">"Зарядные устройства EU"</f>
        <v>Зарядные устройства EU</v>
      </c>
      <c r="M352" s="292" t="str">
        <f aca="false">IF(ISBLANK('Зарядные устройства EU'!$A$55),"",'Зарядные устройства EU'!$A$55)</f>
        <v>BAS73A Source PD20W зарядное устройство набор (C на iP)(EU)</v>
      </c>
      <c r="N352" s="292" t="str">
        <f aca="false">IF(ISBLANK('Зарядные устройства EU'!$D$55),"",'Зарядные устройства EU'!$D$55)</f>
        <v>6941991122712</v>
      </c>
      <c r="O352" s="292" t="str">
        <f aca="false">IF(ISBLANK('Зарядные устройства EU'!$E$55),"",'Зарядные устройства EU'!$E$55)</f>
        <v>черный</v>
      </c>
      <c r="P352" s="292" t="str">
        <f aca="false">"ед."</f>
        <v>ед.</v>
      </c>
      <c r="Q352" s="292" t="n">
        <f aca="false">N('Зарядные устройства EU'!$G$55)</f>
        <v>0</v>
      </c>
      <c r="R352" s="299" t="n">
        <f aca="false">IF(ISBLANK('Зарядные устройства EU'!$F$55),"",'Зарядные устройства EU'!$F$55)</f>
        <v>171.25</v>
      </c>
      <c r="S352" s="292" t="str">
        <f aca="false">IF(ISBLANK('Зарядные устройства EU'!$H$55),"",'Зарядные устройства EU'!$H$55)</f>
        <v/>
      </c>
    </row>
    <row r="353" customFormat="false" ht="66" hidden="false" customHeight="true" outlineLevel="0" collapsed="false">
      <c r="A353" s="291" t="str">
        <f aca="true">IF(ISNUMBER($J353),INDIRECT("L"&amp;($J353+4)),"")</f>
        <v/>
      </c>
      <c r="B353" s="291" t="str">
        <f aca="true">IF(ISNUMBER($J353),INDIRECT("M"&amp;($J353+4)),"")</f>
        <v/>
      </c>
      <c r="C353" s="296" t="str">
        <f aca="true">IF(ISNUMBER($J353),INDIRECT("N"&amp;($J353+4)),"")</f>
        <v/>
      </c>
      <c r="D353" s="291" t="str">
        <f aca="true">IF(ISNUMBER($J353),INDIRECT("O"&amp;($J353+4)),"")</f>
        <v/>
      </c>
      <c r="E353" s="291" t="str">
        <f aca="true">IF(ISNUMBER($J353),INDIRECT("P"&amp;($J353+4)),"")</f>
        <v/>
      </c>
      <c r="F353" s="300" t="str">
        <f aca="true">IF(ISNUMBER($J353),INDIRECT("Q"&amp;($J353+4)),"")</f>
        <v/>
      </c>
      <c r="G353" s="298" t="str">
        <f aca="true">IF(ISNUMBER($J353),INDIRECT("R"&amp;($J353+4)),"")</f>
        <v/>
      </c>
      <c r="H353" s="298" t="str">
        <f aca="true">IF(ISNUMBER($J353),INDIRECT("S"&amp;($J353+4)),"")</f>
        <v/>
      </c>
      <c r="J353" s="292" t="str">
        <f aca="true">IF(349&lt;=$K$1,MATCH(348.5,INDIRECT("$K$4:$K$1374"),1),"")</f>
        <v/>
      </c>
      <c r="K353" s="292" t="n">
        <f aca="false">$K$260+COUNTIF($Q$261:Q353,"&gt;0")</f>
        <v>0</v>
      </c>
      <c r="L353" s="292" t="str">
        <f aca="false">"Зарядные устройства EU"</f>
        <v>Зарядные устройства EU</v>
      </c>
      <c r="M353" s="292" t="str">
        <f aca="false">IF(ISBLANK('Зарядные устройства EU'!$A$55),"",'Зарядные устройства EU'!$A$55)</f>
        <v>BAS73A Source PD20W зарядное устройство набор (C на iP)(EU)</v>
      </c>
      <c r="N353" s="292" t="str">
        <f aca="false">IF(ISBLANK('Зарядные устройства EU'!$D$56),"",'Зарядные устройства EU'!$D$56)</f>
        <v>6941991122729</v>
      </c>
      <c r="O353" s="292" t="str">
        <f aca="false">IF(ISBLANK('Зарядные устройства EU'!$E$56),"",'Зарядные устройства EU'!$E$56)</f>
        <v>белый</v>
      </c>
      <c r="P353" s="292" t="str">
        <f aca="false">"ед."</f>
        <v>ед.</v>
      </c>
      <c r="Q353" s="292" t="n">
        <f aca="false">N('Зарядные устройства EU'!$G$56)</f>
        <v>0</v>
      </c>
      <c r="R353" s="299" t="n">
        <f aca="false">IF(ISBLANK('Зарядные устройства EU'!$F$56),"",'Зарядные устройства EU'!$F$56)</f>
        <v>171.25</v>
      </c>
      <c r="S353" s="292" t="str">
        <f aca="false">IF(ISBLANK('Зарядные устройства EU'!$H$56),"",'Зарядные устройства EU'!$H$56)</f>
        <v/>
      </c>
    </row>
    <row r="354" customFormat="false" ht="66" hidden="false" customHeight="true" outlineLevel="0" collapsed="false">
      <c r="A354" s="291" t="str">
        <f aca="true">IF(ISNUMBER($J354),INDIRECT("L"&amp;($J354+4)),"")</f>
        <v/>
      </c>
      <c r="B354" s="291" t="str">
        <f aca="true">IF(ISNUMBER($J354),INDIRECT("M"&amp;($J354+4)),"")</f>
        <v/>
      </c>
      <c r="C354" s="296" t="str">
        <f aca="true">IF(ISNUMBER($J354),INDIRECT("N"&amp;($J354+4)),"")</f>
        <v/>
      </c>
      <c r="D354" s="291" t="str">
        <f aca="true">IF(ISNUMBER($J354),INDIRECT("O"&amp;($J354+4)),"")</f>
        <v/>
      </c>
      <c r="E354" s="291" t="str">
        <f aca="true">IF(ISNUMBER($J354),INDIRECT("P"&amp;($J354+4)),"")</f>
        <v/>
      </c>
      <c r="F354" s="300" t="str">
        <f aca="true">IF(ISNUMBER($J354),INDIRECT("Q"&amp;($J354+4)),"")</f>
        <v/>
      </c>
      <c r="G354" s="298" t="str">
        <f aca="true">IF(ISNUMBER($J354),INDIRECT("R"&amp;($J354+4)),"")</f>
        <v/>
      </c>
      <c r="H354" s="298" t="str">
        <f aca="true">IF(ISNUMBER($J354),INDIRECT("S"&amp;($J354+4)),"")</f>
        <v/>
      </c>
      <c r="J354" s="292" t="str">
        <f aca="true">IF(350&lt;=$K$1,MATCH(349.5,INDIRECT("$K$4:$K$1374"),1),"")</f>
        <v/>
      </c>
      <c r="K354" s="292" t="n">
        <f aca="false">$K$260+COUNTIF($Q$261:Q354,"&gt;0")</f>
        <v>0</v>
      </c>
      <c r="L354" s="292" t="str">
        <f aca="false">"Зарядные устройства EU"</f>
        <v>Зарядные устройства EU</v>
      </c>
      <c r="M354" s="292" t="str">
        <f aca="false">IF(ISBLANK('Зарядные устройства EU'!$A$57),"",'Зарядные устройства EU'!$A$57)</f>
        <v>BAS73A Source PD20W зарядное устройство набор (C на C)(EU)</v>
      </c>
      <c r="N354" s="292" t="str">
        <f aca="false">IF(ISBLANK('Зарядные устройства EU'!$D$57),"",'Зарядные устройства EU'!$D$57)</f>
        <v>6941991122736</v>
      </c>
      <c r="O354" s="292" t="str">
        <f aca="false">IF(ISBLANK('Зарядные устройства EU'!$E$57),"",'Зарядные устройства EU'!$E$57)</f>
        <v>черный</v>
      </c>
      <c r="P354" s="292" t="str">
        <f aca="false">"ед."</f>
        <v>ед.</v>
      </c>
      <c r="Q354" s="292" t="n">
        <f aca="false">N('Зарядные устройства EU'!$G$57)</f>
        <v>0</v>
      </c>
      <c r="R354" s="299" t="n">
        <f aca="false">IF(ISBLANK('Зарядные устройства EU'!$F$57),"",'Зарядные устройства EU'!$F$57)</f>
        <v>150.05</v>
      </c>
      <c r="S354" s="292" t="str">
        <f aca="false">IF(ISBLANK('Зарядные устройства EU'!$H$57),"",'Зарядные устройства EU'!$H$57)</f>
        <v/>
      </c>
    </row>
    <row r="355" customFormat="false" ht="66" hidden="false" customHeight="true" outlineLevel="0" collapsed="false">
      <c r="A355" s="291" t="str">
        <f aca="true">IF(ISNUMBER($J355),INDIRECT("L"&amp;($J355+4)),"")</f>
        <v/>
      </c>
      <c r="B355" s="291" t="str">
        <f aca="true">IF(ISNUMBER($J355),INDIRECT("M"&amp;($J355+4)),"")</f>
        <v/>
      </c>
      <c r="C355" s="296" t="str">
        <f aca="true">IF(ISNUMBER($J355),INDIRECT("N"&amp;($J355+4)),"")</f>
        <v/>
      </c>
      <c r="D355" s="291" t="str">
        <f aca="true">IF(ISNUMBER($J355),INDIRECT("O"&amp;($J355+4)),"")</f>
        <v/>
      </c>
      <c r="E355" s="291" t="str">
        <f aca="true">IF(ISNUMBER($J355),INDIRECT("P"&amp;($J355+4)),"")</f>
        <v/>
      </c>
      <c r="F355" s="300" t="str">
        <f aca="true">IF(ISNUMBER($J355),INDIRECT("Q"&amp;($J355+4)),"")</f>
        <v/>
      </c>
      <c r="G355" s="298" t="str">
        <f aca="true">IF(ISNUMBER($J355),INDIRECT("R"&amp;($J355+4)),"")</f>
        <v/>
      </c>
      <c r="H355" s="298" t="str">
        <f aca="true">IF(ISNUMBER($J355),INDIRECT("S"&amp;($J355+4)),"")</f>
        <v/>
      </c>
      <c r="J355" s="292" t="str">
        <f aca="true">IF(351&lt;=$K$1,MATCH(350.5,INDIRECT("$K$4:$K$1374"),1),"")</f>
        <v/>
      </c>
      <c r="K355" s="292" t="n">
        <f aca="false">$K$260+COUNTIF($Q$261:Q355,"&gt;0")</f>
        <v>0</v>
      </c>
      <c r="L355" s="292" t="str">
        <f aca="false">"Зарядные устройства EU"</f>
        <v>Зарядные устройства EU</v>
      </c>
      <c r="M355" s="292" t="str">
        <f aca="false">IF(ISBLANK('Зарядные устройства EU'!$A$57),"",'Зарядные устройства EU'!$A$57)</f>
        <v>BAS73A Source PD20W зарядное устройство набор (C на C)(EU)</v>
      </c>
      <c r="N355" s="292" t="str">
        <f aca="false">IF(ISBLANK('Зарядные устройства EU'!$D$58),"",'Зарядные устройства EU'!$D$58)</f>
        <v>6941991122743</v>
      </c>
      <c r="O355" s="292" t="str">
        <f aca="false">IF(ISBLANK('Зарядные устройства EU'!$E$58),"",'Зарядные устройства EU'!$E$58)</f>
        <v>белый</v>
      </c>
      <c r="P355" s="292" t="str">
        <f aca="false">"ед."</f>
        <v>ед.</v>
      </c>
      <c r="Q355" s="292" t="n">
        <f aca="false">N('Зарядные устройства EU'!$G$58)</f>
        <v>0</v>
      </c>
      <c r="R355" s="299" t="n">
        <f aca="false">IF(ISBLANK('Зарядные устройства EU'!$F$58),"",'Зарядные устройства EU'!$F$58)</f>
        <v>150.05</v>
      </c>
      <c r="S355" s="292" t="str">
        <f aca="false">IF(ISBLANK('Зарядные устройства EU'!$H$58),"",'Зарядные устройства EU'!$H$58)</f>
        <v/>
      </c>
    </row>
    <row r="356" customFormat="false" ht="66" hidden="false" customHeight="true" outlineLevel="0" collapsed="false">
      <c r="A356" s="291" t="str">
        <f aca="true">IF(ISNUMBER($J356),INDIRECT("L"&amp;($J356+4)),"")</f>
        <v/>
      </c>
      <c r="B356" s="291" t="str">
        <f aca="true">IF(ISNUMBER($J356),INDIRECT("M"&amp;($J356+4)),"")</f>
        <v/>
      </c>
      <c r="C356" s="296" t="str">
        <f aca="true">IF(ISNUMBER($J356),INDIRECT("N"&amp;($J356+4)),"")</f>
        <v/>
      </c>
      <c r="D356" s="291" t="str">
        <f aca="true">IF(ISNUMBER($J356),INDIRECT("O"&amp;($J356+4)),"")</f>
        <v/>
      </c>
      <c r="E356" s="291" t="str">
        <f aca="true">IF(ISNUMBER($J356),INDIRECT("P"&amp;($J356+4)),"")</f>
        <v/>
      </c>
      <c r="F356" s="300" t="str">
        <f aca="true">IF(ISNUMBER($J356),INDIRECT("Q"&amp;($J356+4)),"")</f>
        <v/>
      </c>
      <c r="G356" s="298" t="str">
        <f aca="true">IF(ISNUMBER($J356),INDIRECT("R"&amp;($J356+4)),"")</f>
        <v/>
      </c>
      <c r="H356" s="298" t="str">
        <f aca="true">IF(ISNUMBER($J356),INDIRECT("S"&amp;($J356+4)),"")</f>
        <v/>
      </c>
      <c r="J356" s="292" t="str">
        <f aca="true">IF(352&lt;=$K$1,MATCH(351.5,INDIRECT("$K$4:$K$1374"),1),"")</f>
        <v/>
      </c>
      <c r="K356" s="292" t="n">
        <f aca="false">$K$260+COUNTIF($Q$261:Q356,"&gt;0")</f>
        <v>0</v>
      </c>
      <c r="L356" s="292" t="str">
        <f aca="false">"Зарядные устройства EU"</f>
        <v>Зарядные устройства EU</v>
      </c>
      <c r="M356" s="292" t="str">
        <f aca="false">IF(ISBLANK('Зарядные устройства EU'!$A$59),"",'Зарядные устройства EU'!$A$59)</f>
        <v>BAS72A Source QC3.0 зарядное устройство (EU)</v>
      </c>
      <c r="N356" s="292" t="str">
        <f aca="false">IF(ISBLANK('Зарядные устройства EU'!$D$59),"",'Зарядные устройства EU'!$D$59)</f>
        <v>6941991122637</v>
      </c>
      <c r="O356" s="292" t="str">
        <f aca="false">IF(ISBLANK('Зарядные устройства EU'!$E$59),"",'Зарядные устройства EU'!$E$59)</f>
        <v>черный</v>
      </c>
      <c r="P356" s="292" t="str">
        <f aca="false">"ед."</f>
        <v>ед.</v>
      </c>
      <c r="Q356" s="292" t="n">
        <f aca="false">N('Зарядные устройства EU'!$G$59)</f>
        <v>0</v>
      </c>
      <c r="R356" s="299" t="n">
        <f aca="false">IF(ISBLANK('Зарядные устройства EU'!$F$59),"",'Зарядные устройства EU'!$F$59)</f>
        <v>109.27</v>
      </c>
      <c r="S356" s="292" t="str">
        <f aca="false">IF(ISBLANK('Зарядные устройства EU'!$H$59),"",'Зарядные устройства EU'!$H$59)</f>
        <v/>
      </c>
    </row>
    <row r="357" customFormat="false" ht="66" hidden="false" customHeight="true" outlineLevel="0" collapsed="false">
      <c r="A357" s="291" t="str">
        <f aca="true">IF(ISNUMBER($J357),INDIRECT("L"&amp;($J357+4)),"")</f>
        <v/>
      </c>
      <c r="B357" s="291" t="str">
        <f aca="true">IF(ISNUMBER($J357),INDIRECT("M"&amp;($J357+4)),"")</f>
        <v/>
      </c>
      <c r="C357" s="296" t="str">
        <f aca="true">IF(ISNUMBER($J357),INDIRECT("N"&amp;($J357+4)),"")</f>
        <v/>
      </c>
      <c r="D357" s="291" t="str">
        <f aca="true">IF(ISNUMBER($J357),INDIRECT("O"&amp;($J357+4)),"")</f>
        <v/>
      </c>
      <c r="E357" s="291" t="str">
        <f aca="true">IF(ISNUMBER($J357),INDIRECT("P"&amp;($J357+4)),"")</f>
        <v/>
      </c>
      <c r="F357" s="300" t="str">
        <f aca="true">IF(ISNUMBER($J357),INDIRECT("Q"&amp;($J357+4)),"")</f>
        <v/>
      </c>
      <c r="G357" s="298" t="str">
        <f aca="true">IF(ISNUMBER($J357),INDIRECT("R"&amp;($J357+4)),"")</f>
        <v/>
      </c>
      <c r="H357" s="298" t="str">
        <f aca="true">IF(ISNUMBER($J357),INDIRECT("S"&amp;($J357+4)),"")</f>
        <v/>
      </c>
      <c r="J357" s="292" t="str">
        <f aca="true">IF(353&lt;=$K$1,MATCH(352.5,INDIRECT("$K$4:$K$1374"),1),"")</f>
        <v/>
      </c>
      <c r="K357" s="292" t="n">
        <f aca="false">$K$260+COUNTIF($Q$261:Q357,"&gt;0")</f>
        <v>0</v>
      </c>
      <c r="L357" s="292" t="str">
        <f aca="false">"Зарядные устройства EU"</f>
        <v>Зарядные устройства EU</v>
      </c>
      <c r="M357" s="292" t="str">
        <f aca="false">IF(ISBLANK('Зарядные устройства EU'!$A$59),"",'Зарядные устройства EU'!$A$59)</f>
        <v>BAS72A Source QC3.0 зарядное устройство (EU)</v>
      </c>
      <c r="N357" s="292" t="str">
        <f aca="false">IF(ISBLANK('Зарядные устройства EU'!$D$60),"",'Зарядные устройства EU'!$D$60)</f>
        <v>6941991122644</v>
      </c>
      <c r="O357" s="292" t="str">
        <f aca="false">IF(ISBLANK('Зарядные устройства EU'!$E$60),"",'Зарядные устройства EU'!$E$60)</f>
        <v>белый</v>
      </c>
      <c r="P357" s="292" t="str">
        <f aca="false">"ед."</f>
        <v>ед.</v>
      </c>
      <c r="Q357" s="292" t="n">
        <f aca="false">N('Зарядные устройства EU'!$G$60)</f>
        <v>0</v>
      </c>
      <c r="R357" s="299" t="n">
        <f aca="false">IF(ISBLANK('Зарядные устройства EU'!$F$60),"",'Зарядные устройства EU'!$F$60)</f>
        <v>109.27</v>
      </c>
      <c r="S357" s="292" t="str">
        <f aca="false">IF(ISBLANK('Зарядные устройства EU'!$H$60),"",'Зарядные устройства EU'!$H$60)</f>
        <v/>
      </c>
    </row>
    <row r="358" customFormat="false" ht="66" hidden="false" customHeight="true" outlineLevel="0" collapsed="false">
      <c r="A358" s="291" t="str">
        <f aca="true">IF(ISNUMBER($J358),INDIRECT("L"&amp;($J358+4)),"")</f>
        <v/>
      </c>
      <c r="B358" s="291" t="str">
        <f aca="true">IF(ISNUMBER($J358),INDIRECT("M"&amp;($J358+4)),"")</f>
        <v/>
      </c>
      <c r="C358" s="296" t="str">
        <f aca="true">IF(ISNUMBER($J358),INDIRECT("N"&amp;($J358+4)),"")</f>
        <v/>
      </c>
      <c r="D358" s="291" t="str">
        <f aca="true">IF(ISNUMBER($J358),INDIRECT("O"&amp;($J358+4)),"")</f>
        <v/>
      </c>
      <c r="E358" s="291" t="str">
        <f aca="true">IF(ISNUMBER($J358),INDIRECT("P"&amp;($J358+4)),"")</f>
        <v/>
      </c>
      <c r="F358" s="300" t="str">
        <f aca="true">IF(ISNUMBER($J358),INDIRECT("Q"&amp;($J358+4)),"")</f>
        <v/>
      </c>
      <c r="G358" s="298" t="str">
        <f aca="true">IF(ISNUMBER($J358),INDIRECT("R"&amp;($J358+4)),"")</f>
        <v/>
      </c>
      <c r="H358" s="298" t="str">
        <f aca="true">IF(ISNUMBER($J358),INDIRECT("S"&amp;($J358+4)),"")</f>
        <v/>
      </c>
      <c r="J358" s="292" t="str">
        <f aca="true">IF(354&lt;=$K$1,MATCH(353.5,INDIRECT("$K$4:$K$1374"),1),"")</f>
        <v/>
      </c>
      <c r="K358" s="292" t="n">
        <f aca="false">$K$260+COUNTIF($Q$261:Q358,"&gt;0")</f>
        <v>0</v>
      </c>
      <c r="L358" s="292" t="str">
        <f aca="false">"Зарядные устройства EU"</f>
        <v>Зарядные устройства EU</v>
      </c>
      <c r="M358" s="292" t="str">
        <f aca="false">IF(ISBLANK('Зарядные устройства EU'!$A$61),"",'Зарядные устройства EU'!$A$61)</f>
        <v>BAS72A Source QC3.0 зарядное устройство набор (Micro)(EU)</v>
      </c>
      <c r="N358" s="292" t="str">
        <f aca="false">IF(ISBLANK('Зарядные устройства EU'!$D$61),"",'Зарядные устройства EU'!$D$61)</f>
        <v>6941991122651</v>
      </c>
      <c r="O358" s="292" t="str">
        <f aca="false">IF(ISBLANK('Зарядные устройства EU'!$E$61),"",'Зарядные устройства EU'!$E$61)</f>
        <v>черный</v>
      </c>
      <c r="P358" s="292" t="str">
        <f aca="false">"ед."</f>
        <v>ед.</v>
      </c>
      <c r="Q358" s="292" t="n">
        <f aca="false">N('Зарядные устройства EU'!$G$61)</f>
        <v>0</v>
      </c>
      <c r="R358" s="299" t="n">
        <f aca="false">IF(ISBLANK('Зарядные устройства EU'!$F$61),"",'Зарядные устройства EU'!$F$61)</f>
        <v>132.11</v>
      </c>
      <c r="S358" s="292" t="str">
        <f aca="false">IF(ISBLANK('Зарядные устройства EU'!$H$61),"",'Зарядные устройства EU'!$H$61)</f>
        <v/>
      </c>
    </row>
    <row r="359" customFormat="false" ht="66" hidden="false" customHeight="true" outlineLevel="0" collapsed="false">
      <c r="A359" s="291" t="str">
        <f aca="true">IF(ISNUMBER($J359),INDIRECT("L"&amp;($J359+4)),"")</f>
        <v/>
      </c>
      <c r="B359" s="291" t="str">
        <f aca="true">IF(ISNUMBER($J359),INDIRECT("M"&amp;($J359+4)),"")</f>
        <v/>
      </c>
      <c r="C359" s="296" t="str">
        <f aca="true">IF(ISNUMBER($J359),INDIRECT("N"&amp;($J359+4)),"")</f>
        <v/>
      </c>
      <c r="D359" s="291" t="str">
        <f aca="true">IF(ISNUMBER($J359),INDIRECT("O"&amp;($J359+4)),"")</f>
        <v/>
      </c>
      <c r="E359" s="291" t="str">
        <f aca="true">IF(ISNUMBER($J359),INDIRECT("P"&amp;($J359+4)),"")</f>
        <v/>
      </c>
      <c r="F359" s="300" t="str">
        <f aca="true">IF(ISNUMBER($J359),INDIRECT("Q"&amp;($J359+4)),"")</f>
        <v/>
      </c>
      <c r="G359" s="298" t="str">
        <f aca="true">IF(ISNUMBER($J359),INDIRECT("R"&amp;($J359+4)),"")</f>
        <v/>
      </c>
      <c r="H359" s="298" t="str">
        <f aca="true">IF(ISNUMBER($J359),INDIRECT("S"&amp;($J359+4)),"")</f>
        <v/>
      </c>
      <c r="J359" s="292" t="str">
        <f aca="true">IF(355&lt;=$K$1,MATCH(354.5,INDIRECT("$K$4:$K$1374"),1),"")</f>
        <v/>
      </c>
      <c r="K359" s="292" t="n">
        <f aca="false">$K$260+COUNTIF($Q$261:Q359,"&gt;0")</f>
        <v>0</v>
      </c>
      <c r="L359" s="292" t="str">
        <f aca="false">"Зарядные устройства EU"</f>
        <v>Зарядные устройства EU</v>
      </c>
      <c r="M359" s="292" t="str">
        <f aca="false">IF(ISBLANK('Зарядные устройства EU'!$A$61),"",'Зарядные устройства EU'!$A$61)</f>
        <v>BAS72A Source QC3.0 зарядное устройство набор (Micro)(EU)</v>
      </c>
      <c r="N359" s="292" t="str">
        <f aca="false">IF(ISBLANK('Зарядные устройства EU'!$D$62),"",'Зарядные устройства EU'!$D$62)</f>
        <v>6941991122668</v>
      </c>
      <c r="O359" s="292" t="str">
        <f aca="false">IF(ISBLANK('Зарядные устройства EU'!$E$62),"",'Зарядные устройства EU'!$E$62)</f>
        <v>белый</v>
      </c>
      <c r="P359" s="292" t="str">
        <f aca="false">"ед."</f>
        <v>ед.</v>
      </c>
      <c r="Q359" s="292" t="n">
        <f aca="false">N('Зарядные устройства EU'!$G$62)</f>
        <v>0</v>
      </c>
      <c r="R359" s="299" t="n">
        <f aca="false">IF(ISBLANK('Зарядные устройства EU'!$F$62),"",'Зарядные устройства EU'!$F$62)</f>
        <v>132.11</v>
      </c>
      <c r="S359" s="292" t="str">
        <f aca="false">IF(ISBLANK('Зарядные устройства EU'!$H$62),"",'Зарядные устройства EU'!$H$62)</f>
        <v/>
      </c>
    </row>
    <row r="360" customFormat="false" ht="66" hidden="false" customHeight="true" outlineLevel="0" collapsed="false">
      <c r="A360" s="291" t="str">
        <f aca="true">IF(ISNUMBER($J360),INDIRECT("L"&amp;($J360+4)),"")</f>
        <v/>
      </c>
      <c r="B360" s="291" t="str">
        <f aca="true">IF(ISNUMBER($J360),INDIRECT("M"&amp;($J360+4)),"")</f>
        <v/>
      </c>
      <c r="C360" s="296" t="str">
        <f aca="true">IF(ISNUMBER($J360),INDIRECT("N"&amp;($J360+4)),"")</f>
        <v/>
      </c>
      <c r="D360" s="291" t="str">
        <f aca="true">IF(ISNUMBER($J360),INDIRECT("O"&amp;($J360+4)),"")</f>
        <v/>
      </c>
      <c r="E360" s="291" t="str">
        <f aca="true">IF(ISNUMBER($J360),INDIRECT("P"&amp;($J360+4)),"")</f>
        <v/>
      </c>
      <c r="F360" s="300" t="str">
        <f aca="true">IF(ISNUMBER($J360),INDIRECT("Q"&amp;($J360+4)),"")</f>
        <v/>
      </c>
      <c r="G360" s="298" t="str">
        <f aca="true">IF(ISNUMBER($J360),INDIRECT("R"&amp;($J360+4)),"")</f>
        <v/>
      </c>
      <c r="H360" s="298" t="str">
        <f aca="true">IF(ISNUMBER($J360),INDIRECT("S"&amp;($J360+4)),"")</f>
        <v/>
      </c>
      <c r="J360" s="292" t="str">
        <f aca="true">IF(356&lt;=$K$1,MATCH(355.5,INDIRECT("$K$4:$K$1374"),1),"")</f>
        <v/>
      </c>
      <c r="K360" s="292" t="n">
        <f aca="false">$K$260+COUNTIF($Q$261:Q360,"&gt;0")</f>
        <v>0</v>
      </c>
      <c r="L360" s="292" t="str">
        <f aca="false">"Зарядные устройства EU"</f>
        <v>Зарядные устройства EU</v>
      </c>
      <c r="M360" s="292" t="str">
        <f aca="false">IF(ISBLANK('Зарядные устройства EU'!$A$63),"",'Зарядные устройства EU'!$A$63)</f>
        <v>BAS72A Source QC3.0 зарядное устройство набор (Type-C)(EU)</v>
      </c>
      <c r="N360" s="292" t="str">
        <f aca="false">IF(ISBLANK('Зарядные устройства EU'!$D$63),"",'Зарядные устройства EU'!$D$63)</f>
        <v>6941991122675</v>
      </c>
      <c r="O360" s="292" t="str">
        <f aca="false">IF(ISBLANK('Зарядные устройства EU'!$E$63),"",'Зарядные устройства EU'!$E$63)</f>
        <v>черный</v>
      </c>
      <c r="P360" s="292" t="str">
        <f aca="false">"ед."</f>
        <v>ед.</v>
      </c>
      <c r="Q360" s="292" t="n">
        <f aca="false">N('Зарядные устройства EU'!$G$63)</f>
        <v>0</v>
      </c>
      <c r="R360" s="299" t="n">
        <f aca="false">IF(ISBLANK('Зарядные устройства EU'!$F$63),"",'Зарядные устройства EU'!$F$63)</f>
        <v>137</v>
      </c>
      <c r="S360" s="292" t="str">
        <f aca="false">IF(ISBLANK('Зарядные устройства EU'!$H$63),"",'Зарядные устройства EU'!$H$63)</f>
        <v/>
      </c>
    </row>
    <row r="361" customFormat="false" ht="66" hidden="false" customHeight="true" outlineLevel="0" collapsed="false">
      <c r="A361" s="291" t="str">
        <f aca="true">IF(ISNUMBER($J361),INDIRECT("L"&amp;($J361+4)),"")</f>
        <v/>
      </c>
      <c r="B361" s="291" t="str">
        <f aca="true">IF(ISNUMBER($J361),INDIRECT("M"&amp;($J361+4)),"")</f>
        <v/>
      </c>
      <c r="C361" s="296" t="str">
        <f aca="true">IF(ISNUMBER($J361),INDIRECT("N"&amp;($J361+4)),"")</f>
        <v/>
      </c>
      <c r="D361" s="291" t="str">
        <f aca="true">IF(ISNUMBER($J361),INDIRECT("O"&amp;($J361+4)),"")</f>
        <v/>
      </c>
      <c r="E361" s="291" t="str">
        <f aca="true">IF(ISNUMBER($J361),INDIRECT("P"&amp;($J361+4)),"")</f>
        <v/>
      </c>
      <c r="F361" s="300" t="str">
        <f aca="true">IF(ISNUMBER($J361),INDIRECT("Q"&amp;($J361+4)),"")</f>
        <v/>
      </c>
      <c r="G361" s="298" t="str">
        <f aca="true">IF(ISNUMBER($J361),INDIRECT("R"&amp;($J361+4)),"")</f>
        <v/>
      </c>
      <c r="H361" s="298" t="str">
        <f aca="true">IF(ISNUMBER($J361),INDIRECT("S"&amp;($J361+4)),"")</f>
        <v/>
      </c>
      <c r="J361" s="292" t="str">
        <f aca="true">IF(357&lt;=$K$1,MATCH(356.5,INDIRECT("$K$4:$K$1374"),1),"")</f>
        <v/>
      </c>
      <c r="K361" s="292" t="n">
        <f aca="false">$K$260+COUNTIF($Q$261:Q361,"&gt;0")</f>
        <v>0</v>
      </c>
      <c r="L361" s="292" t="str">
        <f aca="false">"Зарядные устройства EU"</f>
        <v>Зарядные устройства EU</v>
      </c>
      <c r="M361" s="292" t="str">
        <f aca="false">IF(ISBLANK('Зарядные устройства EU'!$A$63),"",'Зарядные устройства EU'!$A$63)</f>
        <v>BAS72A Source QC3.0 зарядное устройство набор (Type-C)(EU)</v>
      </c>
      <c r="N361" s="292" t="str">
        <f aca="false">IF(ISBLANK('Зарядные устройства EU'!$D$64),"",'Зарядные устройства EU'!$D$64)</f>
        <v>6941991122682</v>
      </c>
      <c r="O361" s="292" t="str">
        <f aca="false">IF(ISBLANK('Зарядные устройства EU'!$E$64),"",'Зарядные устройства EU'!$E$64)</f>
        <v>белый</v>
      </c>
      <c r="P361" s="292" t="str">
        <f aca="false">"ед."</f>
        <v>ед.</v>
      </c>
      <c r="Q361" s="292" t="n">
        <f aca="false">N('Зарядные устройства EU'!$G$64)</f>
        <v>0</v>
      </c>
      <c r="R361" s="299" t="n">
        <f aca="false">IF(ISBLANK('Зарядные устройства EU'!$F$64),"",'Зарядные устройства EU'!$F$64)</f>
        <v>137</v>
      </c>
      <c r="S361" s="292" t="str">
        <f aca="false">IF(ISBLANK('Зарядные устройства EU'!$H$64),"",'Зарядные устройства EU'!$H$64)</f>
        <v/>
      </c>
    </row>
    <row r="362" customFormat="false" ht="66" hidden="false" customHeight="true" outlineLevel="0" collapsed="false">
      <c r="A362" s="291" t="str">
        <f aca="true">IF(ISNUMBER($J362),INDIRECT("L"&amp;($J362+4)),"")</f>
        <v/>
      </c>
      <c r="B362" s="291" t="str">
        <f aca="true">IF(ISNUMBER($J362),INDIRECT("M"&amp;($J362+4)),"")</f>
        <v/>
      </c>
      <c r="C362" s="296" t="str">
        <f aca="true">IF(ISNUMBER($J362),INDIRECT("N"&amp;($J362+4)),"")</f>
        <v/>
      </c>
      <c r="D362" s="291" t="str">
        <f aca="true">IF(ISNUMBER($J362),INDIRECT("O"&amp;($J362+4)),"")</f>
        <v/>
      </c>
      <c r="E362" s="291" t="str">
        <f aca="true">IF(ISNUMBER($J362),INDIRECT("P"&amp;($J362+4)),"")</f>
        <v/>
      </c>
      <c r="F362" s="300" t="str">
        <f aca="true">IF(ISNUMBER($J362),INDIRECT("Q"&amp;($J362+4)),"")</f>
        <v/>
      </c>
      <c r="G362" s="298" t="str">
        <f aca="true">IF(ISNUMBER($J362),INDIRECT("R"&amp;($J362+4)),"")</f>
        <v/>
      </c>
      <c r="H362" s="298" t="str">
        <f aca="true">IF(ISNUMBER($J362),INDIRECT("S"&amp;($J362+4)),"")</f>
        <v/>
      </c>
      <c r="J362" s="292" t="str">
        <f aca="true">IF(358&lt;=$K$1,MATCH(357.5,INDIRECT("$K$4:$K$1374"),1),"")</f>
        <v/>
      </c>
      <c r="K362" s="292" t="n">
        <f aca="false">$K$260+COUNTIF($Q$261:Q362,"&gt;0")</f>
        <v>0</v>
      </c>
      <c r="L362" s="292" t="str">
        <f aca="false">"Зарядные устройства EU"</f>
        <v>Зарядные устройства EU</v>
      </c>
      <c r="M362" s="292" t="str">
        <f aca="false">IF(ISBLANK('Зарядные устройства EU'!$A$65),"",'Зарядные устройства EU'!$A$65)</f>
        <v>BAS71A Source зарядное устройство (EU)</v>
      </c>
      <c r="N362" s="292" t="str">
        <f aca="false">IF(ISBLANK('Зарядные устройства EU'!$D$65),"",'Зарядные устройства EU'!$D$65)</f>
        <v>6941991122552</v>
      </c>
      <c r="O362" s="292" t="str">
        <f aca="false">IF(ISBLANK('Зарядные устройства EU'!$E$65),"",'Зарядные устройства EU'!$E$65)</f>
        <v>черный</v>
      </c>
      <c r="P362" s="292" t="str">
        <f aca="false">"ед."</f>
        <v>ед.</v>
      </c>
      <c r="Q362" s="292" t="n">
        <f aca="false">N('Зарядные устройства EU'!$G$65)</f>
        <v>0</v>
      </c>
      <c r="R362" s="299" t="n">
        <f aca="false">IF(ISBLANK('Зарядные устройства EU'!$F$65),"",'Зарядные устройства EU'!$F$65)</f>
        <v>78.29</v>
      </c>
      <c r="S362" s="292" t="str">
        <f aca="false">IF(ISBLANK('Зарядные устройства EU'!$H$65),"",'Зарядные устройства EU'!$H$65)</f>
        <v/>
      </c>
    </row>
    <row r="363" customFormat="false" ht="66" hidden="false" customHeight="true" outlineLevel="0" collapsed="false">
      <c r="A363" s="291" t="str">
        <f aca="true">IF(ISNUMBER($J363),INDIRECT("L"&amp;($J363+4)),"")</f>
        <v/>
      </c>
      <c r="B363" s="291" t="str">
        <f aca="true">IF(ISNUMBER($J363),INDIRECT("M"&amp;($J363+4)),"")</f>
        <v/>
      </c>
      <c r="C363" s="296" t="str">
        <f aca="true">IF(ISNUMBER($J363),INDIRECT("N"&amp;($J363+4)),"")</f>
        <v/>
      </c>
      <c r="D363" s="291" t="str">
        <f aca="true">IF(ISNUMBER($J363),INDIRECT("O"&amp;($J363+4)),"")</f>
        <v/>
      </c>
      <c r="E363" s="291" t="str">
        <f aca="true">IF(ISNUMBER($J363),INDIRECT("P"&amp;($J363+4)),"")</f>
        <v/>
      </c>
      <c r="F363" s="300" t="str">
        <f aca="true">IF(ISNUMBER($J363),INDIRECT("Q"&amp;($J363+4)),"")</f>
        <v/>
      </c>
      <c r="G363" s="298" t="str">
        <f aca="true">IF(ISNUMBER($J363),INDIRECT("R"&amp;($J363+4)),"")</f>
        <v/>
      </c>
      <c r="H363" s="298" t="str">
        <f aca="true">IF(ISNUMBER($J363),INDIRECT("S"&amp;($J363+4)),"")</f>
        <v/>
      </c>
      <c r="J363" s="292" t="str">
        <f aca="true">IF(359&lt;=$K$1,MATCH(358.5,INDIRECT("$K$4:$K$1374"),1),"")</f>
        <v/>
      </c>
      <c r="K363" s="292" t="n">
        <f aca="false">$K$260+COUNTIF($Q$261:Q363,"&gt;0")</f>
        <v>0</v>
      </c>
      <c r="L363" s="292" t="str">
        <f aca="false">"Зарядные устройства EU"</f>
        <v>Зарядные устройства EU</v>
      </c>
      <c r="M363" s="292" t="str">
        <f aca="false">IF(ISBLANK('Зарядные устройства EU'!$A$65),"",'Зарядные устройства EU'!$A$65)</f>
        <v>BAS71A Source зарядное устройство (EU)</v>
      </c>
      <c r="N363" s="292" t="str">
        <f aca="false">IF(ISBLANK('Зарядные устройства EU'!$D$66),"",'Зарядные устройства EU'!$D$66)</f>
        <v>6941991122569</v>
      </c>
      <c r="O363" s="292" t="str">
        <f aca="false">IF(ISBLANK('Зарядные устройства EU'!$E$66),"",'Зарядные устройства EU'!$E$66)</f>
        <v>белый</v>
      </c>
      <c r="P363" s="292" t="str">
        <f aca="false">"ед."</f>
        <v>ед.</v>
      </c>
      <c r="Q363" s="292" t="n">
        <f aca="false">N('Зарядные устройства EU'!$G$66)</f>
        <v>0</v>
      </c>
      <c r="R363" s="299" t="n">
        <f aca="false">IF(ISBLANK('Зарядные устройства EU'!$F$66),"",'Зарядные устройства EU'!$F$66)</f>
        <v>78.29</v>
      </c>
      <c r="S363" s="292" t="str">
        <f aca="false">IF(ISBLANK('Зарядные устройства EU'!$H$66),"",'Зарядные устройства EU'!$H$66)</f>
        <v/>
      </c>
    </row>
    <row r="364" customFormat="false" ht="66" hidden="false" customHeight="true" outlineLevel="0" collapsed="false">
      <c r="A364" s="291" t="str">
        <f aca="true">IF(ISNUMBER($J364),INDIRECT("L"&amp;($J364+4)),"")</f>
        <v/>
      </c>
      <c r="B364" s="291" t="str">
        <f aca="true">IF(ISNUMBER($J364),INDIRECT("M"&amp;($J364+4)),"")</f>
        <v/>
      </c>
      <c r="C364" s="296" t="str">
        <f aca="true">IF(ISNUMBER($J364),INDIRECT("N"&amp;($J364+4)),"")</f>
        <v/>
      </c>
      <c r="D364" s="291" t="str">
        <f aca="true">IF(ISNUMBER($J364),INDIRECT("O"&amp;($J364+4)),"")</f>
        <v/>
      </c>
      <c r="E364" s="291" t="str">
        <f aca="true">IF(ISNUMBER($J364),INDIRECT("P"&amp;($J364+4)),"")</f>
        <v/>
      </c>
      <c r="F364" s="300" t="str">
        <f aca="true">IF(ISNUMBER($J364),INDIRECT("Q"&amp;($J364+4)),"")</f>
        <v/>
      </c>
      <c r="G364" s="298" t="str">
        <f aca="true">IF(ISNUMBER($J364),INDIRECT("R"&amp;($J364+4)),"")</f>
        <v/>
      </c>
      <c r="H364" s="298" t="str">
        <f aca="true">IF(ISNUMBER($J364),INDIRECT("S"&amp;($J364+4)),"")</f>
        <v/>
      </c>
      <c r="J364" s="292" t="str">
        <f aca="true">IF(360&lt;=$K$1,MATCH(359.5,INDIRECT("$K$4:$K$1374"),1),"")</f>
        <v/>
      </c>
      <c r="K364" s="292" t="n">
        <f aca="false">$K$260+COUNTIF($Q$261:Q364,"&gt;0")</f>
        <v>0</v>
      </c>
      <c r="L364" s="292" t="str">
        <f aca="false">"Зарядные устройства EU"</f>
        <v>Зарядные устройства EU</v>
      </c>
      <c r="M364" s="292" t="str">
        <f aca="false">IF(ISBLANK('Зарядные устройства EU'!$A$67),"",'Зарядные устройства EU'!$A$67)</f>
        <v>BAS71A Source зарядное устройство набор (iP)(EU)</v>
      </c>
      <c r="N364" s="292" t="str">
        <f aca="false">IF(ISBLANK('Зарядные устройства EU'!$D$67),"",'Зарядные устройства EU'!$D$67)</f>
        <v>6941991122576</v>
      </c>
      <c r="O364" s="292" t="str">
        <f aca="false">IF(ISBLANK('Зарядные устройства EU'!$E$67),"",'Зарядные устройства EU'!$E$67)</f>
        <v>черный</v>
      </c>
      <c r="P364" s="292" t="str">
        <f aca="false">"ед."</f>
        <v>ед.</v>
      </c>
      <c r="Q364" s="292" t="n">
        <f aca="false">N('Зарядные устройства EU'!$G$67)</f>
        <v>0</v>
      </c>
      <c r="R364" s="299" t="n">
        <f aca="false">IF(ISBLANK('Зарядные устройства EU'!$F$67),"",'Зарядные устройства EU'!$F$67)</f>
        <v>110.9</v>
      </c>
      <c r="S364" s="292" t="str">
        <f aca="false">IF(ISBLANK('Зарядные устройства EU'!$H$67),"",'Зарядные устройства EU'!$H$67)</f>
        <v/>
      </c>
    </row>
    <row r="365" customFormat="false" ht="66" hidden="false" customHeight="true" outlineLevel="0" collapsed="false">
      <c r="A365" s="291" t="str">
        <f aca="true">IF(ISNUMBER($J365),INDIRECT("L"&amp;($J365+4)),"")</f>
        <v/>
      </c>
      <c r="B365" s="291" t="str">
        <f aca="true">IF(ISNUMBER($J365),INDIRECT("M"&amp;($J365+4)),"")</f>
        <v/>
      </c>
      <c r="C365" s="296" t="str">
        <f aca="true">IF(ISNUMBER($J365),INDIRECT("N"&amp;($J365+4)),"")</f>
        <v/>
      </c>
      <c r="D365" s="291" t="str">
        <f aca="true">IF(ISNUMBER($J365),INDIRECT("O"&amp;($J365+4)),"")</f>
        <v/>
      </c>
      <c r="E365" s="291" t="str">
        <f aca="true">IF(ISNUMBER($J365),INDIRECT("P"&amp;($J365+4)),"")</f>
        <v/>
      </c>
      <c r="F365" s="300" t="str">
        <f aca="true">IF(ISNUMBER($J365),INDIRECT("Q"&amp;($J365+4)),"")</f>
        <v/>
      </c>
      <c r="G365" s="298" t="str">
        <f aca="true">IF(ISNUMBER($J365),INDIRECT("R"&amp;($J365+4)),"")</f>
        <v/>
      </c>
      <c r="H365" s="298" t="str">
        <f aca="true">IF(ISNUMBER($J365),INDIRECT("S"&amp;($J365+4)),"")</f>
        <v/>
      </c>
      <c r="J365" s="292" t="str">
        <f aca="true">IF(361&lt;=$K$1,MATCH(360.5,INDIRECT("$K$4:$K$1374"),1),"")</f>
        <v/>
      </c>
      <c r="K365" s="292" t="n">
        <f aca="false">$K$260+COUNTIF($Q$261:Q365,"&gt;0")</f>
        <v>0</v>
      </c>
      <c r="L365" s="292" t="str">
        <f aca="false">"Зарядные устройства EU"</f>
        <v>Зарядные устройства EU</v>
      </c>
      <c r="M365" s="292" t="str">
        <f aca="false">IF(ISBLANK('Зарядные устройства EU'!$A$67),"",'Зарядные устройства EU'!$A$67)</f>
        <v>BAS71A Source зарядное устройство набор (iP)(EU)</v>
      </c>
      <c r="N365" s="292" t="str">
        <f aca="false">IF(ISBLANK('Зарядные устройства EU'!$D$68),"",'Зарядные устройства EU'!$D$68)</f>
        <v>6941991122583</v>
      </c>
      <c r="O365" s="292" t="str">
        <f aca="false">IF(ISBLANK('Зарядные устройства EU'!$E$68),"",'Зарядные устройства EU'!$E$68)</f>
        <v>белый</v>
      </c>
      <c r="P365" s="292" t="str">
        <f aca="false">"ед."</f>
        <v>ед.</v>
      </c>
      <c r="Q365" s="292" t="n">
        <f aca="false">N('Зарядные устройства EU'!$G$68)</f>
        <v>0</v>
      </c>
      <c r="R365" s="299" t="n">
        <f aca="false">IF(ISBLANK('Зарядные устройства EU'!$F$68),"",'Зарядные устройства EU'!$F$68)</f>
        <v>110.9</v>
      </c>
      <c r="S365" s="292" t="str">
        <f aca="false">IF(ISBLANK('Зарядные устройства EU'!$H$68),"",'Зарядные устройства EU'!$H$68)</f>
        <v/>
      </c>
    </row>
    <row r="366" customFormat="false" ht="66" hidden="false" customHeight="true" outlineLevel="0" collapsed="false">
      <c r="A366" s="291" t="str">
        <f aca="true">IF(ISNUMBER($J366),INDIRECT("L"&amp;($J366+4)),"")</f>
        <v/>
      </c>
      <c r="B366" s="291" t="str">
        <f aca="true">IF(ISNUMBER($J366),INDIRECT("M"&amp;($J366+4)),"")</f>
        <v/>
      </c>
      <c r="C366" s="296" t="str">
        <f aca="true">IF(ISNUMBER($J366),INDIRECT("N"&amp;($J366+4)),"")</f>
        <v/>
      </c>
      <c r="D366" s="291" t="str">
        <f aca="true">IF(ISNUMBER($J366),INDIRECT("O"&amp;($J366+4)),"")</f>
        <v/>
      </c>
      <c r="E366" s="291" t="str">
        <f aca="true">IF(ISNUMBER($J366),INDIRECT("P"&amp;($J366+4)),"")</f>
        <v/>
      </c>
      <c r="F366" s="300" t="str">
        <f aca="true">IF(ISNUMBER($J366),INDIRECT("Q"&amp;($J366+4)),"")</f>
        <v/>
      </c>
      <c r="G366" s="298" t="str">
        <f aca="true">IF(ISNUMBER($J366),INDIRECT("R"&amp;($J366+4)),"")</f>
        <v/>
      </c>
      <c r="H366" s="298" t="str">
        <f aca="true">IF(ISNUMBER($J366),INDIRECT("S"&amp;($J366+4)),"")</f>
        <v/>
      </c>
      <c r="J366" s="292" t="str">
        <f aca="true">IF(362&lt;=$K$1,MATCH(361.5,INDIRECT("$K$4:$K$1374"),1),"")</f>
        <v/>
      </c>
      <c r="K366" s="292" t="n">
        <f aca="false">$K$260+COUNTIF($Q$261:Q366,"&gt;0")</f>
        <v>0</v>
      </c>
      <c r="L366" s="292" t="str">
        <f aca="false">"Зарядные устройства EU"</f>
        <v>Зарядные устройства EU</v>
      </c>
      <c r="M366" s="292" t="str">
        <f aca="false">IF(ISBLANK('Зарядные устройства EU'!$A$69),"",'Зарядные устройства EU'!$A$69)</f>
        <v>BAS71A Source зарядное устройство набор (Micro)(EU)</v>
      </c>
      <c r="N366" s="292" t="str">
        <f aca="false">IF(ISBLANK('Зарядные устройства EU'!$D$69),"",'Зарядные устройства EU'!$D$69)</f>
        <v>6941991122590</v>
      </c>
      <c r="O366" s="292" t="str">
        <f aca="false">IF(ISBLANK('Зарядные устройства EU'!$E$69),"",'Зарядные устройства EU'!$E$69)</f>
        <v>черный</v>
      </c>
      <c r="P366" s="292" t="str">
        <f aca="false">"ед."</f>
        <v>ед.</v>
      </c>
      <c r="Q366" s="292" t="n">
        <f aca="false">N('Зарядные устройства EU'!$G$69)</f>
        <v>0</v>
      </c>
      <c r="R366" s="299" t="n">
        <f aca="false">IF(ISBLANK('Зарядные устройства EU'!$F$69),"",'Зарядные устройства EU'!$F$69)</f>
        <v>99.49</v>
      </c>
      <c r="S366" s="292" t="str">
        <f aca="false">IF(ISBLANK('Зарядные устройства EU'!$H$69),"",'Зарядные устройства EU'!$H$69)</f>
        <v/>
      </c>
    </row>
    <row r="367" customFormat="false" ht="66" hidden="false" customHeight="true" outlineLevel="0" collapsed="false">
      <c r="A367" s="291" t="str">
        <f aca="true">IF(ISNUMBER($J367),INDIRECT("L"&amp;($J367+4)),"")</f>
        <v/>
      </c>
      <c r="B367" s="291" t="str">
        <f aca="true">IF(ISNUMBER($J367),INDIRECT("M"&amp;($J367+4)),"")</f>
        <v/>
      </c>
      <c r="C367" s="296" t="str">
        <f aca="true">IF(ISNUMBER($J367),INDIRECT("N"&amp;($J367+4)),"")</f>
        <v/>
      </c>
      <c r="D367" s="291" t="str">
        <f aca="true">IF(ISNUMBER($J367),INDIRECT("O"&amp;($J367+4)),"")</f>
        <v/>
      </c>
      <c r="E367" s="291" t="str">
        <f aca="true">IF(ISNUMBER($J367),INDIRECT("P"&amp;($J367+4)),"")</f>
        <v/>
      </c>
      <c r="F367" s="300" t="str">
        <f aca="true">IF(ISNUMBER($J367),INDIRECT("Q"&amp;($J367+4)),"")</f>
        <v/>
      </c>
      <c r="G367" s="298" t="str">
        <f aca="true">IF(ISNUMBER($J367),INDIRECT("R"&amp;($J367+4)),"")</f>
        <v/>
      </c>
      <c r="H367" s="298" t="str">
        <f aca="true">IF(ISNUMBER($J367),INDIRECT("S"&amp;($J367+4)),"")</f>
        <v/>
      </c>
      <c r="J367" s="292" t="str">
        <f aca="true">IF(363&lt;=$K$1,MATCH(362.5,INDIRECT("$K$4:$K$1374"),1),"")</f>
        <v/>
      </c>
      <c r="K367" s="292" t="n">
        <f aca="false">$K$260+COUNTIF($Q$261:Q367,"&gt;0")</f>
        <v>0</v>
      </c>
      <c r="L367" s="292" t="str">
        <f aca="false">"Зарядные устройства EU"</f>
        <v>Зарядные устройства EU</v>
      </c>
      <c r="M367" s="292" t="str">
        <f aca="false">IF(ISBLANK('Зарядные устройства EU'!$A$69),"",'Зарядные устройства EU'!$A$69)</f>
        <v>BAS71A Source зарядное устройство набор (Micro)(EU)</v>
      </c>
      <c r="N367" s="292" t="str">
        <f aca="false">IF(ISBLANK('Зарядные устройства EU'!$D$70),"",'Зарядные устройства EU'!$D$70)</f>
        <v>6941991122606</v>
      </c>
      <c r="O367" s="292" t="str">
        <f aca="false">IF(ISBLANK('Зарядные устройства EU'!$E$70),"",'Зарядные устройства EU'!$E$70)</f>
        <v>белый</v>
      </c>
      <c r="P367" s="292" t="str">
        <f aca="false">"ед."</f>
        <v>ед.</v>
      </c>
      <c r="Q367" s="292" t="n">
        <f aca="false">N('Зарядные устройства EU'!$G$70)</f>
        <v>0</v>
      </c>
      <c r="R367" s="299" t="n">
        <f aca="false">IF(ISBLANK('Зарядные устройства EU'!$F$70),"",'Зарядные устройства EU'!$F$70)</f>
        <v>99.49</v>
      </c>
      <c r="S367" s="292" t="str">
        <f aca="false">IF(ISBLANK('Зарядные устройства EU'!$H$70),"",'Зарядные устройства EU'!$H$70)</f>
        <v/>
      </c>
    </row>
    <row r="368" customFormat="false" ht="66" hidden="false" customHeight="true" outlineLevel="0" collapsed="false">
      <c r="A368" s="291" t="str">
        <f aca="true">IF(ISNUMBER($J368),INDIRECT("L"&amp;($J368+4)),"")</f>
        <v/>
      </c>
      <c r="B368" s="291" t="str">
        <f aca="true">IF(ISNUMBER($J368),INDIRECT("M"&amp;($J368+4)),"")</f>
        <v/>
      </c>
      <c r="C368" s="296" t="str">
        <f aca="true">IF(ISNUMBER($J368),INDIRECT("N"&amp;($J368+4)),"")</f>
        <v/>
      </c>
      <c r="D368" s="291" t="str">
        <f aca="true">IF(ISNUMBER($J368),INDIRECT("O"&amp;($J368+4)),"")</f>
        <v/>
      </c>
      <c r="E368" s="291" t="str">
        <f aca="true">IF(ISNUMBER($J368),INDIRECT("P"&amp;($J368+4)),"")</f>
        <v/>
      </c>
      <c r="F368" s="300" t="str">
        <f aca="true">IF(ISNUMBER($J368),INDIRECT("Q"&amp;($J368+4)),"")</f>
        <v/>
      </c>
      <c r="G368" s="298" t="str">
        <f aca="true">IF(ISNUMBER($J368),INDIRECT("R"&amp;($J368+4)),"")</f>
        <v/>
      </c>
      <c r="H368" s="298" t="str">
        <f aca="true">IF(ISNUMBER($J368),INDIRECT("S"&amp;($J368+4)),"")</f>
        <v/>
      </c>
      <c r="J368" s="292" t="str">
        <f aca="true">IF(364&lt;=$K$1,MATCH(363.5,INDIRECT("$K$4:$K$1374"),1),"")</f>
        <v/>
      </c>
      <c r="K368" s="292" t="n">
        <f aca="false">$K$260+COUNTIF($Q$261:Q368,"&gt;0")</f>
        <v>0</v>
      </c>
      <c r="L368" s="292" t="str">
        <f aca="false">"Зарядные устройства EU"</f>
        <v>Зарядные устройства EU</v>
      </c>
      <c r="M368" s="292" t="str">
        <f aca="false">IF(ISBLANK('Зарядные устройства EU'!$A$71),"",'Зарядные устройства EU'!$A$71)</f>
        <v>BAS71A Source зарядное устройство набор (Type-C)(EU)</v>
      </c>
      <c r="N368" s="292" t="str">
        <f aca="false">IF(ISBLANK('Зарядные устройства EU'!$D$71),"",'Зарядные устройства EU'!$D$71)</f>
        <v>6941991122613</v>
      </c>
      <c r="O368" s="292" t="str">
        <f aca="false">IF(ISBLANK('Зарядные устройства EU'!$E$71),"",'Зарядные устройства EU'!$E$71)</f>
        <v>черный</v>
      </c>
      <c r="P368" s="292" t="str">
        <f aca="false">"ед."</f>
        <v>ед.</v>
      </c>
      <c r="Q368" s="292" t="n">
        <f aca="false">N('Зарядные устройства EU'!$G$71)</f>
        <v>0</v>
      </c>
      <c r="R368" s="299" t="n">
        <f aca="false">IF(ISBLANK('Зарядные устройства EU'!$F$71),"",'Зарядные устройства EU'!$F$71)</f>
        <v>106.01</v>
      </c>
      <c r="S368" s="292" t="str">
        <f aca="false">IF(ISBLANK('Зарядные устройства EU'!$H$71),"",'Зарядные устройства EU'!$H$71)</f>
        <v/>
      </c>
    </row>
    <row r="369" customFormat="false" ht="66" hidden="false" customHeight="true" outlineLevel="0" collapsed="false">
      <c r="A369" s="291" t="str">
        <f aca="true">IF(ISNUMBER($J369),INDIRECT("L"&amp;($J369+4)),"")</f>
        <v/>
      </c>
      <c r="B369" s="291" t="str">
        <f aca="true">IF(ISNUMBER($J369),INDIRECT("M"&amp;($J369+4)),"")</f>
        <v/>
      </c>
      <c r="C369" s="296" t="str">
        <f aca="true">IF(ISNUMBER($J369),INDIRECT("N"&amp;($J369+4)),"")</f>
        <v/>
      </c>
      <c r="D369" s="291" t="str">
        <f aca="true">IF(ISNUMBER($J369),INDIRECT("O"&amp;($J369+4)),"")</f>
        <v/>
      </c>
      <c r="E369" s="291" t="str">
        <f aca="true">IF(ISNUMBER($J369),INDIRECT("P"&amp;($J369+4)),"")</f>
        <v/>
      </c>
      <c r="F369" s="300" t="str">
        <f aca="true">IF(ISNUMBER($J369),INDIRECT("Q"&amp;($J369+4)),"")</f>
        <v/>
      </c>
      <c r="G369" s="298" t="str">
        <f aca="true">IF(ISNUMBER($J369),INDIRECT("R"&amp;($J369+4)),"")</f>
        <v/>
      </c>
      <c r="H369" s="298" t="str">
        <f aca="true">IF(ISNUMBER($J369),INDIRECT("S"&amp;($J369+4)),"")</f>
        <v/>
      </c>
      <c r="J369" s="292" t="str">
        <f aca="true">IF(365&lt;=$K$1,MATCH(364.5,INDIRECT("$K$4:$K$1374"),1),"")</f>
        <v/>
      </c>
      <c r="K369" s="292" t="n">
        <f aca="false">$K$260+COUNTIF($Q$261:Q369,"&gt;0")</f>
        <v>0</v>
      </c>
      <c r="L369" s="292" t="str">
        <f aca="false">"Зарядные устройства EU"</f>
        <v>Зарядные устройства EU</v>
      </c>
      <c r="M369" s="292" t="str">
        <f aca="false">IF(ISBLANK('Зарядные устройства EU'!$A$71),"",'Зарядные устройства EU'!$A$71)</f>
        <v>BAS71A Source зарядное устройство набор (Type-C)(EU)</v>
      </c>
      <c r="N369" s="292" t="str">
        <f aca="false">IF(ISBLANK('Зарядные устройства EU'!$D$72),"",'Зарядные устройства EU'!$D$72)</f>
        <v>6941991122620</v>
      </c>
      <c r="O369" s="292" t="str">
        <f aca="false">IF(ISBLANK('Зарядные устройства EU'!$E$72),"",'Зарядные устройства EU'!$E$72)</f>
        <v>белый</v>
      </c>
      <c r="P369" s="292" t="str">
        <f aca="false">"ед."</f>
        <v>ед.</v>
      </c>
      <c r="Q369" s="292" t="n">
        <f aca="false">N('Зарядные устройства EU'!$G$72)</f>
        <v>0</v>
      </c>
      <c r="R369" s="299" t="n">
        <f aca="false">IF(ISBLANK('Зарядные устройства EU'!$F$72),"",'Зарядные устройства EU'!$F$72)</f>
        <v>106.01</v>
      </c>
      <c r="S369" s="292" t="str">
        <f aca="false">IF(ISBLANK('Зарядные устройства EU'!$H$72),"",'Зарядные устройства EU'!$H$72)</f>
        <v/>
      </c>
    </row>
    <row r="370" customFormat="false" ht="66" hidden="false" customHeight="true" outlineLevel="0" collapsed="false">
      <c r="A370" s="291" t="str">
        <f aca="true">IF(ISNUMBER($J370),INDIRECT("L"&amp;($J370+4)),"")</f>
        <v/>
      </c>
      <c r="B370" s="291" t="str">
        <f aca="true">IF(ISNUMBER($J370),INDIRECT("M"&amp;($J370+4)),"")</f>
        <v/>
      </c>
      <c r="C370" s="296" t="str">
        <f aca="true">IF(ISNUMBER($J370),INDIRECT("N"&amp;($J370+4)),"")</f>
        <v/>
      </c>
      <c r="D370" s="291" t="str">
        <f aca="true">IF(ISNUMBER($J370),INDIRECT("O"&amp;($J370+4)),"")</f>
        <v/>
      </c>
      <c r="E370" s="291" t="str">
        <f aca="true">IF(ISNUMBER($J370),INDIRECT("P"&amp;($J370+4)),"")</f>
        <v/>
      </c>
      <c r="F370" s="300" t="str">
        <f aca="true">IF(ISNUMBER($J370),INDIRECT("Q"&amp;($J370+4)),"")</f>
        <v/>
      </c>
      <c r="G370" s="298" t="str">
        <f aca="true">IF(ISNUMBER($J370),INDIRECT("R"&amp;($J370+4)),"")</f>
        <v/>
      </c>
      <c r="H370" s="298" t="str">
        <f aca="true">IF(ISNUMBER($J370),INDIRECT("S"&amp;($J370+4)),"")</f>
        <v/>
      </c>
      <c r="J370" s="292" t="str">
        <f aca="true">IF(366&lt;=$K$1,MATCH(365.5,INDIRECT("$K$4:$K$1374"),1),"")</f>
        <v/>
      </c>
      <c r="K370" s="292" t="n">
        <f aca="false">$K$260+COUNTIF($Q$261:Q370,"&gt;0")</f>
        <v>0</v>
      </c>
      <c r="L370" s="292" t="str">
        <f aca="false">"Зарядные устройства EU"</f>
        <v>Зарядные устройства EU</v>
      </c>
      <c r="M370" s="292" t="str">
        <f aca="false">IF(ISBLANK('Зарядные устройства EU'!$A$73),"",'Зарядные устройства EU'!$A$73)</f>
        <v>BAS45A Potential PD30W+QC3.0 зарядное устройство (EU)</v>
      </c>
      <c r="N370" s="292" t="str">
        <f aca="false">IF(ISBLANK('Зарядные устройства EU'!$D$73),"",'Зарядные устройства EU'!$D$73)</f>
        <v>6941991113871</v>
      </c>
      <c r="O370" s="292" t="str">
        <f aca="false">IF(ISBLANK('Зарядные устройства EU'!$E$73),"",'Зарядные устройства EU'!$E$73)</f>
        <v>белый</v>
      </c>
      <c r="P370" s="292" t="str">
        <f aca="false">"ед."</f>
        <v>ед.</v>
      </c>
      <c r="Q370" s="292" t="n">
        <f aca="false">N('Зарядные устройства EU'!$G$73)</f>
        <v>0</v>
      </c>
      <c r="R370" s="299" t="n">
        <f aca="false">IF(ISBLANK('Зарядные устройства EU'!$F$73),"",'Зарядные устройства EU'!$F$73)</f>
        <v>274</v>
      </c>
      <c r="S370" s="292" t="str">
        <f aca="false">IF(ISBLANK('Зарядные устройства EU'!$H$73),"",'Зарядные устройства EU'!$H$73)</f>
        <v/>
      </c>
    </row>
    <row r="371" customFormat="false" ht="66" hidden="false" customHeight="true" outlineLevel="0" collapsed="false">
      <c r="A371" s="291" t="str">
        <f aca="true">IF(ISNUMBER($J371),INDIRECT("L"&amp;($J371+4)),"")</f>
        <v/>
      </c>
      <c r="B371" s="291" t="str">
        <f aca="true">IF(ISNUMBER($J371),INDIRECT("M"&amp;($J371+4)),"")</f>
        <v/>
      </c>
      <c r="C371" s="296" t="str">
        <f aca="true">IF(ISNUMBER($J371),INDIRECT("N"&amp;($J371+4)),"")</f>
        <v/>
      </c>
      <c r="D371" s="291" t="str">
        <f aca="true">IF(ISNUMBER($J371),INDIRECT("O"&amp;($J371+4)),"")</f>
        <v/>
      </c>
      <c r="E371" s="291" t="str">
        <f aca="true">IF(ISNUMBER($J371),INDIRECT("P"&amp;($J371+4)),"")</f>
        <v/>
      </c>
      <c r="F371" s="300" t="str">
        <f aca="true">IF(ISNUMBER($J371),INDIRECT("Q"&amp;($J371+4)),"")</f>
        <v/>
      </c>
      <c r="G371" s="298" t="str">
        <f aca="true">IF(ISNUMBER($J371),INDIRECT("R"&amp;($J371+4)),"")</f>
        <v/>
      </c>
      <c r="H371" s="298" t="str">
        <f aca="true">IF(ISNUMBER($J371),INDIRECT("S"&amp;($J371+4)),"")</f>
        <v/>
      </c>
      <c r="J371" s="292" t="str">
        <f aca="true">IF(367&lt;=$K$1,MATCH(366.5,INDIRECT("$K$4:$K$1374"),1),"")</f>
        <v/>
      </c>
      <c r="K371" s="292" t="n">
        <f aca="false">$K$260+COUNTIF($Q$261:Q371,"&gt;0")</f>
        <v>0</v>
      </c>
      <c r="L371" s="292" t="str">
        <f aca="false">"Зарядные устройства EU"</f>
        <v>Зарядные устройства EU</v>
      </c>
      <c r="M371" s="292" t="str">
        <f aca="false">IF(ISBLANK('Зарядные устройства EU'!$A$74),"",'Зарядные устройства EU'!$A$74)</f>
        <v>BAS44A Potential PD20W+QC3.0 зарядное устройство (EU)</v>
      </c>
      <c r="N371" s="292" t="str">
        <f aca="false">IF(ISBLANK('Зарядные устройства EU'!$D$74),"",'Зарядные устройства EU'!$D$74)</f>
        <v>6941991113840</v>
      </c>
      <c r="O371" s="292" t="str">
        <f aca="false">IF(ISBLANK('Зарядные устройства EU'!$E$74),"",'Зарядные устройства EU'!$E$74)</f>
        <v>белый</v>
      </c>
      <c r="P371" s="292" t="str">
        <f aca="false">"ед."</f>
        <v>ед.</v>
      </c>
      <c r="Q371" s="292" t="n">
        <f aca="false">N('Зарядные устройства EU'!$G$74)</f>
        <v>0</v>
      </c>
      <c r="R371" s="299" t="n">
        <f aca="false">IF(ISBLANK('Зарядные устройства EU'!$F$74),"",'Зарядные устройства EU'!$F$74)</f>
        <v>212.02</v>
      </c>
      <c r="S371" s="292" t="str">
        <f aca="false">IF(ISBLANK('Зарядные устройства EU'!$H$74),"",'Зарядные устройства EU'!$H$74)</f>
        <v/>
      </c>
    </row>
    <row r="372" customFormat="false" ht="66" hidden="false" customHeight="true" outlineLevel="0" collapsed="false">
      <c r="A372" s="291" t="str">
        <f aca="true">IF(ISNUMBER($J372),INDIRECT("L"&amp;($J372+4)),"")</f>
        <v/>
      </c>
      <c r="B372" s="291" t="str">
        <f aca="true">IF(ISNUMBER($J372),INDIRECT("M"&amp;($J372+4)),"")</f>
        <v/>
      </c>
      <c r="C372" s="296" t="str">
        <f aca="true">IF(ISNUMBER($J372),INDIRECT("N"&amp;($J372+4)),"")</f>
        <v/>
      </c>
      <c r="D372" s="291" t="str">
        <f aca="true">IF(ISNUMBER($J372),INDIRECT("O"&amp;($J372+4)),"")</f>
        <v/>
      </c>
      <c r="E372" s="291" t="str">
        <f aca="true">IF(ISNUMBER($J372),INDIRECT("P"&amp;($J372+4)),"")</f>
        <v/>
      </c>
      <c r="F372" s="300" t="str">
        <f aca="true">IF(ISNUMBER($J372),INDIRECT("Q"&amp;($J372+4)),"")</f>
        <v/>
      </c>
      <c r="G372" s="298" t="str">
        <f aca="true">IF(ISNUMBER($J372),INDIRECT("R"&amp;($J372+4)),"")</f>
        <v/>
      </c>
      <c r="H372" s="298" t="str">
        <f aca="true">IF(ISNUMBER($J372),INDIRECT("S"&amp;($J372+4)),"")</f>
        <v/>
      </c>
      <c r="J372" s="292" t="str">
        <f aca="true">IF(368&lt;=$K$1,MATCH(367.5,INDIRECT("$K$4:$K$1374"),1),"")</f>
        <v/>
      </c>
      <c r="K372" s="292" t="n">
        <f aca="false">$K$260+COUNTIF($Q$261:Q372,"&gt;0")</f>
        <v>0</v>
      </c>
      <c r="L372" s="292" t="str">
        <f aca="false">"Зарядные устройства EU"</f>
        <v>Зарядные устройства EU</v>
      </c>
      <c r="M372" s="292" t="str">
        <f aca="false">IF(ISBLANK('Зарядные устройства EU'!$A$75),"",'Зарядные устройства EU'!$A$75)</f>
        <v>BAS43A Potential зарядное устройство с одним портом PD20W (EU)</v>
      </c>
      <c r="N372" s="292" t="str">
        <f aca="false">IF(ISBLANK('Зарядные устройства EU'!$D$75),"",'Зарядные устройства EU'!$D$75)</f>
        <v>6941991113819</v>
      </c>
      <c r="O372" s="292" t="str">
        <f aca="false">IF(ISBLANK('Зарядные устройства EU'!$E$75),"",'Зарядные устройства EU'!$E$75)</f>
        <v>белый</v>
      </c>
      <c r="P372" s="292" t="str">
        <f aca="false">"ед."</f>
        <v>ед.</v>
      </c>
      <c r="Q372" s="292" t="n">
        <f aca="false">N('Зарядные устройства EU'!$G$75)</f>
        <v>0</v>
      </c>
      <c r="R372" s="299" t="n">
        <f aca="false">IF(ISBLANK('Зарядные устройства EU'!$F$75),"",'Зарядные устройства EU'!$F$75)</f>
        <v>148.42</v>
      </c>
      <c r="S372" s="292" t="str">
        <f aca="false">IF(ISBLANK('Зарядные устройства EU'!$H$75),"",'Зарядные устройства EU'!$H$75)</f>
        <v/>
      </c>
    </row>
    <row r="373" customFormat="false" ht="66" hidden="false" customHeight="true" outlineLevel="0" collapsed="false">
      <c r="A373" s="291" t="str">
        <f aca="true">IF(ISNUMBER($J373),INDIRECT("L"&amp;($J373+4)),"")</f>
        <v/>
      </c>
      <c r="B373" s="291" t="str">
        <f aca="true">IF(ISNUMBER($J373),INDIRECT("M"&amp;($J373+4)),"")</f>
        <v/>
      </c>
      <c r="C373" s="296" t="str">
        <f aca="true">IF(ISNUMBER($J373),INDIRECT("N"&amp;($J373+4)),"")</f>
        <v/>
      </c>
      <c r="D373" s="291" t="str">
        <f aca="true">IF(ISNUMBER($J373),INDIRECT("O"&amp;($J373+4)),"")</f>
        <v/>
      </c>
      <c r="E373" s="291" t="str">
        <f aca="true">IF(ISNUMBER($J373),INDIRECT("P"&amp;($J373+4)),"")</f>
        <v/>
      </c>
      <c r="F373" s="300" t="str">
        <f aca="true">IF(ISNUMBER($J373),INDIRECT("Q"&amp;($J373+4)),"")</f>
        <v/>
      </c>
      <c r="G373" s="298" t="str">
        <f aca="true">IF(ISNUMBER($J373),INDIRECT("R"&amp;($J373+4)),"")</f>
        <v/>
      </c>
      <c r="H373" s="298" t="str">
        <f aca="true">IF(ISNUMBER($J373),INDIRECT("S"&amp;($J373+4)),"")</f>
        <v/>
      </c>
      <c r="J373" s="292" t="str">
        <f aca="true">IF(369&lt;=$K$1,MATCH(368.5,INDIRECT("$K$4:$K$1374"),1),"")</f>
        <v/>
      </c>
      <c r="K373" s="292" t="n">
        <f aca="false">$K$260+COUNTIF($Q$261:Q373,"&gt;0")</f>
        <v>0</v>
      </c>
      <c r="L373" s="292" t="str">
        <f aca="false">"Зарядные устройства EU"</f>
        <v>Зарядные устройства EU</v>
      </c>
      <c r="M373" s="292" t="str">
        <f aca="false">IF(ISBLANK('Зарядные устройства EU'!$A$76),"",'Зарядные устройства EU'!$A$76)</f>
        <v>BAS42A Potential зарядное устройство с одним портом QC3.0 (EU)</v>
      </c>
      <c r="N373" s="292" t="str">
        <f aca="false">IF(ISBLANK('Зарядные устройства EU'!$D$76),"",'Зарядные устройства EU'!$D$76)</f>
        <v>6941991113789</v>
      </c>
      <c r="O373" s="292" t="str">
        <f aca="false">IF(ISBLANK('Зарядные устройства EU'!$E$76),"",'Зарядные устройства EU'!$E$76)</f>
        <v>белый</v>
      </c>
      <c r="P373" s="292" t="str">
        <f aca="false">"ед."</f>
        <v>ед.</v>
      </c>
      <c r="Q373" s="292" t="n">
        <f aca="false">N('Зарядные устройства EU'!$G$76)</f>
        <v>0</v>
      </c>
      <c r="R373" s="299" t="n">
        <f aca="false">IF(ISBLANK('Зарядные устройства EU'!$F$76),"",'Зарядные устройства EU'!$F$76)</f>
        <v>143.52</v>
      </c>
      <c r="S373" s="292" t="str">
        <f aca="false">IF(ISBLANK('Зарядные устройства EU'!$H$76),"",'Зарядные устройства EU'!$H$76)</f>
        <v/>
      </c>
    </row>
    <row r="374" customFormat="false" ht="66" hidden="false" customHeight="true" outlineLevel="0" collapsed="false">
      <c r="A374" s="291" t="str">
        <f aca="true">IF(ISNUMBER($J374),INDIRECT("L"&amp;($J374+4)),"")</f>
        <v/>
      </c>
      <c r="B374" s="291" t="str">
        <f aca="true">IF(ISNUMBER($J374),INDIRECT("M"&amp;($J374+4)),"")</f>
        <v/>
      </c>
      <c r="C374" s="296" t="str">
        <f aca="true">IF(ISNUMBER($J374),INDIRECT("N"&amp;($J374+4)),"")</f>
        <v/>
      </c>
      <c r="D374" s="291" t="str">
        <f aca="true">IF(ISNUMBER($J374),INDIRECT("O"&amp;($J374+4)),"")</f>
        <v/>
      </c>
      <c r="E374" s="291" t="str">
        <f aca="true">IF(ISNUMBER($J374),INDIRECT("P"&amp;($J374+4)),"")</f>
        <v/>
      </c>
      <c r="F374" s="300" t="str">
        <f aca="true">IF(ISNUMBER($J374),INDIRECT("Q"&amp;($J374+4)),"")</f>
        <v/>
      </c>
      <c r="G374" s="298" t="str">
        <f aca="true">IF(ISNUMBER($J374),INDIRECT("R"&amp;($J374+4)),"")</f>
        <v/>
      </c>
      <c r="H374" s="298" t="str">
        <f aca="true">IF(ISNUMBER($J374),INDIRECT("S"&amp;($J374+4)),"")</f>
        <v/>
      </c>
      <c r="J374" s="292" t="str">
        <f aca="true">IF(370&lt;=$K$1,MATCH(369.5,INDIRECT("$K$4:$K$1374"),1),"")</f>
        <v/>
      </c>
      <c r="K374" s="292" t="n">
        <f aca="false">$K$260+COUNTIF($Q$261:Q374,"&gt;0")</f>
        <v>0</v>
      </c>
      <c r="L374" s="292" t="str">
        <f aca="false">"Зарядные устройства EU"</f>
        <v>Зарядные устройства EU</v>
      </c>
      <c r="M374" s="292" t="str">
        <f aca="false">IF(ISBLANK('Зарядные устройства EU'!$A$77),"",'Зарядные устройства EU'!$A$77)</f>
        <v>BAS42A Potential зарядное устройство с одним портом QC3.0 набор (Micro)(EU)</v>
      </c>
      <c r="N374" s="292" t="str">
        <f aca="false">IF(ISBLANK('Зарядные устройства EU'!$D$77),"",'Зарядные устройства EU'!$D$77)</f>
        <v>6941991113796</v>
      </c>
      <c r="O374" s="292" t="str">
        <f aca="false">IF(ISBLANK('Зарядные устройства EU'!$E$77),"",'Зарядные устройства EU'!$E$77)</f>
        <v>белый</v>
      </c>
      <c r="P374" s="292" t="str">
        <f aca="false">"ед."</f>
        <v>ед.</v>
      </c>
      <c r="Q374" s="292" t="n">
        <f aca="false">N('Зарядные устройства EU'!$G$77)</f>
        <v>0</v>
      </c>
      <c r="R374" s="299" t="n">
        <f aca="false">IF(ISBLANK('Зарядные устройства EU'!$F$77),"",'Зарядные устройства EU'!$F$77)</f>
        <v>164.73</v>
      </c>
      <c r="S374" s="292" t="str">
        <f aca="false">IF(ISBLANK('Зарядные устройства EU'!$H$77),"",'Зарядные устройства EU'!$H$77)</f>
        <v/>
      </c>
    </row>
    <row r="375" customFormat="false" ht="66" hidden="false" customHeight="true" outlineLevel="0" collapsed="false">
      <c r="A375" s="291" t="str">
        <f aca="true">IF(ISNUMBER($J375),INDIRECT("L"&amp;($J375+4)),"")</f>
        <v/>
      </c>
      <c r="B375" s="291" t="str">
        <f aca="true">IF(ISNUMBER($J375),INDIRECT("M"&amp;($J375+4)),"")</f>
        <v/>
      </c>
      <c r="C375" s="296" t="str">
        <f aca="true">IF(ISNUMBER($J375),INDIRECT("N"&amp;($J375+4)),"")</f>
        <v/>
      </c>
      <c r="D375" s="291" t="str">
        <f aca="true">IF(ISNUMBER($J375),INDIRECT("O"&amp;($J375+4)),"")</f>
        <v/>
      </c>
      <c r="E375" s="291" t="str">
        <f aca="true">IF(ISNUMBER($J375),INDIRECT("P"&amp;($J375+4)),"")</f>
        <v/>
      </c>
      <c r="F375" s="300" t="str">
        <f aca="true">IF(ISNUMBER($J375),INDIRECT("Q"&amp;($J375+4)),"")</f>
        <v/>
      </c>
      <c r="G375" s="298" t="str">
        <f aca="true">IF(ISNUMBER($J375),INDIRECT("R"&amp;($J375+4)),"")</f>
        <v/>
      </c>
      <c r="H375" s="298" t="str">
        <f aca="true">IF(ISNUMBER($J375),INDIRECT("S"&amp;($J375+4)),"")</f>
        <v/>
      </c>
      <c r="J375" s="292" t="str">
        <f aca="true">IF(371&lt;=$K$1,MATCH(370.5,INDIRECT("$K$4:$K$1374"),1),"")</f>
        <v/>
      </c>
      <c r="K375" s="292" t="n">
        <f aca="false">$K$260+COUNTIF($Q$261:Q375,"&gt;0")</f>
        <v>0</v>
      </c>
      <c r="L375" s="292" t="str">
        <f aca="false">"Зарядные устройства EU"</f>
        <v>Зарядные устройства EU</v>
      </c>
      <c r="M375" s="292" t="str">
        <f aca="false">IF(ISBLANK('Зарядные устройства EU'!$A$78),"",'Зарядные устройства EU'!$A$78)</f>
        <v>BAS42A Potential зарядное устройство с одним портом QC3.0 набор (Type-C)(EU)</v>
      </c>
      <c r="N375" s="292" t="str">
        <f aca="false">IF(ISBLANK('Зарядные устройства EU'!$D$78),"",'Зарядные устройства EU'!$D$78)</f>
        <v>6941991113802</v>
      </c>
      <c r="O375" s="292" t="str">
        <f aca="false">IF(ISBLANK('Зарядные устройства EU'!$E$78),"",'Зарядные устройства EU'!$E$78)</f>
        <v>белый</v>
      </c>
      <c r="P375" s="292" t="str">
        <f aca="false">"ед."</f>
        <v>ед.</v>
      </c>
      <c r="Q375" s="292" t="n">
        <f aca="false">N('Зарядные устройства EU'!$G$78)</f>
        <v>0</v>
      </c>
      <c r="R375" s="299" t="n">
        <f aca="false">IF(ISBLANK('Зарядные устройства EU'!$F$78),"",'Зарядные устройства EU'!$F$78)</f>
        <v>171.25</v>
      </c>
      <c r="S375" s="292" t="str">
        <f aca="false">IF(ISBLANK('Зарядные устройства EU'!$H$78),"",'Зарядные устройства EU'!$H$78)</f>
        <v/>
      </c>
    </row>
    <row r="376" customFormat="false" ht="66" hidden="false" customHeight="true" outlineLevel="0" collapsed="false">
      <c r="A376" s="291" t="str">
        <f aca="true">IF(ISNUMBER($J376),INDIRECT("L"&amp;($J376+4)),"")</f>
        <v/>
      </c>
      <c r="B376" s="291" t="str">
        <f aca="true">IF(ISNUMBER($J376),INDIRECT("M"&amp;($J376+4)),"")</f>
        <v/>
      </c>
      <c r="C376" s="296" t="str">
        <f aca="true">IF(ISNUMBER($J376),INDIRECT("N"&amp;($J376+4)),"")</f>
        <v/>
      </c>
      <c r="D376" s="291" t="str">
        <f aca="true">IF(ISNUMBER($J376),INDIRECT("O"&amp;($J376+4)),"")</f>
        <v/>
      </c>
      <c r="E376" s="291" t="str">
        <f aca="true">IF(ISNUMBER($J376),INDIRECT("P"&amp;($J376+4)),"")</f>
        <v/>
      </c>
      <c r="F376" s="300" t="str">
        <f aca="true">IF(ISNUMBER($J376),INDIRECT("Q"&amp;($J376+4)),"")</f>
        <v/>
      </c>
      <c r="G376" s="298" t="str">
        <f aca="true">IF(ISNUMBER($J376),INDIRECT("R"&amp;($J376+4)),"")</f>
        <v/>
      </c>
      <c r="H376" s="298" t="str">
        <f aca="true">IF(ISNUMBER($J376),INDIRECT("S"&amp;($J376+4)),"")</f>
        <v/>
      </c>
      <c r="J376" s="292" t="str">
        <f aca="true">IF(372&lt;=$K$1,MATCH(371.5,INDIRECT("$K$4:$K$1374"),1),"")</f>
        <v/>
      </c>
      <c r="K376" s="292" t="n">
        <f aca="false">$K$260+COUNTIF($Q$261:Q376,"&gt;0")</f>
        <v>0</v>
      </c>
      <c r="L376" s="292" t="str">
        <f aca="false">"Зарядные устройства EU"</f>
        <v>Зарядные устройства EU</v>
      </c>
      <c r="M376" s="292" t="str">
        <f aca="false">IF(ISBLANK('Зарядные устройства EU'!$A$79),"",'Зарядные устройства EU'!$A$79)</f>
        <v>BAS41A Potential зарядное устройство с двумя портами (EU)</v>
      </c>
      <c r="N376" s="292" t="str">
        <f aca="false">IF(ISBLANK('Зарядные устройства EU'!$D$79),"",'Зарядные устройства EU'!$D$79)</f>
        <v>6941991113741</v>
      </c>
      <c r="O376" s="292" t="str">
        <f aca="false">IF(ISBLANK('Зарядные устройства EU'!$E$79),"",'Зарядные устройства EU'!$E$79)</f>
        <v>белый</v>
      </c>
      <c r="P376" s="292" t="str">
        <f aca="false">"ед."</f>
        <v>ед.</v>
      </c>
      <c r="Q376" s="292" t="n">
        <f aca="false">N('Зарядные устройства EU'!$G$79)</f>
        <v>0</v>
      </c>
      <c r="R376" s="299" t="n">
        <f aca="false">IF(ISBLANK('Зарядные устройства EU'!$F$79),"",'Зарядные устройства EU'!$F$79)</f>
        <v>110.9</v>
      </c>
      <c r="S376" s="292" t="str">
        <f aca="false">IF(ISBLANK('Зарядные устройства EU'!$H$79),"",'Зарядные устройства EU'!$H$79)</f>
        <v/>
      </c>
    </row>
    <row r="377" customFormat="false" ht="66" hidden="false" customHeight="true" outlineLevel="0" collapsed="false">
      <c r="A377" s="291" t="str">
        <f aca="true">IF(ISNUMBER($J377),INDIRECT("L"&amp;($J377+4)),"")</f>
        <v/>
      </c>
      <c r="B377" s="291" t="str">
        <f aca="true">IF(ISNUMBER($J377),INDIRECT("M"&amp;($J377+4)),"")</f>
        <v/>
      </c>
      <c r="C377" s="296" t="str">
        <f aca="true">IF(ISNUMBER($J377),INDIRECT("N"&amp;($J377+4)),"")</f>
        <v/>
      </c>
      <c r="D377" s="291" t="str">
        <f aca="true">IF(ISNUMBER($J377),INDIRECT("O"&amp;($J377+4)),"")</f>
        <v/>
      </c>
      <c r="E377" s="291" t="str">
        <f aca="true">IF(ISNUMBER($J377),INDIRECT("P"&amp;($J377+4)),"")</f>
        <v/>
      </c>
      <c r="F377" s="300" t="str">
        <f aca="true">IF(ISNUMBER($J377),INDIRECT("Q"&amp;($J377+4)),"")</f>
        <v/>
      </c>
      <c r="G377" s="298" t="str">
        <f aca="true">IF(ISNUMBER($J377),INDIRECT("R"&amp;($J377+4)),"")</f>
        <v/>
      </c>
      <c r="H377" s="298" t="str">
        <f aca="true">IF(ISNUMBER($J377),INDIRECT("S"&amp;($J377+4)),"")</f>
        <v/>
      </c>
      <c r="J377" s="292" t="str">
        <f aca="true">IF(373&lt;=$K$1,MATCH(372.5,INDIRECT("$K$4:$K$1374"),1),"")</f>
        <v/>
      </c>
      <c r="K377" s="292" t="n">
        <f aca="false">$K$260+COUNTIF($Q$261:Q377,"&gt;0")</f>
        <v>0</v>
      </c>
      <c r="L377" s="292" t="str">
        <f aca="false">"Зарядные устройства EU"</f>
        <v>Зарядные устройства EU</v>
      </c>
      <c r="M377" s="292" t="str">
        <f aca="false">IF(ISBLANK('Зарядные устройства EU'!$A$82),"",'Зарядные устройства EU'!$A$82)</f>
        <v>BA114A Energy single port PD35W charger(EU)</v>
      </c>
      <c r="N377" s="292" t="str">
        <f aca="false">IF(ISBLANK('Зарядные устройства EU'!$D$82),"",'Зарядные устройства EU'!$D$82)</f>
        <v>6941991129698</v>
      </c>
      <c r="O377" s="292" t="str">
        <f aca="false">IF(ISBLANK('Зарядные устройства EU'!$E$82),"",'Зарядные устройства EU'!$E$82)</f>
        <v>белый</v>
      </c>
      <c r="P377" s="292" t="str">
        <f aca="false">"ед."</f>
        <v>ед.</v>
      </c>
      <c r="Q377" s="292" t="n">
        <f aca="false">N('Зарядные устройства EU'!$G$82)</f>
        <v>0</v>
      </c>
      <c r="R377" s="299" t="n">
        <f aca="false">IF(ISBLANK('Зарядные устройства EU'!$F$82),"",'Зарядные устройства EU'!$F$82)</f>
        <v>212.02</v>
      </c>
      <c r="S377" s="292" t="str">
        <f aca="false">IF(ISBLANK('Зарядные устройства EU'!$H$82),"",'Зарядные устройства EU'!$H$82)</f>
        <v/>
      </c>
    </row>
    <row r="378" customFormat="false" ht="66" hidden="false" customHeight="true" outlineLevel="0" collapsed="false">
      <c r="A378" s="291" t="str">
        <f aca="true">IF(ISNUMBER($J378),INDIRECT("L"&amp;($J378+4)),"")</f>
        <v/>
      </c>
      <c r="B378" s="291" t="str">
        <f aca="true">IF(ISNUMBER($J378),INDIRECT("M"&amp;($J378+4)),"")</f>
        <v/>
      </c>
      <c r="C378" s="296" t="str">
        <f aca="true">IF(ISNUMBER($J378),INDIRECT("N"&amp;($J378+4)),"")</f>
        <v/>
      </c>
      <c r="D378" s="291" t="str">
        <f aca="true">IF(ISNUMBER($J378),INDIRECT("O"&amp;($J378+4)),"")</f>
        <v/>
      </c>
      <c r="E378" s="291" t="str">
        <f aca="true">IF(ISNUMBER($J378),INDIRECT("P"&amp;($J378+4)),"")</f>
        <v/>
      </c>
      <c r="F378" s="300" t="str">
        <f aca="true">IF(ISNUMBER($J378),INDIRECT("Q"&amp;($J378+4)),"")</f>
        <v/>
      </c>
      <c r="G378" s="298" t="str">
        <f aca="true">IF(ISNUMBER($J378),INDIRECT("R"&amp;($J378+4)),"")</f>
        <v/>
      </c>
      <c r="H378" s="298" t="str">
        <f aca="true">IF(ISNUMBER($J378),INDIRECT("S"&amp;($J378+4)),"")</f>
        <v/>
      </c>
      <c r="J378" s="292" t="str">
        <f aca="true">IF(374&lt;=$K$1,MATCH(373.5,INDIRECT("$K$4:$K$1374"),1),"")</f>
        <v/>
      </c>
      <c r="K378" s="292" t="n">
        <f aca="false">$K$260+COUNTIF($Q$261:Q378,"&gt;0")</f>
        <v>0</v>
      </c>
      <c r="L378" s="292" t="str">
        <f aca="false">"Зарядные устройства EU"</f>
        <v>Зарядные устройства EU</v>
      </c>
      <c r="M378" s="292" t="str">
        <f aca="false">IF(ISBLANK('Зарядные устройства EU'!$A$83),"",'Зарядные устройства EU'!$A$83)</f>
        <v>BA114A Energy single port PD35W charger set(C to C)(EU)</v>
      </c>
      <c r="N378" s="292" t="str">
        <f aca="false">IF(ISBLANK('Зарядные устройства EU'!$D$83),"",'Зарядные устройства EU'!$D$83)</f>
        <v>6941991129704</v>
      </c>
      <c r="O378" s="292" t="str">
        <f aca="false">IF(ISBLANK('Зарядные устройства EU'!$E$83),"",'Зарядные устройства EU'!$E$83)</f>
        <v>белый</v>
      </c>
      <c r="P378" s="292" t="str">
        <f aca="false">"ед."</f>
        <v>ед.</v>
      </c>
      <c r="Q378" s="292" t="n">
        <f aca="false">N('Зарядные устройства EU'!$G$83)</f>
        <v>0</v>
      </c>
      <c r="R378" s="299" t="n">
        <f aca="false">IF(ISBLANK('Зарядные устройства EU'!$F$83),"",'Зарядные устройства EU'!$F$83)</f>
        <v>252.8</v>
      </c>
      <c r="S378" s="292" t="str">
        <f aca="false">IF(ISBLANK('Зарядные устройства EU'!$H$83),"",'Зарядные устройства EU'!$H$83)</f>
        <v/>
      </c>
    </row>
    <row r="379" customFormat="false" ht="66" hidden="false" customHeight="true" outlineLevel="0" collapsed="false">
      <c r="A379" s="291" t="str">
        <f aca="true">IF(ISNUMBER($J379),INDIRECT("L"&amp;($J379+4)),"")</f>
        <v/>
      </c>
      <c r="B379" s="291" t="str">
        <f aca="true">IF(ISNUMBER($J379),INDIRECT("M"&amp;($J379+4)),"")</f>
        <v/>
      </c>
      <c r="C379" s="296" t="str">
        <f aca="true">IF(ISNUMBER($J379),INDIRECT("N"&amp;($J379+4)),"")</f>
        <v/>
      </c>
      <c r="D379" s="291" t="str">
        <f aca="true">IF(ISNUMBER($J379),INDIRECT("O"&amp;($J379+4)),"")</f>
        <v/>
      </c>
      <c r="E379" s="291" t="str">
        <f aca="true">IF(ISNUMBER($J379),INDIRECT("P"&amp;($J379+4)),"")</f>
        <v/>
      </c>
      <c r="F379" s="300" t="str">
        <f aca="true">IF(ISNUMBER($J379),INDIRECT("Q"&amp;($J379+4)),"")</f>
        <v/>
      </c>
      <c r="G379" s="298" t="str">
        <f aca="true">IF(ISNUMBER($J379),INDIRECT("R"&amp;($J379+4)),"")</f>
        <v/>
      </c>
      <c r="H379" s="298" t="str">
        <f aca="true">IF(ISNUMBER($J379),INDIRECT("S"&amp;($J379+4)),"")</f>
        <v/>
      </c>
      <c r="J379" s="292" t="str">
        <f aca="true">IF(375&lt;=$K$1,MATCH(374.5,INDIRECT("$K$4:$K$1374"),1),"")</f>
        <v/>
      </c>
      <c r="K379" s="292" t="n">
        <f aca="false">$K$260+COUNTIF($Q$261:Q379,"&gt;0")</f>
        <v>0</v>
      </c>
      <c r="L379" s="292" t="str">
        <f aca="false">"Зарядные устройства EU"</f>
        <v>Зарядные устройства EU</v>
      </c>
      <c r="M379" s="292" t="str">
        <f aca="false">IF(ISBLANK('Зарядные устройства EU'!$A$84),"",'Зарядные устройства EU'!$A$84)</f>
        <v>BA113A Energy PD30W+QC3.0 charger(EU)</v>
      </c>
      <c r="N379" s="292" t="str">
        <f aca="false">IF(ISBLANK('Зарядные устройства EU'!$D$84),"",'Зарядные устройства EU'!$D$84)</f>
        <v>6941991129674</v>
      </c>
      <c r="O379" s="292" t="str">
        <f aca="false">IF(ISBLANK('Зарядные устройства EU'!$E$84),"",'Зарядные устройства EU'!$E$84)</f>
        <v>белый</v>
      </c>
      <c r="P379" s="292" t="str">
        <f aca="false">"ед."</f>
        <v>ед.</v>
      </c>
      <c r="Q379" s="292" t="n">
        <f aca="false">N('Зарядные устройства EU'!$G$84)</f>
        <v>0</v>
      </c>
      <c r="R379" s="299" t="n">
        <f aca="false">IF(ISBLANK('Зарядные устройства EU'!$F$84),"",'Зарядные устройства EU'!$F$84)</f>
        <v>208.76</v>
      </c>
      <c r="S379" s="292" t="str">
        <f aca="false">IF(ISBLANK('Зарядные устройства EU'!$H$84),"",'Зарядные устройства EU'!$H$84)</f>
        <v/>
      </c>
    </row>
    <row r="380" customFormat="false" ht="66" hidden="false" customHeight="true" outlineLevel="0" collapsed="false">
      <c r="A380" s="291" t="str">
        <f aca="true">IF(ISNUMBER($J380),INDIRECT("L"&amp;($J380+4)),"")</f>
        <v/>
      </c>
      <c r="B380" s="291" t="str">
        <f aca="true">IF(ISNUMBER($J380),INDIRECT("M"&amp;($J380+4)),"")</f>
        <v/>
      </c>
      <c r="C380" s="296" t="str">
        <f aca="true">IF(ISNUMBER($J380),INDIRECT("N"&amp;($J380+4)),"")</f>
        <v/>
      </c>
      <c r="D380" s="291" t="str">
        <f aca="true">IF(ISNUMBER($J380),INDIRECT("O"&amp;($J380+4)),"")</f>
        <v/>
      </c>
      <c r="E380" s="291" t="str">
        <f aca="true">IF(ISNUMBER($J380),INDIRECT("P"&amp;($J380+4)),"")</f>
        <v/>
      </c>
      <c r="F380" s="300" t="str">
        <f aca="true">IF(ISNUMBER($J380),INDIRECT("Q"&amp;($J380+4)),"")</f>
        <v/>
      </c>
      <c r="G380" s="298" t="str">
        <f aca="true">IF(ISNUMBER($J380),INDIRECT("R"&amp;($J380+4)),"")</f>
        <v/>
      </c>
      <c r="H380" s="298" t="str">
        <f aca="true">IF(ISNUMBER($J380),INDIRECT("S"&amp;($J380+4)),"")</f>
        <v/>
      </c>
      <c r="J380" s="292" t="str">
        <f aca="true">IF(376&lt;=$K$1,MATCH(375.5,INDIRECT("$K$4:$K$1374"),1),"")</f>
        <v/>
      </c>
      <c r="K380" s="292" t="n">
        <f aca="false">$K$260+COUNTIF($Q$261:Q380,"&gt;0")</f>
        <v>0</v>
      </c>
      <c r="L380" s="292" t="str">
        <f aca="false">"Зарядные устройства EU"</f>
        <v>Зарядные устройства EU</v>
      </c>
      <c r="M380" s="292" t="str">
        <f aca="false">IF(ISBLANK('Зарядные устройства EU'!$A$85),"",'Зарядные устройства EU'!$A$85)</f>
        <v>BA113A Energy PD30W+QC3.0 charger set(C to C)(EU)</v>
      </c>
      <c r="N380" s="292" t="str">
        <f aca="false">IF(ISBLANK('Зарядные устройства EU'!$D$85),"",'Зарядные устройства EU'!$D$85)</f>
        <v>6941991129681</v>
      </c>
      <c r="O380" s="292" t="str">
        <f aca="false">IF(ISBLANK('Зарядные устройства EU'!$E$85),"",'Зарядные устройства EU'!$E$85)</f>
        <v>белый</v>
      </c>
      <c r="P380" s="292" t="str">
        <f aca="false">"ед."</f>
        <v>ед.</v>
      </c>
      <c r="Q380" s="292" t="n">
        <f aca="false">N('Зарядные устройства EU'!$G$85)</f>
        <v>0</v>
      </c>
      <c r="R380" s="299" t="n">
        <f aca="false">IF(ISBLANK('Зарядные устройства EU'!$F$85),"",'Зарядные устройства EU'!$F$85)</f>
        <v>247.9</v>
      </c>
      <c r="S380" s="292" t="str">
        <f aca="false">IF(ISBLANK('Зарядные устройства EU'!$H$85),"",'Зарядные устройства EU'!$H$85)</f>
        <v/>
      </c>
    </row>
    <row r="381" customFormat="false" ht="66" hidden="false" customHeight="true" outlineLevel="0" collapsed="false">
      <c r="A381" s="291" t="str">
        <f aca="true">IF(ISNUMBER($J381),INDIRECT("L"&amp;($J381+4)),"")</f>
        <v/>
      </c>
      <c r="B381" s="291" t="str">
        <f aca="true">IF(ISNUMBER($J381),INDIRECT("M"&amp;($J381+4)),"")</f>
        <v/>
      </c>
      <c r="C381" s="296" t="str">
        <f aca="true">IF(ISNUMBER($J381),INDIRECT("N"&amp;($J381+4)),"")</f>
        <v/>
      </c>
      <c r="D381" s="291" t="str">
        <f aca="true">IF(ISNUMBER($J381),INDIRECT("O"&amp;($J381+4)),"")</f>
        <v/>
      </c>
      <c r="E381" s="291" t="str">
        <f aca="true">IF(ISNUMBER($J381),INDIRECT("P"&amp;($J381+4)),"")</f>
        <v/>
      </c>
      <c r="F381" s="300" t="str">
        <f aca="true">IF(ISNUMBER($J381),INDIRECT("Q"&amp;($J381+4)),"")</f>
        <v/>
      </c>
      <c r="G381" s="298" t="str">
        <f aca="true">IF(ISNUMBER($J381),INDIRECT("R"&amp;($J381+4)),"")</f>
        <v/>
      </c>
      <c r="H381" s="298" t="str">
        <f aca="true">IF(ISNUMBER($J381),INDIRECT("S"&amp;($J381+4)),"")</f>
        <v/>
      </c>
      <c r="J381" s="292" t="str">
        <f aca="true">IF(377&lt;=$K$1,MATCH(376.5,INDIRECT("$K$4:$K$1374"),1),"")</f>
        <v/>
      </c>
      <c r="K381" s="292" t="n">
        <f aca="false">$K$260+COUNTIF($Q$261:Q381,"&gt;0")</f>
        <v>0</v>
      </c>
      <c r="L381" s="292" t="str">
        <f aca="false">"Зарядные устройства EU"</f>
        <v>Зарядные устройства EU</v>
      </c>
      <c r="M381" s="292" t="str">
        <f aca="false">IF(ISBLANK('Зарядные устройства EU'!$A$86),"",'Зарядные устройства EU'!$A$86)</f>
        <v>BA112A Star PD20W зарядное устройство (EU)</v>
      </c>
      <c r="N381" s="292" t="str">
        <f aca="false">IF(ISBLANK('Зарядные устройства EU'!$D$86),"",'Зарядные устройства EU'!$D$86)</f>
        <v>6941991127618</v>
      </c>
      <c r="O381" s="292" t="str">
        <f aca="false">IF(ISBLANK('Зарядные устройства EU'!$E$86),"",'Зарядные устройства EU'!$E$86)</f>
        <v>белый</v>
      </c>
      <c r="P381" s="292" t="str">
        <f aca="false">"ед."</f>
        <v>ед.</v>
      </c>
      <c r="Q381" s="292" t="n">
        <f aca="false">N('Зарядные устройства EU'!$G$86)</f>
        <v>0</v>
      </c>
      <c r="R381" s="299" t="n">
        <f aca="false">IF(ISBLANK('Зарядные устройства EU'!$F$86),"",'Зарядные устройства EU'!$F$86)</f>
        <v>104.38</v>
      </c>
      <c r="S381" s="292" t="str">
        <f aca="false">IF(ISBLANK('Зарядные устройства EU'!$H$86),"",'Зарядные устройства EU'!$H$86)</f>
        <v/>
      </c>
    </row>
    <row r="382" customFormat="false" ht="66" hidden="false" customHeight="true" outlineLevel="0" collapsed="false">
      <c r="A382" s="291" t="str">
        <f aca="true">IF(ISNUMBER($J382),INDIRECT("L"&amp;($J382+4)),"")</f>
        <v/>
      </c>
      <c r="B382" s="291" t="str">
        <f aca="true">IF(ISNUMBER($J382),INDIRECT("M"&amp;($J382+4)),"")</f>
        <v/>
      </c>
      <c r="C382" s="296" t="str">
        <f aca="true">IF(ISNUMBER($J382),INDIRECT("N"&amp;($J382+4)),"")</f>
        <v/>
      </c>
      <c r="D382" s="291" t="str">
        <f aca="true">IF(ISNUMBER($J382),INDIRECT("O"&amp;($J382+4)),"")</f>
        <v/>
      </c>
      <c r="E382" s="291" t="str">
        <f aca="true">IF(ISNUMBER($J382),INDIRECT("P"&amp;($J382+4)),"")</f>
        <v/>
      </c>
      <c r="F382" s="300" t="str">
        <f aca="true">IF(ISNUMBER($J382),INDIRECT("Q"&amp;($J382+4)),"")</f>
        <v/>
      </c>
      <c r="G382" s="298" t="str">
        <f aca="true">IF(ISNUMBER($J382),INDIRECT("R"&amp;($J382+4)),"")</f>
        <v/>
      </c>
      <c r="H382" s="298" t="str">
        <f aca="true">IF(ISNUMBER($J382),INDIRECT("S"&amp;($J382+4)),"")</f>
        <v/>
      </c>
      <c r="J382" s="292" t="str">
        <f aca="true">IF(378&lt;=$K$1,MATCH(377.5,INDIRECT("$K$4:$K$1374"),1),"")</f>
        <v/>
      </c>
      <c r="K382" s="292" t="n">
        <f aca="false">$K$260+COUNTIF($Q$261:Q382,"&gt;0")</f>
        <v>0</v>
      </c>
      <c r="L382" s="292" t="str">
        <f aca="false">"Зарядные устройства EU"</f>
        <v>Зарядные устройства EU</v>
      </c>
      <c r="M382" s="292" t="str">
        <f aca="false">IF(ISBLANK('Зарядные устройства EU'!$A$87),"",'Зарядные устройства EU'!$A$87)</f>
        <v>BA112A Star PD20W зарядное устройство набор (C на C)(EU)</v>
      </c>
      <c r="N382" s="292" t="str">
        <f aca="false">IF(ISBLANK('Зарядные устройства EU'!$D$87),"",'Зарядные устройства EU'!$D$87)</f>
        <v>6941991127625</v>
      </c>
      <c r="O382" s="292" t="str">
        <f aca="false">IF(ISBLANK('Зарядные устройства EU'!$E$87),"",'Зарядные устройства EU'!$E$87)</f>
        <v>белый</v>
      </c>
      <c r="P382" s="292" t="str">
        <f aca="false">"ед."</f>
        <v>ед.</v>
      </c>
      <c r="Q382" s="292" t="n">
        <f aca="false">N('Зарядные устройства EU'!$G$87)</f>
        <v>0</v>
      </c>
      <c r="R382" s="299" t="n">
        <f aca="false">IF(ISBLANK('Зарядные устройства EU'!$F$87),"",'Зарядные устройства EU'!$F$87)</f>
        <v>143.52</v>
      </c>
      <c r="S382" s="292" t="str">
        <f aca="false">IF(ISBLANK('Зарядные устройства EU'!$H$87),"",'Зарядные устройства EU'!$H$87)</f>
        <v/>
      </c>
    </row>
    <row r="383" customFormat="false" ht="66" hidden="false" customHeight="true" outlineLevel="0" collapsed="false">
      <c r="A383" s="291" t="str">
        <f aca="true">IF(ISNUMBER($J383),INDIRECT("L"&amp;($J383+4)),"")</f>
        <v/>
      </c>
      <c r="B383" s="291" t="str">
        <f aca="true">IF(ISNUMBER($J383),INDIRECT("M"&amp;($J383+4)),"")</f>
        <v/>
      </c>
      <c r="C383" s="296" t="str">
        <f aca="true">IF(ISNUMBER($J383),INDIRECT("N"&amp;($J383+4)),"")</f>
        <v/>
      </c>
      <c r="D383" s="291" t="str">
        <f aca="true">IF(ISNUMBER($J383),INDIRECT("O"&amp;($J383+4)),"")</f>
        <v/>
      </c>
      <c r="E383" s="291" t="str">
        <f aca="true">IF(ISNUMBER($J383),INDIRECT("P"&amp;($J383+4)),"")</f>
        <v/>
      </c>
      <c r="F383" s="300" t="str">
        <f aca="true">IF(ISNUMBER($J383),INDIRECT("Q"&amp;($J383+4)),"")</f>
        <v/>
      </c>
      <c r="G383" s="298" t="str">
        <f aca="true">IF(ISNUMBER($J383),INDIRECT("R"&amp;($J383+4)),"")</f>
        <v/>
      </c>
      <c r="H383" s="298" t="str">
        <f aca="true">IF(ISNUMBER($J383),INDIRECT("S"&amp;($J383+4)),"")</f>
        <v/>
      </c>
      <c r="J383" s="292" t="str">
        <f aca="true">IF(379&lt;=$K$1,MATCH(378.5,INDIRECT("$K$4:$K$1374"),1),"")</f>
        <v/>
      </c>
      <c r="K383" s="292" t="n">
        <f aca="false">$K$260+COUNTIF($Q$261:Q383,"&gt;0")</f>
        <v>0</v>
      </c>
      <c r="L383" s="292" t="str">
        <f aca="false">"Зарядные устройства EU"</f>
        <v>Зарядные устройства EU</v>
      </c>
      <c r="M383" s="292" t="str">
        <f aca="false">IF(ISBLANK('Зарядные устройства EU'!$A$88),"",'Зарядные устройства EU'!$A$88)</f>
        <v>BA111A Star QC3.0 зарядное устройство (EU)</v>
      </c>
      <c r="N383" s="292" t="str">
        <f aca="false">IF(ISBLANK('Зарядные устройства EU'!$D$88),"",'Зарядные устройства EU'!$D$88)</f>
        <v>6941991127588</v>
      </c>
      <c r="O383" s="292" t="str">
        <f aca="false">IF(ISBLANK('Зарядные устройства EU'!$E$88),"",'Зарядные устройства EU'!$E$88)</f>
        <v>белый</v>
      </c>
      <c r="P383" s="292" t="str">
        <f aca="false">"ед."</f>
        <v>ед.</v>
      </c>
      <c r="Q383" s="292" t="n">
        <f aca="false">N('Зарядные устройства EU'!$G$88)</f>
        <v>0</v>
      </c>
      <c r="R383" s="299" t="n">
        <f aca="false">IF(ISBLANK('Зарядные устройства EU'!$F$88),"",'Зарядные устройства EU'!$F$88)</f>
        <v>94.59</v>
      </c>
      <c r="S383" s="292" t="str">
        <f aca="false">IF(ISBLANK('Зарядные устройства EU'!$H$88),"",'Зарядные устройства EU'!$H$88)</f>
        <v/>
      </c>
    </row>
    <row r="384" customFormat="false" ht="66" hidden="false" customHeight="true" outlineLevel="0" collapsed="false">
      <c r="A384" s="291" t="str">
        <f aca="true">IF(ISNUMBER($J384),INDIRECT("L"&amp;($J384+4)),"")</f>
        <v/>
      </c>
      <c r="B384" s="291" t="str">
        <f aca="true">IF(ISNUMBER($J384),INDIRECT("M"&amp;($J384+4)),"")</f>
        <v/>
      </c>
      <c r="C384" s="296" t="str">
        <f aca="true">IF(ISNUMBER($J384),INDIRECT("N"&amp;($J384+4)),"")</f>
        <v/>
      </c>
      <c r="D384" s="291" t="str">
        <f aca="true">IF(ISNUMBER($J384),INDIRECT("O"&amp;($J384+4)),"")</f>
        <v/>
      </c>
      <c r="E384" s="291" t="str">
        <f aca="true">IF(ISNUMBER($J384),INDIRECT("P"&amp;($J384+4)),"")</f>
        <v/>
      </c>
      <c r="F384" s="300" t="str">
        <f aca="true">IF(ISNUMBER($J384),INDIRECT("Q"&amp;($J384+4)),"")</f>
        <v/>
      </c>
      <c r="G384" s="298" t="str">
        <f aca="true">IF(ISNUMBER($J384),INDIRECT("R"&amp;($J384+4)),"")</f>
        <v/>
      </c>
      <c r="H384" s="298" t="str">
        <f aca="true">IF(ISNUMBER($J384),INDIRECT("S"&amp;($J384+4)),"")</f>
        <v/>
      </c>
      <c r="J384" s="292" t="str">
        <f aca="true">IF(380&lt;=$K$1,MATCH(379.5,INDIRECT("$K$4:$K$1374"),1),"")</f>
        <v/>
      </c>
      <c r="K384" s="292" t="n">
        <f aca="false">$K$260+COUNTIF($Q$261:Q384,"&gt;0")</f>
        <v>0</v>
      </c>
      <c r="L384" s="292" t="str">
        <f aca="false">"Зарядные устройства EU"</f>
        <v>Зарядные устройства EU</v>
      </c>
      <c r="M384" s="292" t="str">
        <f aca="false">IF(ISBLANK('Зарядные устройства EU'!$A$89),"",'Зарядные устройства EU'!$A$89)</f>
        <v>BA111A Star QC3.0 зарядное устройство  набор (Micro)(EU)</v>
      </c>
      <c r="N384" s="292" t="str">
        <f aca="false">IF(ISBLANK('Зарядные устройства EU'!$D$89),"",'Зарядные устройства EU'!$D$89)</f>
        <v>6941991127595</v>
      </c>
      <c r="O384" s="292" t="str">
        <f aca="false">IF(ISBLANK('Зарядные устройства EU'!$E$89),"",'Зарядные устройства EU'!$E$89)</f>
        <v>белый</v>
      </c>
      <c r="P384" s="292" t="str">
        <f aca="false">"ед."</f>
        <v>ед.</v>
      </c>
      <c r="Q384" s="292" t="n">
        <f aca="false">N('Зарядные устройства EU'!$G$89)</f>
        <v>0</v>
      </c>
      <c r="R384" s="299" t="n">
        <f aca="false">IF(ISBLANK('Зарядные устройства EU'!$F$89),"",'Зарядные устройства EU'!$F$89)</f>
        <v>119.06</v>
      </c>
      <c r="S384" s="292" t="str">
        <f aca="false">IF(ISBLANK('Зарядные устройства EU'!$H$89),"",'Зарядные устройства EU'!$H$89)</f>
        <v/>
      </c>
    </row>
    <row r="385" customFormat="false" ht="66" hidden="false" customHeight="true" outlineLevel="0" collapsed="false">
      <c r="A385" s="291" t="str">
        <f aca="true">IF(ISNUMBER($J385),INDIRECT("L"&amp;($J385+4)),"")</f>
        <v/>
      </c>
      <c r="B385" s="291" t="str">
        <f aca="true">IF(ISNUMBER($J385),INDIRECT("M"&amp;($J385+4)),"")</f>
        <v/>
      </c>
      <c r="C385" s="296" t="str">
        <f aca="true">IF(ISNUMBER($J385),INDIRECT("N"&amp;($J385+4)),"")</f>
        <v/>
      </c>
      <c r="D385" s="291" t="str">
        <f aca="true">IF(ISNUMBER($J385),INDIRECT("O"&amp;($J385+4)),"")</f>
        <v/>
      </c>
      <c r="E385" s="291" t="str">
        <f aca="true">IF(ISNUMBER($J385),INDIRECT("P"&amp;($J385+4)),"")</f>
        <v/>
      </c>
      <c r="F385" s="300" t="str">
        <f aca="true">IF(ISNUMBER($J385),INDIRECT("Q"&amp;($J385+4)),"")</f>
        <v/>
      </c>
      <c r="G385" s="298" t="str">
        <f aca="true">IF(ISNUMBER($J385),INDIRECT("R"&amp;($J385+4)),"")</f>
        <v/>
      </c>
      <c r="H385" s="298" t="str">
        <f aca="true">IF(ISNUMBER($J385),INDIRECT("S"&amp;($J385+4)),"")</f>
        <v/>
      </c>
      <c r="J385" s="292" t="str">
        <f aca="true">IF(381&lt;=$K$1,MATCH(380.5,INDIRECT("$K$4:$K$1374"),1),"")</f>
        <v/>
      </c>
      <c r="K385" s="292" t="n">
        <f aca="false">$K$260+COUNTIF($Q$261:Q385,"&gt;0")</f>
        <v>0</v>
      </c>
      <c r="L385" s="292" t="str">
        <f aca="false">"Зарядные устройства EU"</f>
        <v>Зарядные устройства EU</v>
      </c>
      <c r="M385" s="292" t="str">
        <f aca="false">IF(ISBLANK('Зарядные устройства EU'!$A$90),"",'Зарядные устройства EU'!$A$90)</f>
        <v>BA111A Star QC3.0 зарядное устройство  набор (Type-C)(EU)</v>
      </c>
      <c r="N385" s="292" t="str">
        <f aca="false">IF(ISBLANK('Зарядные устройства EU'!$D$90),"",'Зарядные устройства EU'!$D$90)</f>
        <v>6941991127601</v>
      </c>
      <c r="O385" s="292" t="str">
        <f aca="false">IF(ISBLANK('Зарядные устройства EU'!$E$90),"",'Зарядные устройства EU'!$E$90)</f>
        <v>white</v>
      </c>
      <c r="P385" s="292" t="str">
        <f aca="false">"ед."</f>
        <v>ед.</v>
      </c>
      <c r="Q385" s="292" t="n">
        <f aca="false">N('Зарядные устройства EU'!$G$90)</f>
        <v>0</v>
      </c>
      <c r="R385" s="299" t="n">
        <f aca="false">IF(ISBLANK('Зарядные устройства EU'!$F$90),"",'Зарядные устройства EU'!$F$90)</f>
        <v>122.32</v>
      </c>
      <c r="S385" s="292" t="str">
        <f aca="false">IF(ISBLANK('Зарядные устройства EU'!$H$90),"",'Зарядные устройства EU'!$H$90)</f>
        <v/>
      </c>
    </row>
    <row r="386" customFormat="false" ht="66" hidden="false" customHeight="true" outlineLevel="0" collapsed="false">
      <c r="A386" s="291" t="str">
        <f aca="true">IF(ISNUMBER($J386),INDIRECT("L"&amp;($J386+4)),"")</f>
        <v/>
      </c>
      <c r="B386" s="291" t="str">
        <f aca="true">IF(ISNUMBER($J386),INDIRECT("M"&amp;($J386+4)),"")</f>
        <v/>
      </c>
      <c r="C386" s="296" t="str">
        <f aca="true">IF(ISNUMBER($J386),INDIRECT("N"&amp;($J386+4)),"")</f>
        <v/>
      </c>
      <c r="D386" s="291" t="str">
        <f aca="true">IF(ISNUMBER($J386),INDIRECT("O"&amp;($J386+4)),"")</f>
        <v/>
      </c>
      <c r="E386" s="291" t="str">
        <f aca="true">IF(ISNUMBER($J386),INDIRECT("P"&amp;($J386+4)),"")</f>
        <v/>
      </c>
      <c r="F386" s="300" t="str">
        <f aca="true">IF(ISNUMBER($J386),INDIRECT("Q"&amp;($J386+4)),"")</f>
        <v/>
      </c>
      <c r="G386" s="298" t="str">
        <f aca="true">IF(ISNUMBER($J386),INDIRECT("R"&amp;($J386+4)),"")</f>
        <v/>
      </c>
      <c r="H386" s="298" t="str">
        <f aca="true">IF(ISNUMBER($J386),INDIRECT("S"&amp;($J386+4)),"")</f>
        <v/>
      </c>
      <c r="J386" s="292" t="str">
        <f aca="true">IF(382&lt;=$K$1,MATCH(381.5,INDIRECT("$K$4:$K$1374"),1),"")</f>
        <v/>
      </c>
      <c r="K386" s="292" t="n">
        <f aca="false">$K$260+COUNTIF($Q$261:Q386,"&gt;0")</f>
        <v>0</v>
      </c>
      <c r="L386" s="292" t="str">
        <f aca="false">"Зарядные устройства EU"</f>
        <v>Зарядные устройства EU</v>
      </c>
      <c r="M386" s="292" t="str">
        <f aca="false">IF(ISBLANK('Зарядные устройства EU'!$A$91),"",'Зарядные устройства EU'!$A$91)</f>
        <v>BA110A Lemi зарядное устройство (EU)</v>
      </c>
      <c r="N386" s="292" t="str">
        <f aca="false">IF(ISBLANK('Зарядные устройства EU'!$D$91),"",'Зарядные устройства EU'!$D$91)</f>
        <v>6941991126949</v>
      </c>
      <c r="O386" s="292" t="str">
        <f aca="false">IF(ISBLANK('Зарядные устройства EU'!$E$91),"",'Зарядные устройства EU'!$E$91)</f>
        <v>белый</v>
      </c>
      <c r="P386" s="292" t="str">
        <f aca="false">"ед."</f>
        <v>ед.</v>
      </c>
      <c r="Q386" s="292" t="n">
        <f aca="false">N('Зарядные устройства EU'!$G$91)</f>
        <v>0</v>
      </c>
      <c r="R386" s="299" t="n">
        <f aca="false">IF(ISBLANK('Зарядные устройства EU'!$F$91),"",'Зарядные устройства EU'!$F$91)</f>
        <v>60.34</v>
      </c>
      <c r="S386" s="292" t="str">
        <f aca="false">IF(ISBLANK('Зарядные устройства EU'!$H$91),"",'Зарядные устройства EU'!$H$91)</f>
        <v/>
      </c>
    </row>
    <row r="387" customFormat="false" ht="66" hidden="false" customHeight="true" outlineLevel="0" collapsed="false">
      <c r="A387" s="291" t="str">
        <f aca="true">IF(ISNUMBER($J387),INDIRECT("L"&amp;($J387+4)),"")</f>
        <v/>
      </c>
      <c r="B387" s="291" t="str">
        <f aca="true">IF(ISNUMBER($J387),INDIRECT("M"&amp;($J387+4)),"")</f>
        <v/>
      </c>
      <c r="C387" s="296" t="str">
        <f aca="true">IF(ISNUMBER($J387),INDIRECT("N"&amp;($J387+4)),"")</f>
        <v/>
      </c>
      <c r="D387" s="291" t="str">
        <f aca="true">IF(ISNUMBER($J387),INDIRECT("O"&amp;($J387+4)),"")</f>
        <v/>
      </c>
      <c r="E387" s="291" t="str">
        <f aca="true">IF(ISNUMBER($J387),INDIRECT("P"&amp;($J387+4)),"")</f>
        <v/>
      </c>
      <c r="F387" s="300" t="str">
        <f aca="true">IF(ISNUMBER($J387),INDIRECT("Q"&amp;($J387+4)),"")</f>
        <v/>
      </c>
      <c r="G387" s="298" t="str">
        <f aca="true">IF(ISNUMBER($J387),INDIRECT("R"&amp;($J387+4)),"")</f>
        <v/>
      </c>
      <c r="H387" s="298" t="str">
        <f aca="true">IF(ISNUMBER($J387),INDIRECT("S"&amp;($J387+4)),"")</f>
        <v/>
      </c>
      <c r="J387" s="292" t="str">
        <f aca="true">IF(383&lt;=$K$1,MATCH(382.5,INDIRECT("$K$4:$K$1374"),1),"")</f>
        <v/>
      </c>
      <c r="K387" s="292" t="n">
        <f aca="false">$K$260+COUNTIF($Q$261:Q387,"&gt;0")</f>
        <v>0</v>
      </c>
      <c r="L387" s="292" t="str">
        <f aca="false">"Зарядные устройства EU"</f>
        <v>Зарядные устройства EU</v>
      </c>
      <c r="M387" s="292" t="str">
        <f aca="false">IF(ISBLANK('Зарядные устройства EU'!$A$92),"",'Зарядные устройства EU'!$A$92)</f>
        <v>BA110A Lemi зарядное устройство  набор (Micro)(EU)</v>
      </c>
      <c r="N387" s="292" t="str">
        <f aca="false">IF(ISBLANK('Зарядные устройства EU'!$D$92),"",'Зарядные устройства EU'!$D$92)</f>
        <v>6941991126956</v>
      </c>
      <c r="O387" s="292" t="str">
        <f aca="false">IF(ISBLANK('Зарядные устройства EU'!$E$92),"",'Зарядные устройства EU'!$E$92)</f>
        <v>белый</v>
      </c>
      <c r="P387" s="292" t="str">
        <f aca="false">"ед."</f>
        <v>ед.</v>
      </c>
      <c r="Q387" s="292" t="n">
        <f aca="false">N('Зарядные устройства EU'!$G$92)</f>
        <v>0</v>
      </c>
      <c r="R387" s="299" t="n">
        <f aca="false">IF(ISBLANK('Зарядные устройства EU'!$F$92),"",'Зарядные устройства EU'!$F$92)</f>
        <v>83.18</v>
      </c>
      <c r="S387" s="292" t="str">
        <f aca="false">IF(ISBLANK('Зарядные устройства EU'!$H$92),"",'Зарядные устройства EU'!$H$92)</f>
        <v/>
      </c>
    </row>
    <row r="388" customFormat="false" ht="66" hidden="false" customHeight="true" outlineLevel="0" collapsed="false">
      <c r="A388" s="291" t="str">
        <f aca="true">IF(ISNUMBER($J388),INDIRECT("L"&amp;($J388+4)),"")</f>
        <v/>
      </c>
      <c r="B388" s="291" t="str">
        <f aca="true">IF(ISNUMBER($J388),INDIRECT("M"&amp;($J388+4)),"")</f>
        <v/>
      </c>
      <c r="C388" s="296" t="str">
        <f aca="true">IF(ISNUMBER($J388),INDIRECT("N"&amp;($J388+4)),"")</f>
        <v/>
      </c>
      <c r="D388" s="291" t="str">
        <f aca="true">IF(ISNUMBER($J388),INDIRECT("O"&amp;($J388+4)),"")</f>
        <v/>
      </c>
      <c r="E388" s="291" t="str">
        <f aca="true">IF(ISNUMBER($J388),INDIRECT("P"&amp;($J388+4)),"")</f>
        <v/>
      </c>
      <c r="F388" s="300" t="str">
        <f aca="true">IF(ISNUMBER($J388),INDIRECT("Q"&amp;($J388+4)),"")</f>
        <v/>
      </c>
      <c r="G388" s="298" t="str">
        <f aca="true">IF(ISNUMBER($J388),INDIRECT("R"&amp;($J388+4)),"")</f>
        <v/>
      </c>
      <c r="H388" s="298" t="str">
        <f aca="true">IF(ISNUMBER($J388),INDIRECT("S"&amp;($J388+4)),"")</f>
        <v/>
      </c>
      <c r="J388" s="292" t="str">
        <f aca="true">IF(384&lt;=$K$1,MATCH(383.5,INDIRECT("$K$4:$K$1374"),1),"")</f>
        <v/>
      </c>
      <c r="K388" s="292" t="n">
        <f aca="false">$K$260+COUNTIF($Q$261:Q388,"&gt;0")</f>
        <v>0</v>
      </c>
      <c r="L388" s="292" t="str">
        <f aca="false">"Зарядные устройства EU"</f>
        <v>Зарядные устройства EU</v>
      </c>
      <c r="M388" s="292" t="str">
        <f aca="false">IF(ISBLANK('Зарядные устройства EU'!$A$93),"",'Зарядные устройства EU'!$A$93)</f>
        <v>BA110A Lemi зарядное устройство  набор (Type-C)(EU)</v>
      </c>
      <c r="N388" s="292" t="str">
        <f aca="false">IF(ISBLANK('Зарядные устройства EU'!$D$93),"",'Зарядные устройства EU'!$D$93)</f>
        <v>6941991126963</v>
      </c>
      <c r="O388" s="292" t="str">
        <f aca="false">IF(ISBLANK('Зарядные устройства EU'!$E$93),"",'Зарядные устройства EU'!$E$93)</f>
        <v>белый</v>
      </c>
      <c r="P388" s="292" t="str">
        <f aca="false">"ед."</f>
        <v>ед.</v>
      </c>
      <c r="Q388" s="292" t="n">
        <f aca="false">N('Зарядные устройства EU'!$G$93)</f>
        <v>0</v>
      </c>
      <c r="R388" s="299" t="n">
        <f aca="false">IF(ISBLANK('Зарядные устройства EU'!$F$93),"",'Зарядные устройства EU'!$F$93)</f>
        <v>88.07</v>
      </c>
      <c r="S388" s="292" t="str">
        <f aca="false">IF(ISBLANK('Зарядные устройства EU'!$H$93),"",'Зарядные устройства EU'!$H$93)</f>
        <v/>
      </c>
    </row>
    <row r="389" customFormat="false" ht="66" hidden="false" customHeight="true" outlineLevel="0" collapsed="false">
      <c r="A389" s="291" t="str">
        <f aca="true">IF(ISNUMBER($J389),INDIRECT("L"&amp;($J389+4)),"")</f>
        <v/>
      </c>
      <c r="B389" s="291" t="str">
        <f aca="true">IF(ISNUMBER($J389),INDIRECT("M"&amp;($J389+4)),"")</f>
        <v/>
      </c>
      <c r="C389" s="296" t="str">
        <f aca="true">IF(ISNUMBER($J389),INDIRECT("N"&amp;($J389+4)),"")</f>
        <v/>
      </c>
      <c r="D389" s="291" t="str">
        <f aca="true">IF(ISNUMBER($J389),INDIRECT("O"&amp;($J389+4)),"")</f>
        <v/>
      </c>
      <c r="E389" s="291" t="str">
        <f aca="true">IF(ISNUMBER($J389),INDIRECT("P"&amp;($J389+4)),"")</f>
        <v/>
      </c>
      <c r="F389" s="300" t="str">
        <f aca="true">IF(ISNUMBER($J389),INDIRECT("Q"&amp;($J389+4)),"")</f>
        <v/>
      </c>
      <c r="G389" s="298" t="str">
        <f aca="true">IF(ISNUMBER($J389),INDIRECT("R"&amp;($J389+4)),"")</f>
        <v/>
      </c>
      <c r="H389" s="298" t="str">
        <f aca="true">IF(ISNUMBER($J389),INDIRECT("S"&amp;($J389+4)),"")</f>
        <v/>
      </c>
      <c r="J389" s="292" t="str">
        <f aca="true">IF(385&lt;=$K$1,MATCH(384.5,INDIRECT("$K$4:$K$1374"),1),"")</f>
        <v/>
      </c>
      <c r="K389" s="292" t="n">
        <f aca="false">$K$388+COUNTIF($Q$389:Q389,"&gt;0")</f>
        <v>0</v>
      </c>
      <c r="L389" s="292" t="str">
        <f aca="false">"Зарядные устройства EU"</f>
        <v>Зарядные устройства EU</v>
      </c>
      <c r="M389" s="292" t="str">
        <f aca="false">IF(ISBLANK('Зарядные устройства EU'!$A$94),"",'Зарядные устройства EU'!$A$94)</f>
        <v>BA109A Star PD40W зарядное устройство (EU)</v>
      </c>
      <c r="N389" s="292" t="str">
        <f aca="false">IF(ISBLANK('Зарядные устройства EU'!$D$94),"",'Зарядные устройства EU'!$D$94)</f>
        <v>6941991126888</v>
      </c>
      <c r="O389" s="292" t="str">
        <f aca="false">IF(ISBLANK('Зарядные устройства EU'!$E$94),"",'Зарядные устройства EU'!$E$94)</f>
        <v>белый</v>
      </c>
      <c r="P389" s="292" t="str">
        <f aca="false">"ед."</f>
        <v>ед.</v>
      </c>
      <c r="Q389" s="292" t="n">
        <f aca="false">N('Зарядные устройства EU'!$G$94)</f>
        <v>0</v>
      </c>
      <c r="R389" s="299" t="n">
        <f aca="false">IF(ISBLANK('Зарядные устройства EU'!$F$94),"",'Зарядные устройства EU'!$F$94)</f>
        <v>350.65</v>
      </c>
      <c r="S389" s="292" t="str">
        <f aca="false">IF(ISBLANK('Зарядные устройства EU'!$H$94),"",'Зарядные устройства EU'!$H$94)</f>
        <v/>
      </c>
    </row>
    <row r="390" customFormat="false" ht="66" hidden="false" customHeight="true" outlineLevel="0" collapsed="false">
      <c r="A390" s="291" t="str">
        <f aca="true">IF(ISNUMBER($J390),INDIRECT("L"&amp;($J390+4)),"")</f>
        <v/>
      </c>
      <c r="B390" s="291" t="str">
        <f aca="true">IF(ISNUMBER($J390),INDIRECT("M"&amp;($J390+4)),"")</f>
        <v/>
      </c>
      <c r="C390" s="296" t="str">
        <f aca="true">IF(ISNUMBER($J390),INDIRECT("N"&amp;($J390+4)),"")</f>
        <v/>
      </c>
      <c r="D390" s="291" t="str">
        <f aca="true">IF(ISNUMBER($J390),INDIRECT("O"&amp;($J390+4)),"")</f>
        <v/>
      </c>
      <c r="E390" s="291" t="str">
        <f aca="true">IF(ISNUMBER($J390),INDIRECT("P"&amp;($J390+4)),"")</f>
        <v/>
      </c>
      <c r="F390" s="300" t="str">
        <f aca="true">IF(ISNUMBER($J390),INDIRECT("Q"&amp;($J390+4)),"")</f>
        <v/>
      </c>
      <c r="G390" s="298" t="str">
        <f aca="true">IF(ISNUMBER($J390),INDIRECT("R"&amp;($J390+4)),"")</f>
        <v/>
      </c>
      <c r="H390" s="298" t="str">
        <f aca="true">IF(ISNUMBER($J390),INDIRECT("S"&amp;($J390+4)),"")</f>
        <v/>
      </c>
      <c r="J390" s="292" t="str">
        <f aca="true">IF(386&lt;=$K$1,MATCH(385.5,INDIRECT("$K$4:$K$1374"),1),"")</f>
        <v/>
      </c>
      <c r="K390" s="292" t="n">
        <f aca="false">$K$388+COUNTIF($Q$389:Q390,"&gt;0")</f>
        <v>0</v>
      </c>
      <c r="L390" s="292" t="str">
        <f aca="false">"Зарядные устройства EU"</f>
        <v>Зарядные устройства EU</v>
      </c>
      <c r="M390" s="292" t="str">
        <f aca="false">IF(ISBLANK('Зарядные устройства EU'!$A$95),"",'Зарядные устройства EU'!$A$95)</f>
        <v>BA109A Star PD40W зарядное устройство набор (C на C)(EU)</v>
      </c>
      <c r="N390" s="292" t="str">
        <f aca="false">IF(ISBLANK('Зарядные устройства EU'!$D$95),"",'Зарядные устройства EU'!$D$95)</f>
        <v>6941991126895</v>
      </c>
      <c r="O390" s="292" t="str">
        <f aca="false">IF(ISBLANK('Зарядные устройства EU'!$E$95),"",'Зарядные устройства EU'!$E$95)</f>
        <v>белый</v>
      </c>
      <c r="P390" s="292" t="str">
        <f aca="false">"ед."</f>
        <v>ед.</v>
      </c>
      <c r="Q390" s="292" t="n">
        <f aca="false">N('Зарядные устройства EU'!$G$95)</f>
        <v>0</v>
      </c>
      <c r="R390" s="299" t="n">
        <f aca="false">IF(ISBLANK('Зарядные устройства EU'!$F$95),"",'Зарядные устройства EU'!$F$95)</f>
        <v>391.43</v>
      </c>
      <c r="S390" s="292" t="str">
        <f aca="false">IF(ISBLANK('Зарядные устройства EU'!$H$95),"",'Зарядные устройства EU'!$H$95)</f>
        <v/>
      </c>
    </row>
    <row r="391" customFormat="false" ht="66" hidden="false" customHeight="true" outlineLevel="0" collapsed="false">
      <c r="A391" s="291" t="str">
        <f aca="true">IF(ISNUMBER($J391),INDIRECT("L"&amp;($J391+4)),"")</f>
        <v/>
      </c>
      <c r="B391" s="291" t="str">
        <f aca="true">IF(ISNUMBER($J391),INDIRECT("M"&amp;($J391+4)),"")</f>
        <v/>
      </c>
      <c r="C391" s="296" t="str">
        <f aca="true">IF(ISNUMBER($J391),INDIRECT("N"&amp;($J391+4)),"")</f>
        <v/>
      </c>
      <c r="D391" s="291" t="str">
        <f aca="true">IF(ISNUMBER($J391),INDIRECT("O"&amp;($J391+4)),"")</f>
        <v/>
      </c>
      <c r="E391" s="291" t="str">
        <f aca="true">IF(ISNUMBER($J391),INDIRECT("P"&amp;($J391+4)),"")</f>
        <v/>
      </c>
      <c r="F391" s="300" t="str">
        <f aca="true">IF(ISNUMBER($J391),INDIRECT("Q"&amp;($J391+4)),"")</f>
        <v/>
      </c>
      <c r="G391" s="298" t="str">
        <f aca="true">IF(ISNUMBER($J391),INDIRECT("R"&amp;($J391+4)),"")</f>
        <v/>
      </c>
      <c r="H391" s="298" t="str">
        <f aca="true">IF(ISNUMBER($J391),INDIRECT("S"&amp;($J391+4)),"")</f>
        <v/>
      </c>
      <c r="J391" s="292" t="str">
        <f aca="true">IF(387&lt;=$K$1,MATCH(386.5,INDIRECT("$K$4:$K$1374"),1),"")</f>
        <v/>
      </c>
      <c r="K391" s="292" t="n">
        <f aca="false">$K$388+COUNTIF($Q$389:Q391,"&gt;0")</f>
        <v>0</v>
      </c>
      <c r="L391" s="292" t="str">
        <f aca="false">"Зарядные устройства EU"</f>
        <v>Зарядные устройства EU</v>
      </c>
      <c r="M391" s="292" t="str">
        <f aca="false">IF(ISBLANK('Зарядные устройства EU'!$A$96),"",'Зарядные устройства EU'!$A$96)</f>
        <v>BA108A Stellar PD30W+QC3.0 зарядное устройство (EU)</v>
      </c>
      <c r="N391" s="292" t="str">
        <f aca="false">IF(ISBLANK('Зарядные устройства EU'!$D$96),"",'Зарядные устройства EU'!$D$96)</f>
        <v>6941991125379</v>
      </c>
      <c r="O391" s="292" t="str">
        <f aca="false">IF(ISBLANK('Зарядные устройства EU'!$E$96),"",'Зарядные устройства EU'!$E$96)</f>
        <v>белый</v>
      </c>
      <c r="P391" s="292" t="str">
        <f aca="false">"ед."</f>
        <v>ед.</v>
      </c>
      <c r="Q391" s="292" t="n">
        <f aca="false">N('Зарядные устройства EU'!$G$96)</f>
        <v>0</v>
      </c>
      <c r="R391" s="299" t="n">
        <f aca="false">IF(ISBLANK('Зарядные устройства EU'!$F$96),"",'Зарядные устройства EU'!$F$96)</f>
        <v>203.87</v>
      </c>
      <c r="S391" s="292" t="str">
        <f aca="false">IF(ISBLANK('Зарядные устройства EU'!$H$96),"",'Зарядные устройства EU'!$H$96)</f>
        <v/>
      </c>
    </row>
    <row r="392" customFormat="false" ht="66" hidden="false" customHeight="true" outlineLevel="0" collapsed="false">
      <c r="A392" s="291" t="str">
        <f aca="true">IF(ISNUMBER($J392),INDIRECT("L"&amp;($J392+4)),"")</f>
        <v/>
      </c>
      <c r="B392" s="291" t="str">
        <f aca="true">IF(ISNUMBER($J392),INDIRECT("M"&amp;($J392+4)),"")</f>
        <v/>
      </c>
      <c r="C392" s="296" t="str">
        <f aca="true">IF(ISNUMBER($J392),INDIRECT("N"&amp;($J392+4)),"")</f>
        <v/>
      </c>
      <c r="D392" s="291" t="str">
        <f aca="true">IF(ISNUMBER($J392),INDIRECT("O"&amp;($J392+4)),"")</f>
        <v/>
      </c>
      <c r="E392" s="291" t="str">
        <f aca="true">IF(ISNUMBER($J392),INDIRECT("P"&amp;($J392+4)),"")</f>
        <v/>
      </c>
      <c r="F392" s="300" t="str">
        <f aca="true">IF(ISNUMBER($J392),INDIRECT("Q"&amp;($J392+4)),"")</f>
        <v/>
      </c>
      <c r="G392" s="298" t="str">
        <f aca="true">IF(ISNUMBER($J392),INDIRECT("R"&amp;($J392+4)),"")</f>
        <v/>
      </c>
      <c r="H392" s="298" t="str">
        <f aca="true">IF(ISNUMBER($J392),INDIRECT("S"&amp;($J392+4)),"")</f>
        <v/>
      </c>
      <c r="J392" s="292" t="str">
        <f aca="true">IF(388&lt;=$K$1,MATCH(387.5,INDIRECT("$K$4:$K$1374"),1),"")</f>
        <v/>
      </c>
      <c r="K392" s="292" t="n">
        <f aca="false">$K$388+COUNTIF($Q$389:Q392,"&gt;0")</f>
        <v>0</v>
      </c>
      <c r="L392" s="292" t="str">
        <f aca="false">"Зарядные устройства EU"</f>
        <v>Зарядные устройства EU</v>
      </c>
      <c r="M392" s="292" t="str">
        <f aca="false">IF(ISBLANK('Зарядные устройства EU'!$A$97),"",'Зарядные устройства EU'!$A$97)</f>
        <v>BA108A Stellar PD30W+QC3.0 зарядное устройство  набор (C на iP)(EU)</v>
      </c>
      <c r="N392" s="292" t="str">
        <f aca="false">IF(ISBLANK('Зарядные устройства EU'!$D$97),"",'Зарядные устройства EU'!$D$97)</f>
        <v>6941991125386</v>
      </c>
      <c r="O392" s="292" t="str">
        <f aca="false">IF(ISBLANK('Зарядные устройства EU'!$E$97),"",'Зарядные устройства EU'!$E$97)</f>
        <v>белый</v>
      </c>
      <c r="P392" s="292" t="str">
        <f aca="false">"ед."</f>
        <v>ед.</v>
      </c>
      <c r="Q392" s="292" t="n">
        <f aca="false">N('Зарядные устройства EU'!$G$97)</f>
        <v>0</v>
      </c>
      <c r="R392" s="299" t="n">
        <f aca="false">IF(ISBLANK('Зарядные устройства EU'!$F$97),"",'Зарядные устройства EU'!$F$97)</f>
        <v>260.95</v>
      </c>
      <c r="S392" s="292" t="str">
        <f aca="false">IF(ISBLANK('Зарядные устройства EU'!$H$97),"",'Зарядные устройства EU'!$H$97)</f>
        <v/>
      </c>
    </row>
    <row r="393" customFormat="false" ht="66" hidden="false" customHeight="true" outlineLevel="0" collapsed="false">
      <c r="A393" s="291" t="str">
        <f aca="true">IF(ISNUMBER($J393),INDIRECT("L"&amp;($J393+4)),"")</f>
        <v/>
      </c>
      <c r="B393" s="291" t="str">
        <f aca="true">IF(ISNUMBER($J393),INDIRECT("M"&amp;($J393+4)),"")</f>
        <v/>
      </c>
      <c r="C393" s="296" t="str">
        <f aca="true">IF(ISNUMBER($J393),INDIRECT("N"&amp;($J393+4)),"")</f>
        <v/>
      </c>
      <c r="D393" s="291" t="str">
        <f aca="true">IF(ISNUMBER($J393),INDIRECT("O"&amp;($J393+4)),"")</f>
        <v/>
      </c>
      <c r="E393" s="291" t="str">
        <f aca="true">IF(ISNUMBER($J393),INDIRECT("P"&amp;($J393+4)),"")</f>
        <v/>
      </c>
      <c r="F393" s="300" t="str">
        <f aca="true">IF(ISNUMBER($J393),INDIRECT("Q"&amp;($J393+4)),"")</f>
        <v/>
      </c>
      <c r="G393" s="298" t="str">
        <f aca="true">IF(ISNUMBER($J393),INDIRECT("R"&amp;($J393+4)),"")</f>
        <v/>
      </c>
      <c r="H393" s="298" t="str">
        <f aca="true">IF(ISNUMBER($J393),INDIRECT("S"&amp;($J393+4)),"")</f>
        <v/>
      </c>
      <c r="J393" s="292" t="str">
        <f aca="true">IF(389&lt;=$K$1,MATCH(388.5,INDIRECT("$K$4:$K$1374"),1),"")</f>
        <v/>
      </c>
      <c r="K393" s="292" t="n">
        <f aca="false">$K$388+COUNTIF($Q$389:Q393,"&gt;0")</f>
        <v>0</v>
      </c>
      <c r="L393" s="292" t="str">
        <f aca="false">"Зарядные устройства EU"</f>
        <v>Зарядные устройства EU</v>
      </c>
      <c r="M393" s="292" t="str">
        <f aca="false">IF(ISBLANK('Зарядные устройства EU'!$A$98),"",'Зарядные устройства EU'!$A$98)</f>
        <v>BA108A Stellar PD30W+QC3.0 зарядное устройство  набор (C на C)(EU)</v>
      </c>
      <c r="N393" s="292" t="str">
        <f aca="false">IF(ISBLANK('Зарядные устройства EU'!$D$98),"",'Зарядные устройства EU'!$D$98)</f>
        <v>6941991125393</v>
      </c>
      <c r="O393" s="292" t="str">
        <f aca="false">IF(ISBLANK('Зарядные устройства EU'!$E$98),"",'Зарядные устройства EU'!$E$98)</f>
        <v>белый</v>
      </c>
      <c r="P393" s="292" t="str">
        <f aca="false">"ед."</f>
        <v>ед.</v>
      </c>
      <c r="Q393" s="292" t="n">
        <f aca="false">N('Зарядные устройства EU'!$G$98)</f>
        <v>0</v>
      </c>
      <c r="R393" s="299" t="n">
        <f aca="false">IF(ISBLANK('Зарядные устройства EU'!$F$98),"",'Зарядные устройства EU'!$F$98)</f>
        <v>236.49</v>
      </c>
      <c r="S393" s="292" t="str">
        <f aca="false">IF(ISBLANK('Зарядные устройства EU'!$H$98),"",'Зарядные устройства EU'!$H$98)</f>
        <v/>
      </c>
    </row>
    <row r="394" customFormat="false" ht="66" hidden="false" customHeight="true" outlineLevel="0" collapsed="false">
      <c r="A394" s="291" t="str">
        <f aca="true">IF(ISNUMBER($J394),INDIRECT("L"&amp;($J394+4)),"")</f>
        <v/>
      </c>
      <c r="B394" s="291" t="str">
        <f aca="true">IF(ISNUMBER($J394),INDIRECT("M"&amp;($J394+4)),"")</f>
        <v/>
      </c>
      <c r="C394" s="296" t="str">
        <f aca="true">IF(ISNUMBER($J394),INDIRECT("N"&amp;($J394+4)),"")</f>
        <v/>
      </c>
      <c r="D394" s="291" t="str">
        <f aca="true">IF(ISNUMBER($J394),INDIRECT("O"&amp;($J394+4)),"")</f>
        <v/>
      </c>
      <c r="E394" s="291" t="str">
        <f aca="true">IF(ISNUMBER($J394),INDIRECT("P"&amp;($J394+4)),"")</f>
        <v/>
      </c>
      <c r="F394" s="300" t="str">
        <f aca="true">IF(ISNUMBER($J394),INDIRECT("Q"&amp;($J394+4)),"")</f>
        <v/>
      </c>
      <c r="G394" s="298" t="str">
        <f aca="true">IF(ISNUMBER($J394),INDIRECT("R"&amp;($J394+4)),"")</f>
        <v/>
      </c>
      <c r="H394" s="298" t="str">
        <f aca="true">IF(ISNUMBER($J394),INDIRECT("S"&amp;($J394+4)),"")</f>
        <v/>
      </c>
      <c r="J394" s="292" t="str">
        <f aca="true">IF(390&lt;=$K$1,MATCH(389.5,INDIRECT("$K$4:$K$1374"),1),"")</f>
        <v/>
      </c>
      <c r="K394" s="292" t="n">
        <f aca="false">$K$388+COUNTIF($Q$389:Q394,"&gt;0")</f>
        <v>0</v>
      </c>
      <c r="L394" s="292" t="str">
        <f aca="false">"Зарядные устройства EU"</f>
        <v>Зарядные устройства EU</v>
      </c>
      <c r="M394" s="292" t="str">
        <f aca="false">IF(ISBLANK('Зарядные устройства EU'!$A$99),"",'Зарядные устройства EU'!$A$99)</f>
        <v>BA107A Stellar PD30W зарядное устройство (EU)</v>
      </c>
      <c r="N394" s="292" t="str">
        <f aca="false">IF(ISBLANK('Зарядные устройства EU'!$D$99),"",'Зарядные устройства EU'!$D$99)</f>
        <v>6941991125348</v>
      </c>
      <c r="O394" s="292" t="str">
        <f aca="false">IF(ISBLANK('Зарядные устройства EU'!$E$99),"",'Зарядные устройства EU'!$E$99)</f>
        <v>белый</v>
      </c>
      <c r="P394" s="292" t="str">
        <f aca="false">"ед."</f>
        <v>ед.</v>
      </c>
      <c r="Q394" s="292" t="n">
        <f aca="false">N('Зарядные устройства EU'!$G$99)</f>
        <v>0</v>
      </c>
      <c r="R394" s="299" t="n">
        <f aca="false">IF(ISBLANK('Зарядные устройства EU'!$F$99),"",'Зарядные устройства EU'!$F$99)</f>
        <v>187.56</v>
      </c>
      <c r="S394" s="292" t="str">
        <f aca="false">IF(ISBLANK('Зарядные устройства EU'!$H$99),"",'Зарядные устройства EU'!$H$99)</f>
        <v/>
      </c>
    </row>
    <row r="395" customFormat="false" ht="66" hidden="false" customHeight="true" outlineLevel="0" collapsed="false">
      <c r="A395" s="291" t="str">
        <f aca="true">IF(ISNUMBER($J395),INDIRECT("L"&amp;($J395+4)),"")</f>
        <v/>
      </c>
      <c r="B395" s="291" t="str">
        <f aca="true">IF(ISNUMBER($J395),INDIRECT("M"&amp;($J395+4)),"")</f>
        <v/>
      </c>
      <c r="C395" s="296" t="str">
        <f aca="true">IF(ISNUMBER($J395),INDIRECT("N"&amp;($J395+4)),"")</f>
        <v/>
      </c>
      <c r="D395" s="291" t="str">
        <f aca="true">IF(ISNUMBER($J395),INDIRECT("O"&amp;($J395+4)),"")</f>
        <v/>
      </c>
      <c r="E395" s="291" t="str">
        <f aca="true">IF(ISNUMBER($J395),INDIRECT("P"&amp;($J395+4)),"")</f>
        <v/>
      </c>
      <c r="F395" s="300" t="str">
        <f aca="true">IF(ISNUMBER($J395),INDIRECT("Q"&amp;($J395+4)),"")</f>
        <v/>
      </c>
      <c r="G395" s="298" t="str">
        <f aca="true">IF(ISNUMBER($J395),INDIRECT("R"&amp;($J395+4)),"")</f>
        <v/>
      </c>
      <c r="H395" s="298" t="str">
        <f aca="true">IF(ISNUMBER($J395),INDIRECT("S"&amp;($J395+4)),"")</f>
        <v/>
      </c>
      <c r="J395" s="292" t="str">
        <f aca="true">IF(391&lt;=$K$1,MATCH(390.5,INDIRECT("$K$4:$K$1374"),1),"")</f>
        <v/>
      </c>
      <c r="K395" s="292" t="n">
        <f aca="false">$K$388+COUNTIF($Q$389:Q395,"&gt;0")</f>
        <v>0</v>
      </c>
      <c r="L395" s="292" t="str">
        <f aca="false">"Зарядные устройства EU"</f>
        <v>Зарядные устройства EU</v>
      </c>
      <c r="M395" s="292" t="str">
        <f aca="false">IF(ISBLANK('Зарядные устройства EU'!$A$100),"",'Зарядные устройства EU'!$A$100)</f>
        <v>BA105A Stellar зарядное устройство  набор (Micro)(EU)</v>
      </c>
      <c r="N395" s="292" t="str">
        <f aca="false">IF(ISBLANK('Зарядные устройства EU'!$D$100),"",'Зарядные устройства EU'!$D$100)</f>
        <v>6941991125294</v>
      </c>
      <c r="O395" s="292" t="str">
        <f aca="false">IF(ISBLANK('Зарядные устройства EU'!$E$100),"",'Зарядные устройства EU'!$E$100)</f>
        <v>белый</v>
      </c>
      <c r="P395" s="292" t="str">
        <f aca="false">"ед."</f>
        <v>ед.</v>
      </c>
      <c r="Q395" s="292" t="n">
        <f aca="false">N('Зарядные устройства EU'!$G$100)</f>
        <v>0</v>
      </c>
      <c r="R395" s="299" t="n">
        <f aca="false">IF(ISBLANK('Зарядные устройства EU'!$F$100),"",'Зарядные устройства EU'!$F$100)</f>
        <v>133.74</v>
      </c>
      <c r="S395" s="292" t="str">
        <f aca="false">IF(ISBLANK('Зарядные устройства EU'!$H$100),"",'Зарядные устройства EU'!$H$100)</f>
        <v/>
      </c>
    </row>
    <row r="396" customFormat="false" ht="66" hidden="false" customHeight="true" outlineLevel="0" collapsed="false">
      <c r="A396" s="291" t="str">
        <f aca="true">IF(ISNUMBER($J396),INDIRECT("L"&amp;($J396+4)),"")</f>
        <v/>
      </c>
      <c r="B396" s="291" t="str">
        <f aca="true">IF(ISNUMBER($J396),INDIRECT("M"&amp;($J396+4)),"")</f>
        <v/>
      </c>
      <c r="C396" s="296" t="str">
        <f aca="true">IF(ISNUMBER($J396),INDIRECT("N"&amp;($J396+4)),"")</f>
        <v/>
      </c>
      <c r="D396" s="291" t="str">
        <f aca="true">IF(ISNUMBER($J396),INDIRECT("O"&amp;($J396+4)),"")</f>
        <v/>
      </c>
      <c r="E396" s="291" t="str">
        <f aca="true">IF(ISNUMBER($J396),INDIRECT("P"&amp;($J396+4)),"")</f>
        <v/>
      </c>
      <c r="F396" s="300" t="str">
        <f aca="true">IF(ISNUMBER($J396),INDIRECT("Q"&amp;($J396+4)),"")</f>
        <v/>
      </c>
      <c r="G396" s="298" t="str">
        <f aca="true">IF(ISNUMBER($J396),INDIRECT("R"&amp;($J396+4)),"")</f>
        <v/>
      </c>
      <c r="H396" s="298" t="str">
        <f aca="true">IF(ISNUMBER($J396),INDIRECT("S"&amp;($J396+4)),"")</f>
        <v/>
      </c>
      <c r="J396" s="292" t="str">
        <f aca="true">IF(392&lt;=$K$1,MATCH(391.5,INDIRECT("$K$4:$K$1374"),1),"")</f>
        <v/>
      </c>
      <c r="K396" s="292" t="n">
        <f aca="false">$K$388+COUNTIF($Q$389:Q396,"&gt;0")</f>
        <v>0</v>
      </c>
      <c r="L396" s="292" t="str">
        <f aca="false">"Зарядные устройства EU"</f>
        <v>Зарядные устройства EU</v>
      </c>
      <c r="M396" s="292" t="str">
        <f aca="false">IF(ISBLANK('Зарядные устройства EU'!$A$101),"",'Зарядные устройства EU'!$A$101)</f>
        <v>BA104A Pudding PD20W+QC3.0 зарядное устройство (EU)</v>
      </c>
      <c r="N396" s="292" t="str">
        <f aca="false">IF(ISBLANK('Зарядные устройства EU'!$D$101),"",'Зарядные устройства EU'!$D$101)</f>
        <v>6941991124112</v>
      </c>
      <c r="O396" s="292" t="str">
        <f aca="false">IF(ISBLANK('Зарядные устройства EU'!$E$101),"",'Зарядные устройства EU'!$E$101)</f>
        <v>белый</v>
      </c>
      <c r="P396" s="292" t="str">
        <f aca="false">"ед."</f>
        <v>ед.</v>
      </c>
      <c r="Q396" s="292" t="n">
        <f aca="false">N('Зарядные устройства EU'!$G$101)</f>
        <v>0</v>
      </c>
      <c r="R396" s="299" t="n">
        <f aca="false">IF(ISBLANK('Зарядные устройства EU'!$F$101),"",'Зарядные устройства EU'!$F$101)</f>
        <v>154.94</v>
      </c>
      <c r="S396" s="292" t="str">
        <f aca="false">IF(ISBLANK('Зарядные устройства EU'!$H$101),"",'Зарядные устройства EU'!$H$101)</f>
        <v/>
      </c>
    </row>
    <row r="397" customFormat="false" ht="66" hidden="false" customHeight="true" outlineLevel="0" collapsed="false">
      <c r="A397" s="291" t="str">
        <f aca="true">IF(ISNUMBER($J397),INDIRECT("L"&amp;($J397+4)),"")</f>
        <v/>
      </c>
      <c r="B397" s="291" t="str">
        <f aca="true">IF(ISNUMBER($J397),INDIRECT("M"&amp;($J397+4)),"")</f>
        <v/>
      </c>
      <c r="C397" s="296" t="str">
        <f aca="true">IF(ISNUMBER($J397),INDIRECT("N"&amp;($J397+4)),"")</f>
        <v/>
      </c>
      <c r="D397" s="291" t="str">
        <f aca="true">IF(ISNUMBER($J397),INDIRECT("O"&amp;($J397+4)),"")</f>
        <v/>
      </c>
      <c r="E397" s="291" t="str">
        <f aca="true">IF(ISNUMBER($J397),INDIRECT("P"&amp;($J397+4)),"")</f>
        <v/>
      </c>
      <c r="F397" s="300" t="str">
        <f aca="true">IF(ISNUMBER($J397),INDIRECT("Q"&amp;($J397+4)),"")</f>
        <v/>
      </c>
      <c r="G397" s="298" t="str">
        <f aca="true">IF(ISNUMBER($J397),INDIRECT("R"&amp;($J397+4)),"")</f>
        <v/>
      </c>
      <c r="H397" s="298" t="str">
        <f aca="true">IF(ISNUMBER($J397),INDIRECT("S"&amp;($J397+4)),"")</f>
        <v/>
      </c>
      <c r="J397" s="292" t="str">
        <f aca="true">IF(393&lt;=$K$1,MATCH(392.5,INDIRECT("$K$4:$K$1374"),1),"")</f>
        <v/>
      </c>
      <c r="K397" s="292" t="n">
        <f aca="false">$K$388+COUNTIF($Q$389:Q397,"&gt;0")</f>
        <v>0</v>
      </c>
      <c r="L397" s="292" t="str">
        <f aca="false">"Зарядные устройства EU"</f>
        <v>Зарядные устройства EU</v>
      </c>
      <c r="M397" s="292" t="str">
        <f aca="false">IF(ISBLANK('Зарядные устройства EU'!$A$102),"",'Зарядные устройства EU'!$A$102)</f>
        <v>BA103A Pudding PD20W зарядное устройство (EU)</v>
      </c>
      <c r="N397" s="292" t="str">
        <f aca="false">IF(ISBLANK('Зарядные устройства EU'!$D$102),"",'Зарядные устройства EU'!$D$102)</f>
        <v>6941991124082</v>
      </c>
      <c r="O397" s="292" t="str">
        <f aca="false">IF(ISBLANK('Зарядные устройства EU'!$E$102),"",'Зарядные устройства EU'!$E$102)</f>
        <v>белый</v>
      </c>
      <c r="P397" s="292" t="str">
        <f aca="false">"ед."</f>
        <v>ед.</v>
      </c>
      <c r="Q397" s="292" t="n">
        <f aca="false">N('Зарядные устройства EU'!$G$102)</f>
        <v>0</v>
      </c>
      <c r="R397" s="299" t="n">
        <f aca="false">IF(ISBLANK('Зарядные устройства EU'!$F$102),"",'Зарядные устройства EU'!$F$102)</f>
        <v>122.32</v>
      </c>
      <c r="S397" s="292" t="str">
        <f aca="false">IF(ISBLANK('Зарядные устройства EU'!$H$102),"",'Зарядные устройства EU'!$H$102)</f>
        <v/>
      </c>
    </row>
    <row r="398" customFormat="false" ht="66" hidden="false" customHeight="true" outlineLevel="0" collapsed="false">
      <c r="A398" s="291" t="str">
        <f aca="true">IF(ISNUMBER($J398),INDIRECT("L"&amp;($J398+4)),"")</f>
        <v/>
      </c>
      <c r="B398" s="291" t="str">
        <f aca="true">IF(ISNUMBER($J398),INDIRECT("M"&amp;($J398+4)),"")</f>
        <v/>
      </c>
      <c r="C398" s="296" t="str">
        <f aca="true">IF(ISNUMBER($J398),INDIRECT("N"&amp;($J398+4)),"")</f>
        <v/>
      </c>
      <c r="D398" s="291" t="str">
        <f aca="true">IF(ISNUMBER($J398),INDIRECT("O"&amp;($J398+4)),"")</f>
        <v/>
      </c>
      <c r="E398" s="291" t="str">
        <f aca="true">IF(ISNUMBER($J398),INDIRECT("P"&amp;($J398+4)),"")</f>
        <v/>
      </c>
      <c r="F398" s="300" t="str">
        <f aca="true">IF(ISNUMBER($J398),INDIRECT("Q"&amp;($J398+4)),"")</f>
        <v/>
      </c>
      <c r="G398" s="298" t="str">
        <f aca="true">IF(ISNUMBER($J398),INDIRECT("R"&amp;($J398+4)),"")</f>
        <v/>
      </c>
      <c r="H398" s="298" t="str">
        <f aca="true">IF(ISNUMBER($J398),INDIRECT("S"&amp;($J398+4)),"")</f>
        <v/>
      </c>
      <c r="J398" s="292" t="str">
        <f aca="true">IF(394&lt;=$K$1,MATCH(393.5,INDIRECT("$K$4:$K$1374"),1),"")</f>
        <v/>
      </c>
      <c r="K398" s="292" t="n">
        <f aca="false">$K$388+COUNTIF($Q$389:Q398,"&gt;0")</f>
        <v>0</v>
      </c>
      <c r="L398" s="292" t="str">
        <f aca="false">"Зарядные устройства EU"</f>
        <v>Зарядные устройства EU</v>
      </c>
      <c r="M398" s="292" t="str">
        <f aca="false">IF(ISBLANK('Зарядные устройства EU'!$A$103),"",'Зарядные устройства EU'!$A$103)</f>
        <v>BA103A Pudding PD20W зарядное устройство набор (C на iP)(EU)</v>
      </c>
      <c r="N398" s="292" t="str">
        <f aca="false">IF(ISBLANK('Зарядные устройства EU'!$D$103),"",'Зарядные устройства EU'!$D$103)</f>
        <v>6941991124099</v>
      </c>
      <c r="O398" s="292" t="str">
        <f aca="false">IF(ISBLANK('Зарядные устройства EU'!$E$103),"",'Зарядные устройства EU'!$E$103)</f>
        <v>белый</v>
      </c>
      <c r="P398" s="292" t="str">
        <f aca="false">"ед."</f>
        <v>ед.</v>
      </c>
      <c r="Q398" s="292" t="n">
        <f aca="false">N('Зарядные устройства EU'!$G$103)</f>
        <v>0</v>
      </c>
      <c r="R398" s="299" t="n">
        <f aca="false">IF(ISBLANK('Зарядные устройства EU'!$F$103),"",'Зарядные устройства EU'!$F$103)</f>
        <v>182.67</v>
      </c>
      <c r="S398" s="292" t="str">
        <f aca="false">IF(ISBLANK('Зарядные устройства EU'!$H$103),"",'Зарядные устройства EU'!$H$103)</f>
        <v/>
      </c>
    </row>
    <row r="399" customFormat="false" ht="66" hidden="false" customHeight="true" outlineLevel="0" collapsed="false">
      <c r="A399" s="291" t="str">
        <f aca="true">IF(ISNUMBER($J399),INDIRECT("L"&amp;($J399+4)),"")</f>
        <v/>
      </c>
      <c r="B399" s="291" t="str">
        <f aca="true">IF(ISNUMBER($J399),INDIRECT("M"&amp;($J399+4)),"")</f>
        <v/>
      </c>
      <c r="C399" s="296" t="str">
        <f aca="true">IF(ISNUMBER($J399),INDIRECT("N"&amp;($J399+4)),"")</f>
        <v/>
      </c>
      <c r="D399" s="291" t="str">
        <f aca="true">IF(ISNUMBER($J399),INDIRECT("O"&amp;($J399+4)),"")</f>
        <v/>
      </c>
      <c r="E399" s="291" t="str">
        <f aca="true">IF(ISNUMBER($J399),INDIRECT("P"&amp;($J399+4)),"")</f>
        <v/>
      </c>
      <c r="F399" s="300" t="str">
        <f aca="true">IF(ISNUMBER($J399),INDIRECT("Q"&amp;($J399+4)),"")</f>
        <v/>
      </c>
      <c r="G399" s="298" t="str">
        <f aca="true">IF(ISNUMBER($J399),INDIRECT("R"&amp;($J399+4)),"")</f>
        <v/>
      </c>
      <c r="H399" s="298" t="str">
        <f aca="true">IF(ISNUMBER($J399),INDIRECT("S"&amp;($J399+4)),"")</f>
        <v/>
      </c>
      <c r="J399" s="292" t="str">
        <f aca="true">IF(395&lt;=$K$1,MATCH(394.5,INDIRECT("$K$4:$K$1374"),1),"")</f>
        <v/>
      </c>
      <c r="K399" s="292" t="n">
        <f aca="false">$K$388+COUNTIF($Q$389:Q399,"&gt;0")</f>
        <v>0</v>
      </c>
      <c r="L399" s="292" t="str">
        <f aca="false">"Зарядные устройства EU"</f>
        <v>Зарядные устройства EU</v>
      </c>
      <c r="M399" s="292" t="str">
        <f aca="false">IF(ISBLANK('Зарядные устройства EU'!$A$104),"",'Зарядные устройства EU'!$A$104)</f>
        <v>BA103A Pudding PD20W зарядное устройство набор (C на C)(EU)</v>
      </c>
      <c r="N399" s="292" t="str">
        <f aca="false">IF(ISBLANK('Зарядные устройства EU'!$D$104),"",'Зарядные устройства EU'!$D$104)</f>
        <v>6941991124105</v>
      </c>
      <c r="O399" s="292" t="str">
        <f aca="false">IF(ISBLANK('Зарядные устройства EU'!$E$104),"",'Зарядные устройства EU'!$E$104)</f>
        <v>белый</v>
      </c>
      <c r="P399" s="292" t="str">
        <f aca="false">"ед."</f>
        <v>ед.</v>
      </c>
      <c r="Q399" s="292" t="n">
        <f aca="false">N('Зарядные устройства EU'!$G$104)</f>
        <v>0</v>
      </c>
      <c r="R399" s="299" t="n">
        <f aca="false">IF(ISBLANK('Зарядные устройства EU'!$F$104),"",'Зарядные устройства EU'!$F$104)</f>
        <v>159.83</v>
      </c>
      <c r="S399" s="292" t="str">
        <f aca="false">IF(ISBLANK('Зарядные устройства EU'!$H$104),"",'Зарядные устройства EU'!$H$104)</f>
        <v/>
      </c>
    </row>
    <row r="400" customFormat="false" ht="66" hidden="false" customHeight="true" outlineLevel="0" collapsed="false">
      <c r="A400" s="291" t="str">
        <f aca="true">IF(ISNUMBER($J400),INDIRECT("L"&amp;($J400+4)),"")</f>
        <v/>
      </c>
      <c r="B400" s="291" t="str">
        <f aca="true">IF(ISNUMBER($J400),INDIRECT("M"&amp;($J400+4)),"")</f>
        <v/>
      </c>
      <c r="C400" s="296" t="str">
        <f aca="true">IF(ISNUMBER($J400),INDIRECT("N"&amp;($J400+4)),"")</f>
        <v/>
      </c>
      <c r="D400" s="291" t="str">
        <f aca="true">IF(ISNUMBER($J400),INDIRECT("O"&amp;($J400+4)),"")</f>
        <v/>
      </c>
      <c r="E400" s="291" t="str">
        <f aca="true">IF(ISNUMBER($J400),INDIRECT("P"&amp;($J400+4)),"")</f>
        <v/>
      </c>
      <c r="F400" s="300" t="str">
        <f aca="true">IF(ISNUMBER($J400),INDIRECT("Q"&amp;($J400+4)),"")</f>
        <v/>
      </c>
      <c r="G400" s="298" t="str">
        <f aca="true">IF(ISNUMBER($J400),INDIRECT("R"&amp;($J400+4)),"")</f>
        <v/>
      </c>
      <c r="H400" s="298" t="str">
        <f aca="true">IF(ISNUMBER($J400),INDIRECT("S"&amp;($J400+4)),"")</f>
        <v/>
      </c>
      <c r="J400" s="292" t="str">
        <f aca="true">IF(396&lt;=$K$1,MATCH(395.5,INDIRECT("$K$4:$K$1374"),1),"")</f>
        <v/>
      </c>
      <c r="K400" s="292" t="n">
        <f aca="false">$K$388+COUNTIF($Q$389:Q400,"&gt;0")</f>
        <v>0</v>
      </c>
      <c r="L400" s="292" t="str">
        <f aca="false">"Зарядные устройства EU"</f>
        <v>Зарядные устройства EU</v>
      </c>
      <c r="M400" s="292" t="str">
        <f aca="false">IF(ISBLANK('Зарядные устройства EU'!$A$105),"",'Зарядные устройства EU'!$A$105)</f>
        <v>BA102A Pudding QC3.0 зарядное устройство (EU)</v>
      </c>
      <c r="N400" s="292" t="str">
        <f aca="false">IF(ISBLANK('Зарядные устройства EU'!$D$105),"",'Зарядные устройства EU'!$D$105)</f>
        <v>6941991124051</v>
      </c>
      <c r="O400" s="292" t="str">
        <f aca="false">IF(ISBLANK('Зарядные устройства EU'!$E$105),"",'Зарядные устройства EU'!$E$105)</f>
        <v>белый</v>
      </c>
      <c r="P400" s="292" t="str">
        <f aca="false">"ед."</f>
        <v>ед.</v>
      </c>
      <c r="Q400" s="292" t="n">
        <f aca="false">N('Зарядные устройства EU'!$G$105)</f>
        <v>0</v>
      </c>
      <c r="R400" s="299" t="n">
        <f aca="false">IF(ISBLANK('Зарядные устройства EU'!$F$105),"",'Зарядные устройства EU'!$F$105)</f>
        <v>110.9</v>
      </c>
      <c r="S400" s="292" t="str">
        <f aca="false">IF(ISBLANK('Зарядные устройства EU'!$H$105),"",'Зарядные устройства EU'!$H$105)</f>
        <v/>
      </c>
    </row>
    <row r="401" customFormat="false" ht="66" hidden="false" customHeight="true" outlineLevel="0" collapsed="false">
      <c r="A401" s="291" t="str">
        <f aca="true">IF(ISNUMBER($J401),INDIRECT("L"&amp;($J401+4)),"")</f>
        <v/>
      </c>
      <c r="B401" s="291" t="str">
        <f aca="true">IF(ISNUMBER($J401),INDIRECT("M"&amp;($J401+4)),"")</f>
        <v/>
      </c>
      <c r="C401" s="296" t="str">
        <f aca="true">IF(ISNUMBER($J401),INDIRECT("N"&amp;($J401+4)),"")</f>
        <v/>
      </c>
      <c r="D401" s="291" t="str">
        <f aca="true">IF(ISNUMBER($J401),INDIRECT("O"&amp;($J401+4)),"")</f>
        <v/>
      </c>
      <c r="E401" s="291" t="str">
        <f aca="true">IF(ISNUMBER($J401),INDIRECT("P"&amp;($J401+4)),"")</f>
        <v/>
      </c>
      <c r="F401" s="300" t="str">
        <f aca="true">IF(ISNUMBER($J401),INDIRECT("Q"&amp;($J401+4)),"")</f>
        <v/>
      </c>
      <c r="G401" s="298" t="str">
        <f aca="true">IF(ISNUMBER($J401),INDIRECT("R"&amp;($J401+4)),"")</f>
        <v/>
      </c>
      <c r="H401" s="298" t="str">
        <f aca="true">IF(ISNUMBER($J401),INDIRECT("S"&amp;($J401+4)),"")</f>
        <v/>
      </c>
      <c r="J401" s="292" t="str">
        <f aca="true">IF(397&lt;=$K$1,MATCH(396.5,INDIRECT("$K$4:$K$1374"),1),"")</f>
        <v/>
      </c>
      <c r="K401" s="292" t="n">
        <f aca="false">$K$388+COUNTIF($Q$389:Q401,"&gt;0")</f>
        <v>0</v>
      </c>
      <c r="L401" s="292" t="str">
        <f aca="false">"Зарядные устройства EU"</f>
        <v>Зарядные устройства EU</v>
      </c>
      <c r="M401" s="292" t="str">
        <f aca="false">IF(ISBLANK('Зарядные устройства EU'!$A$106),"",'Зарядные устройства EU'!$A$106)</f>
        <v>BA102A Pudding QC3.0 зарядное устройство набор (Micro)(EU)</v>
      </c>
      <c r="N401" s="292" t="str">
        <f aca="false">IF(ISBLANK('Зарядные устройства EU'!$D$106),"",'Зарядные устройства EU'!$D$106)</f>
        <v>6941991124068</v>
      </c>
      <c r="O401" s="292" t="str">
        <f aca="false">IF(ISBLANK('Зарядные устройства EU'!$E$106),"",'Зарядные устройства EU'!$E$106)</f>
        <v>белый</v>
      </c>
      <c r="P401" s="292" t="str">
        <f aca="false">"ед."</f>
        <v>ед.</v>
      </c>
      <c r="Q401" s="292" t="n">
        <f aca="false">N('Зарядные устройства EU'!$G$106)</f>
        <v>0</v>
      </c>
      <c r="R401" s="299" t="n">
        <f aca="false">IF(ISBLANK('Зарядные устройства EU'!$F$106),"",'Зарядные устройства EU'!$F$106)</f>
        <v>130.48</v>
      </c>
      <c r="S401" s="292" t="str">
        <f aca="false">IF(ISBLANK('Зарядные устройства EU'!$H$106),"",'Зарядные устройства EU'!$H$106)</f>
        <v/>
      </c>
    </row>
    <row r="402" customFormat="false" ht="66" hidden="false" customHeight="true" outlineLevel="0" collapsed="false">
      <c r="A402" s="291" t="str">
        <f aca="true">IF(ISNUMBER($J402),INDIRECT("L"&amp;($J402+4)),"")</f>
        <v/>
      </c>
      <c r="B402" s="291" t="str">
        <f aca="true">IF(ISNUMBER($J402),INDIRECT("M"&amp;($J402+4)),"")</f>
        <v/>
      </c>
      <c r="C402" s="296" t="str">
        <f aca="true">IF(ISNUMBER($J402),INDIRECT("N"&amp;($J402+4)),"")</f>
        <v/>
      </c>
      <c r="D402" s="291" t="str">
        <f aca="true">IF(ISNUMBER($J402),INDIRECT("O"&amp;($J402+4)),"")</f>
        <v/>
      </c>
      <c r="E402" s="291" t="str">
        <f aca="true">IF(ISNUMBER($J402),INDIRECT("P"&amp;($J402+4)),"")</f>
        <v/>
      </c>
      <c r="F402" s="300" t="str">
        <f aca="true">IF(ISNUMBER($J402),INDIRECT("Q"&amp;($J402+4)),"")</f>
        <v/>
      </c>
      <c r="G402" s="298" t="str">
        <f aca="true">IF(ISNUMBER($J402),INDIRECT("R"&amp;($J402+4)),"")</f>
        <v/>
      </c>
      <c r="H402" s="298" t="str">
        <f aca="true">IF(ISNUMBER($J402),INDIRECT("S"&amp;($J402+4)),"")</f>
        <v/>
      </c>
      <c r="J402" s="292" t="str">
        <f aca="true">IF(398&lt;=$K$1,MATCH(397.5,INDIRECT("$K$4:$K$1374"),1),"")</f>
        <v/>
      </c>
      <c r="K402" s="292" t="n">
        <f aca="false">$K$388+COUNTIF($Q$389:Q402,"&gt;0")</f>
        <v>0</v>
      </c>
      <c r="L402" s="292" t="str">
        <f aca="false">"Зарядные устройства EU"</f>
        <v>Зарядные устройства EU</v>
      </c>
      <c r="M402" s="292" t="str">
        <f aca="false">IF(ISBLANK('Зарядные устройства EU'!$A$107),"",'Зарядные устройства EU'!$A$107)</f>
        <v>BA102A Pudding QC3.0 зарядное устройство набор (Type-C)(EU)</v>
      </c>
      <c r="N402" s="292" t="str">
        <f aca="false">IF(ISBLANK('Зарядные устройства EU'!$D$107),"",'Зарядные устройства EU'!$D$107)</f>
        <v>6941991124075</v>
      </c>
      <c r="O402" s="292" t="str">
        <f aca="false">IF(ISBLANK('Зарядные устройства EU'!$E$107),"",'Зарядные устройства EU'!$E$107)</f>
        <v>белый</v>
      </c>
      <c r="P402" s="292" t="str">
        <f aca="false">"ед."</f>
        <v>ед.</v>
      </c>
      <c r="Q402" s="292" t="n">
        <f aca="false">N('Зарядные устройства EU'!$G$107)</f>
        <v>0</v>
      </c>
      <c r="R402" s="299" t="n">
        <f aca="false">IF(ISBLANK('Зарядные устройства EU'!$F$107),"",'Зарядные устройства EU'!$F$107)</f>
        <v>137</v>
      </c>
      <c r="S402" s="292" t="str">
        <f aca="false">IF(ISBLANK('Зарядные устройства EU'!$H$107),"",'Зарядные устройства EU'!$H$107)</f>
        <v/>
      </c>
    </row>
    <row r="403" customFormat="false" ht="66" hidden="false" customHeight="true" outlineLevel="0" collapsed="false">
      <c r="A403" s="291" t="str">
        <f aca="true">IF(ISNUMBER($J403),INDIRECT("L"&amp;($J403+4)),"")</f>
        <v/>
      </c>
      <c r="B403" s="291" t="str">
        <f aca="true">IF(ISNUMBER($J403),INDIRECT("M"&amp;($J403+4)),"")</f>
        <v/>
      </c>
      <c r="C403" s="296" t="str">
        <f aca="true">IF(ISNUMBER($J403),INDIRECT("N"&amp;($J403+4)),"")</f>
        <v/>
      </c>
      <c r="D403" s="291" t="str">
        <f aca="true">IF(ISNUMBER($J403),INDIRECT("O"&amp;($J403+4)),"")</f>
        <v/>
      </c>
      <c r="E403" s="291" t="str">
        <f aca="true">IF(ISNUMBER($J403),INDIRECT("P"&amp;($J403+4)),"")</f>
        <v/>
      </c>
      <c r="F403" s="300" t="str">
        <f aca="true">IF(ISNUMBER($J403),INDIRECT("Q"&amp;($J403+4)),"")</f>
        <v/>
      </c>
      <c r="G403" s="298" t="str">
        <f aca="true">IF(ISNUMBER($J403),INDIRECT("R"&amp;($J403+4)),"")</f>
        <v/>
      </c>
      <c r="H403" s="298" t="str">
        <f aca="true">IF(ISNUMBER($J403),INDIRECT("S"&amp;($J403+4)),"")</f>
        <v/>
      </c>
      <c r="J403" s="292" t="str">
        <f aca="true">IF(399&lt;=$K$1,MATCH(398.5,INDIRECT("$K$4:$K$1374"),1),"")</f>
        <v/>
      </c>
      <c r="K403" s="292" t="n">
        <f aca="false">$K$388+COUNTIF($Q$389:Q403,"&gt;0")</f>
        <v>0</v>
      </c>
      <c r="L403" s="292" t="str">
        <f aca="false">"Зарядные устройства EU"</f>
        <v>Зарядные устройства EU</v>
      </c>
      <c r="M403" s="292" t="str">
        <f aca="false">IF(ISBLANK('Зарядные устройства EU'!$A$108),"",'Зарядные устройства EU'!$A$108)</f>
        <v>BA101A Pudding зарядное устройство (EU)</v>
      </c>
      <c r="N403" s="292" t="str">
        <f aca="false">IF(ISBLANK('Зарядные устройства EU'!$D$108),"",'Зарядные устройства EU'!$D$108)</f>
        <v>6941991124013</v>
      </c>
      <c r="O403" s="292" t="str">
        <f aca="false">IF(ISBLANK('Зарядные устройства EU'!$E$108),"",'Зарядные устройства EU'!$E$108)</f>
        <v>белый</v>
      </c>
      <c r="P403" s="292" t="str">
        <f aca="false">"ед."</f>
        <v>ед.</v>
      </c>
      <c r="Q403" s="292" t="n">
        <f aca="false">N('Зарядные устройства EU'!$G$108)</f>
        <v>0</v>
      </c>
      <c r="R403" s="299" t="n">
        <f aca="false">IF(ISBLANK('Зарядные устройства EU'!$F$108),"",'Зарядные устройства EU'!$F$108)</f>
        <v>78.29</v>
      </c>
      <c r="S403" s="292" t="str">
        <f aca="false">IF(ISBLANK('Зарядные устройства EU'!$H$108),"",'Зарядные устройства EU'!$H$108)</f>
        <v/>
      </c>
    </row>
    <row r="404" customFormat="false" ht="66" hidden="false" customHeight="true" outlineLevel="0" collapsed="false">
      <c r="A404" s="291" t="str">
        <f aca="true">IF(ISNUMBER($J404),INDIRECT("L"&amp;($J404+4)),"")</f>
        <v/>
      </c>
      <c r="B404" s="291" t="str">
        <f aca="true">IF(ISNUMBER($J404),INDIRECT("M"&amp;($J404+4)),"")</f>
        <v/>
      </c>
      <c r="C404" s="296" t="str">
        <f aca="true">IF(ISNUMBER($J404),INDIRECT("N"&amp;($J404+4)),"")</f>
        <v/>
      </c>
      <c r="D404" s="291" t="str">
        <f aca="true">IF(ISNUMBER($J404),INDIRECT("O"&amp;($J404+4)),"")</f>
        <v/>
      </c>
      <c r="E404" s="291" t="str">
        <f aca="true">IF(ISNUMBER($J404),INDIRECT("P"&amp;($J404+4)),"")</f>
        <v/>
      </c>
      <c r="F404" s="300" t="str">
        <f aca="true">IF(ISNUMBER($J404),INDIRECT("Q"&amp;($J404+4)),"")</f>
        <v/>
      </c>
      <c r="G404" s="298" t="str">
        <f aca="true">IF(ISNUMBER($J404),INDIRECT("R"&amp;($J404+4)),"")</f>
        <v/>
      </c>
      <c r="H404" s="298" t="str">
        <f aca="true">IF(ISNUMBER($J404),INDIRECT("S"&amp;($J404+4)),"")</f>
        <v/>
      </c>
      <c r="J404" s="292" t="str">
        <f aca="true">IF(400&lt;=$K$1,MATCH(399.5,INDIRECT("$K$4:$K$1374"),1),"")</f>
        <v/>
      </c>
      <c r="K404" s="292" t="n">
        <f aca="false">$K$388+COUNTIF($Q$389:Q404,"&gt;0")</f>
        <v>0</v>
      </c>
      <c r="L404" s="292" t="str">
        <f aca="false">"Зарядные устройства EU"</f>
        <v>Зарядные устройства EU</v>
      </c>
      <c r="M404" s="292" t="str">
        <f aca="false">IF(ISBLANK('Зарядные устройства EU'!$A$109),"",'Зарядные устройства EU'!$A$109)</f>
        <v>BA101A Pudding зарядное устройство набор (iP)(EU)</v>
      </c>
      <c r="N404" s="292" t="str">
        <f aca="false">IF(ISBLANK('Зарядные устройства EU'!$D$109),"",'Зарядные устройства EU'!$D$109)</f>
        <v>6941991124020</v>
      </c>
      <c r="O404" s="292" t="str">
        <f aca="false">IF(ISBLANK('Зарядные устройства EU'!$E$109),"",'Зарядные устройства EU'!$E$109)</f>
        <v>белый</v>
      </c>
      <c r="P404" s="292" t="str">
        <f aca="false">"ед."</f>
        <v>ед.</v>
      </c>
      <c r="Q404" s="292" t="n">
        <f aca="false">N('Зарядные устройства EU'!$G$109)</f>
        <v>0</v>
      </c>
      <c r="R404" s="299" t="n">
        <f aca="false">IF(ISBLANK('Зарядные устройства EU'!$F$109),"",'Зарядные устройства EU'!$F$109)</f>
        <v>110.9</v>
      </c>
      <c r="S404" s="292" t="str">
        <f aca="false">IF(ISBLANK('Зарядные устройства EU'!$H$109),"",'Зарядные устройства EU'!$H$109)</f>
        <v/>
      </c>
    </row>
    <row r="405" customFormat="false" ht="66" hidden="false" customHeight="true" outlineLevel="0" collapsed="false">
      <c r="A405" s="291" t="str">
        <f aca="true">IF(ISNUMBER($J405),INDIRECT("L"&amp;($J405+4)),"")</f>
        <v/>
      </c>
      <c r="B405" s="291" t="str">
        <f aca="true">IF(ISNUMBER($J405),INDIRECT("M"&amp;($J405+4)),"")</f>
        <v/>
      </c>
      <c r="C405" s="296" t="str">
        <f aca="true">IF(ISNUMBER($J405),INDIRECT("N"&amp;($J405+4)),"")</f>
        <v/>
      </c>
      <c r="D405" s="291" t="str">
        <f aca="true">IF(ISNUMBER($J405),INDIRECT("O"&amp;($J405+4)),"")</f>
        <v/>
      </c>
      <c r="E405" s="291" t="str">
        <f aca="true">IF(ISNUMBER($J405),INDIRECT("P"&amp;($J405+4)),"")</f>
        <v/>
      </c>
      <c r="F405" s="300" t="str">
        <f aca="true">IF(ISNUMBER($J405),INDIRECT("Q"&amp;($J405+4)),"")</f>
        <v/>
      </c>
      <c r="G405" s="298" t="str">
        <f aca="true">IF(ISNUMBER($J405),INDIRECT("R"&amp;($J405+4)),"")</f>
        <v/>
      </c>
      <c r="H405" s="298" t="str">
        <f aca="true">IF(ISNUMBER($J405),INDIRECT("S"&amp;($J405+4)),"")</f>
        <v/>
      </c>
      <c r="J405" s="292" t="str">
        <f aca="true">IF(401&lt;=$K$1,MATCH(400.5,INDIRECT("$K$4:$K$1374"),1),"")</f>
        <v/>
      </c>
      <c r="K405" s="292" t="n">
        <f aca="false">$K$388+COUNTIF($Q$389:Q405,"&gt;0")</f>
        <v>0</v>
      </c>
      <c r="L405" s="292" t="str">
        <f aca="false">"Зарядные устройства EU"</f>
        <v>Зарядные устройства EU</v>
      </c>
      <c r="M405" s="292" t="str">
        <f aca="false">IF(ISBLANK('Зарядные устройства EU'!$A$110),"",'Зарядные устройства EU'!$A$110)</f>
        <v>BA101A Pudding зарядное устройство набор (Mciro)(EU)</v>
      </c>
      <c r="N405" s="292" t="str">
        <f aca="false">IF(ISBLANK('Зарядные устройства EU'!$D$110),"",'Зарядные устройства EU'!$D$110)</f>
        <v>6941991124037</v>
      </c>
      <c r="O405" s="292" t="str">
        <f aca="false">IF(ISBLANK('Зарядные устройства EU'!$E$110),"",'Зарядные устройства EU'!$E$110)</f>
        <v>белый</v>
      </c>
      <c r="P405" s="292" t="str">
        <f aca="false">"ед."</f>
        <v>ед.</v>
      </c>
      <c r="Q405" s="292" t="n">
        <f aca="false">N('Зарядные устройства EU'!$G$110)</f>
        <v>0</v>
      </c>
      <c r="R405" s="299" t="n">
        <f aca="false">IF(ISBLANK('Зарядные устройства EU'!$F$110),"",'Зарядные устройства EU'!$F$110)</f>
        <v>99.49</v>
      </c>
      <c r="S405" s="292" t="str">
        <f aca="false">IF(ISBLANK('Зарядные устройства EU'!$H$110),"",'Зарядные устройства EU'!$H$110)</f>
        <v/>
      </c>
    </row>
    <row r="406" customFormat="false" ht="66" hidden="false" customHeight="true" outlineLevel="0" collapsed="false">
      <c r="A406" s="291" t="str">
        <f aca="true">IF(ISNUMBER($J406),INDIRECT("L"&amp;($J406+4)),"")</f>
        <v/>
      </c>
      <c r="B406" s="291" t="str">
        <f aca="true">IF(ISNUMBER($J406),INDIRECT("M"&amp;($J406+4)),"")</f>
        <v/>
      </c>
      <c r="C406" s="296" t="str">
        <f aca="true">IF(ISNUMBER($J406),INDIRECT("N"&amp;($J406+4)),"")</f>
        <v/>
      </c>
      <c r="D406" s="291" t="str">
        <f aca="true">IF(ISNUMBER($J406),INDIRECT("O"&amp;($J406+4)),"")</f>
        <v/>
      </c>
      <c r="E406" s="291" t="str">
        <f aca="true">IF(ISNUMBER($J406),INDIRECT("P"&amp;($J406+4)),"")</f>
        <v/>
      </c>
      <c r="F406" s="300" t="str">
        <f aca="true">IF(ISNUMBER($J406),INDIRECT("Q"&amp;($J406+4)),"")</f>
        <v/>
      </c>
      <c r="G406" s="298" t="str">
        <f aca="true">IF(ISNUMBER($J406),INDIRECT("R"&amp;($J406+4)),"")</f>
        <v/>
      </c>
      <c r="H406" s="298" t="str">
        <f aca="true">IF(ISNUMBER($J406),INDIRECT("S"&amp;($J406+4)),"")</f>
        <v/>
      </c>
      <c r="J406" s="292" t="str">
        <f aca="true">IF(402&lt;=$K$1,MATCH(401.5,INDIRECT("$K$4:$K$1374"),1),"")</f>
        <v/>
      </c>
      <c r="K406" s="292" t="n">
        <f aca="false">$K$388+COUNTIF($Q$389:Q406,"&gt;0")</f>
        <v>0</v>
      </c>
      <c r="L406" s="292" t="str">
        <f aca="false">"Зарядные устройства EU"</f>
        <v>Зарядные устройства EU</v>
      </c>
      <c r="M406" s="292" t="str">
        <f aca="false">IF(ISBLANK('Зарядные устройства EU'!$A$111),"",'Зарядные устройства EU'!$A$111)</f>
        <v>BA101A Pudding зарядное устройство набор (Type-C)(EU)</v>
      </c>
      <c r="N406" s="292" t="str">
        <f aca="false">IF(ISBLANK('Зарядные устройства EU'!$D$111),"",'Зарядные устройства EU'!$D$111)</f>
        <v>6941991124044</v>
      </c>
      <c r="O406" s="292" t="str">
        <f aca="false">IF(ISBLANK('Зарядные устройства EU'!$E$111),"",'Зарядные устройства EU'!$E$111)</f>
        <v>белый</v>
      </c>
      <c r="P406" s="292" t="str">
        <f aca="false">"ед."</f>
        <v>ед.</v>
      </c>
      <c r="Q406" s="292" t="n">
        <f aca="false">N('Зарядные устройства EU'!$G$111)</f>
        <v>0</v>
      </c>
      <c r="R406" s="299" t="n">
        <f aca="false">IF(ISBLANK('Зарядные устройства EU'!$F$111),"",'Зарядные устройства EU'!$F$111)</f>
        <v>106.01</v>
      </c>
      <c r="S406" s="292" t="str">
        <f aca="false">IF(ISBLANK('Зарядные устройства EU'!$H$111),"",'Зарядные устройства EU'!$H$111)</f>
        <v/>
      </c>
    </row>
    <row r="407" customFormat="false" ht="66" hidden="false" customHeight="true" outlineLevel="0" collapsed="false">
      <c r="A407" s="291" t="str">
        <f aca="true">IF(ISNUMBER($J407),INDIRECT("L"&amp;($J407+4)),"")</f>
        <v/>
      </c>
      <c r="B407" s="291" t="str">
        <f aca="true">IF(ISNUMBER($J407),INDIRECT("M"&amp;($J407+4)),"")</f>
        <v/>
      </c>
      <c r="C407" s="296" t="str">
        <f aca="true">IF(ISNUMBER($J407),INDIRECT("N"&amp;($J407+4)),"")</f>
        <v/>
      </c>
      <c r="D407" s="291" t="str">
        <f aca="true">IF(ISNUMBER($J407),INDIRECT("O"&amp;($J407+4)),"")</f>
        <v/>
      </c>
      <c r="E407" s="291" t="str">
        <f aca="true">IF(ISNUMBER($J407),INDIRECT("P"&amp;($J407+4)),"")</f>
        <v/>
      </c>
      <c r="F407" s="300" t="str">
        <f aca="true">IF(ISNUMBER($J407),INDIRECT("Q"&amp;($J407+4)),"")</f>
        <v/>
      </c>
      <c r="G407" s="298" t="str">
        <f aca="true">IF(ISNUMBER($J407),INDIRECT("R"&amp;($J407+4)),"")</f>
        <v/>
      </c>
      <c r="H407" s="298" t="str">
        <f aca="true">IF(ISNUMBER($J407),INDIRECT("S"&amp;($J407+4)),"")</f>
        <v/>
      </c>
      <c r="J407" s="292" t="str">
        <f aca="true">IF(403&lt;=$K$1,MATCH(402.5,INDIRECT("$K$4:$K$1374"),1),"")</f>
        <v/>
      </c>
      <c r="K407" s="292" t="n">
        <f aca="false">$K$388+COUNTIF($Q$389:Q407,"&gt;0")</f>
        <v>0</v>
      </c>
      <c r="L407" s="292" t="str">
        <f aca="false">"Зарядные устройства EU"</f>
        <v>Зарядные устройства EU</v>
      </c>
      <c r="M407" s="292" t="str">
        <f aca="false">IF(ISBLANK('Зарядные устройства EU'!$A$112),"",'Зарядные устройства EU'!$A$112)</f>
        <v>BA100A Original single port PD20W charger(EU)</v>
      </c>
      <c r="N407" s="292" t="str">
        <f aca="false">IF(ISBLANK('Зарядные устройства EU'!$D$112),"",'Зарядные устройства EU'!$D$112)</f>
        <v>6941991124488</v>
      </c>
      <c r="O407" s="292" t="str">
        <f aca="false">IF(ISBLANK('Зарядные устройства EU'!$E$112),"",'Зарядные устройства EU'!$E$112)</f>
        <v>белый</v>
      </c>
      <c r="P407" s="292" t="str">
        <f aca="false">"ед."</f>
        <v>ед.</v>
      </c>
      <c r="Q407" s="292" t="n">
        <f aca="false">N('Зарядные устройства EU'!$G$112)</f>
        <v>0</v>
      </c>
      <c r="R407" s="299" t="n">
        <f aca="false">IF(ISBLANK('Зарядные устройства EU'!$F$112),"",'Зарядные устройства EU'!$F$112)</f>
        <v>130.48</v>
      </c>
      <c r="S407" s="292" t="str">
        <f aca="false">IF(ISBLANK('Зарядные устройства EU'!$H$112),"",'Зарядные устройства EU'!$H$112)</f>
        <v/>
      </c>
    </row>
    <row r="408" customFormat="false" ht="66" hidden="false" customHeight="true" outlineLevel="0" collapsed="false">
      <c r="A408" s="291" t="str">
        <f aca="true">IF(ISNUMBER($J408),INDIRECT("L"&amp;($J408+4)),"")</f>
        <v/>
      </c>
      <c r="B408" s="291" t="str">
        <f aca="true">IF(ISNUMBER($J408),INDIRECT("M"&amp;($J408+4)),"")</f>
        <v/>
      </c>
      <c r="C408" s="296" t="str">
        <f aca="true">IF(ISNUMBER($J408),INDIRECT("N"&amp;($J408+4)),"")</f>
        <v/>
      </c>
      <c r="D408" s="291" t="str">
        <f aca="true">IF(ISNUMBER($J408),INDIRECT("O"&amp;($J408+4)),"")</f>
        <v/>
      </c>
      <c r="E408" s="291" t="str">
        <f aca="true">IF(ISNUMBER($J408),INDIRECT("P"&amp;($J408+4)),"")</f>
        <v/>
      </c>
      <c r="F408" s="300" t="str">
        <f aca="true">IF(ISNUMBER($J408),INDIRECT("Q"&amp;($J408+4)),"")</f>
        <v/>
      </c>
      <c r="G408" s="298" t="str">
        <f aca="true">IF(ISNUMBER($J408),INDIRECT("R"&amp;($J408+4)),"")</f>
        <v/>
      </c>
      <c r="H408" s="298" t="str">
        <f aca="true">IF(ISNUMBER($J408),INDIRECT("S"&amp;($J408+4)),"")</f>
        <v/>
      </c>
      <c r="J408" s="292" t="str">
        <f aca="true">IF(404&lt;=$K$1,MATCH(403.5,INDIRECT("$K$4:$K$1374"),1),"")</f>
        <v/>
      </c>
      <c r="K408" s="292" t="n">
        <f aca="false">$K$388+COUNTIF($Q$389:Q408,"&gt;0")</f>
        <v>0</v>
      </c>
      <c r="L408" s="292" t="str">
        <f aca="false">"Зарядные устройства EU"</f>
        <v>Зарядные устройства EU</v>
      </c>
      <c r="M408" s="292" t="str">
        <f aca="false">IF(ISBLANK('Зарядные устройства EU'!$A$113),"",'Зарядные устройства EU'!$A$113)</f>
        <v>BA99A Breeze PD20W зарядное устройство (EU)</v>
      </c>
      <c r="N408" s="292" t="str">
        <f aca="false">IF(ISBLANK('Зарядные устройства EU'!$D$113),"",'Зарядные устройства EU'!$D$113)</f>
        <v>6941991121357</v>
      </c>
      <c r="O408" s="292" t="str">
        <f aca="false">IF(ISBLANK('Зарядные устройства EU'!$E$113),"",'Зарядные устройства EU'!$E$113)</f>
        <v>белый</v>
      </c>
      <c r="P408" s="292" t="str">
        <f aca="false">"ед."</f>
        <v>ед.</v>
      </c>
      <c r="Q408" s="292" t="n">
        <f aca="false">N('Зарядные устройства EU'!$G$113)</f>
        <v>0</v>
      </c>
      <c r="R408" s="299" t="n">
        <f aca="false">IF(ISBLANK('Зарядные устройства EU'!$F$113),"",'Зарядные устройства EU'!$F$113)</f>
        <v>122.32</v>
      </c>
      <c r="S408" s="292" t="str">
        <f aca="false">IF(ISBLANK('Зарядные устройства EU'!$H$113),"",'Зарядные устройства EU'!$H$113)</f>
        <v/>
      </c>
    </row>
    <row r="409" customFormat="false" ht="66" hidden="false" customHeight="true" outlineLevel="0" collapsed="false">
      <c r="A409" s="291" t="str">
        <f aca="true">IF(ISNUMBER($J409),INDIRECT("L"&amp;($J409+4)),"")</f>
        <v/>
      </c>
      <c r="B409" s="291" t="str">
        <f aca="true">IF(ISNUMBER($J409),INDIRECT("M"&amp;($J409+4)),"")</f>
        <v/>
      </c>
      <c r="C409" s="296" t="str">
        <f aca="true">IF(ISNUMBER($J409),INDIRECT("N"&amp;($J409+4)),"")</f>
        <v/>
      </c>
      <c r="D409" s="291" t="str">
        <f aca="true">IF(ISNUMBER($J409),INDIRECT("O"&amp;($J409+4)),"")</f>
        <v/>
      </c>
      <c r="E409" s="291" t="str">
        <f aca="true">IF(ISNUMBER($J409),INDIRECT("P"&amp;($J409+4)),"")</f>
        <v/>
      </c>
      <c r="F409" s="300" t="str">
        <f aca="true">IF(ISNUMBER($J409),INDIRECT("Q"&amp;($J409+4)),"")</f>
        <v/>
      </c>
      <c r="G409" s="298" t="str">
        <f aca="true">IF(ISNUMBER($J409),INDIRECT("R"&amp;($J409+4)),"")</f>
        <v/>
      </c>
      <c r="H409" s="298" t="str">
        <f aca="true">IF(ISNUMBER($J409),INDIRECT("S"&amp;($J409+4)),"")</f>
        <v/>
      </c>
      <c r="J409" s="292" t="str">
        <f aca="true">IF(405&lt;=$K$1,MATCH(404.5,INDIRECT("$K$4:$K$1374"),1),"")</f>
        <v/>
      </c>
      <c r="K409" s="292" t="n">
        <f aca="false">$K$388+COUNTIF($Q$389:Q409,"&gt;0")</f>
        <v>0</v>
      </c>
      <c r="L409" s="292" t="str">
        <f aca="false">"Зарядные устройства EU"</f>
        <v>Зарядные устройства EU</v>
      </c>
      <c r="M409" s="292" t="str">
        <f aca="false">IF(ISBLANK('Зарядные устройства EU'!$A$114),"",'Зарядные устройства EU'!$A$114)</f>
        <v>BA99A Breeze PD20W зарядное устройство набор (C на iP)(EU)</v>
      </c>
      <c r="N409" s="292" t="str">
        <f aca="false">IF(ISBLANK('Зарядные устройства EU'!$D$114),"",'Зарядные устройства EU'!$D$114)</f>
        <v>6941991121364</v>
      </c>
      <c r="O409" s="292" t="str">
        <f aca="false">IF(ISBLANK('Зарядные устройства EU'!$E$114),"",'Зарядные устройства EU'!$E$114)</f>
        <v>белый</v>
      </c>
      <c r="P409" s="292" t="str">
        <f aca="false">"ед."</f>
        <v>ед.</v>
      </c>
      <c r="Q409" s="292" t="n">
        <f aca="false">N('Зарядные устройства EU'!$G$114)</f>
        <v>0</v>
      </c>
      <c r="R409" s="299" t="n">
        <f aca="false">IF(ISBLANK('Зарядные устройства EU'!$F$114),"",'Зарядные устройства EU'!$F$114)</f>
        <v>185.93</v>
      </c>
      <c r="S409" s="292" t="str">
        <f aca="false">IF(ISBLANK('Зарядные устройства EU'!$H$114),"",'Зарядные устройства EU'!$H$114)</f>
        <v/>
      </c>
    </row>
    <row r="410" customFormat="false" ht="66" hidden="false" customHeight="true" outlineLevel="0" collapsed="false">
      <c r="A410" s="291" t="str">
        <f aca="true">IF(ISNUMBER($J410),INDIRECT("L"&amp;($J410+4)),"")</f>
        <v/>
      </c>
      <c r="B410" s="291" t="str">
        <f aca="true">IF(ISNUMBER($J410),INDIRECT("M"&amp;($J410+4)),"")</f>
        <v/>
      </c>
      <c r="C410" s="296" t="str">
        <f aca="true">IF(ISNUMBER($J410),INDIRECT("N"&amp;($J410+4)),"")</f>
        <v/>
      </c>
      <c r="D410" s="291" t="str">
        <f aca="true">IF(ISNUMBER($J410),INDIRECT("O"&amp;($J410+4)),"")</f>
        <v/>
      </c>
      <c r="E410" s="291" t="str">
        <f aca="true">IF(ISNUMBER($J410),INDIRECT("P"&amp;($J410+4)),"")</f>
        <v/>
      </c>
      <c r="F410" s="300" t="str">
        <f aca="true">IF(ISNUMBER($J410),INDIRECT("Q"&amp;($J410+4)),"")</f>
        <v/>
      </c>
      <c r="G410" s="298" t="str">
        <f aca="true">IF(ISNUMBER($J410),INDIRECT("R"&amp;($J410+4)),"")</f>
        <v/>
      </c>
      <c r="H410" s="298" t="str">
        <f aca="true">IF(ISNUMBER($J410),INDIRECT("S"&amp;($J410+4)),"")</f>
        <v/>
      </c>
      <c r="J410" s="292" t="str">
        <f aca="true">IF(406&lt;=$K$1,MATCH(405.5,INDIRECT("$K$4:$K$1374"),1),"")</f>
        <v/>
      </c>
      <c r="K410" s="292" t="n">
        <f aca="false">$K$388+COUNTIF($Q$389:Q410,"&gt;0")</f>
        <v>0</v>
      </c>
      <c r="L410" s="292" t="str">
        <f aca="false">"Зарядные устройства EU"</f>
        <v>Зарядные устройства EU</v>
      </c>
      <c r="M410" s="292" t="str">
        <f aca="false">IF(ISBLANK('Зарядные устройства EU'!$A$115),"",'Зарядные устройства EU'!$A$115)</f>
        <v>BA99A Breeze PD20W зарядное устройство набор (C на C)(EU)</v>
      </c>
      <c r="N410" s="292" t="str">
        <f aca="false">IF(ISBLANK('Зарядные устройства EU'!$D$115),"",'Зарядные устройства EU'!$D$115)</f>
        <v>6941991121371</v>
      </c>
      <c r="O410" s="292" t="str">
        <f aca="false">IF(ISBLANK('Зарядные устройства EU'!$E$115),"",'Зарядные устройства EU'!$E$115)</f>
        <v>белый</v>
      </c>
      <c r="P410" s="292" t="str">
        <f aca="false">"ед."</f>
        <v>ед.</v>
      </c>
      <c r="Q410" s="292" t="n">
        <f aca="false">N('Зарядные устройства EU'!$G$115)</f>
        <v>0</v>
      </c>
      <c r="R410" s="299" t="n">
        <f aca="false">IF(ISBLANK('Зарядные устройства EU'!$F$115),"",'Зарядные устройства EU'!$F$115)</f>
        <v>159.83</v>
      </c>
      <c r="S410" s="292" t="str">
        <f aca="false">IF(ISBLANK('Зарядные устройства EU'!$H$115),"",'Зарядные устройства EU'!$H$115)</f>
        <v/>
      </c>
    </row>
    <row r="411" customFormat="false" ht="66" hidden="false" customHeight="true" outlineLevel="0" collapsed="false">
      <c r="A411" s="291" t="str">
        <f aca="true">IF(ISNUMBER($J411),INDIRECT("L"&amp;($J411+4)),"")</f>
        <v/>
      </c>
      <c r="B411" s="291" t="str">
        <f aca="true">IF(ISNUMBER($J411),INDIRECT("M"&amp;($J411+4)),"")</f>
        <v/>
      </c>
      <c r="C411" s="296" t="str">
        <f aca="true">IF(ISNUMBER($J411),INDIRECT("N"&amp;($J411+4)),"")</f>
        <v/>
      </c>
      <c r="D411" s="291" t="str">
        <f aca="true">IF(ISNUMBER($J411),INDIRECT("O"&amp;($J411+4)),"")</f>
        <v/>
      </c>
      <c r="E411" s="291" t="str">
        <f aca="true">IF(ISNUMBER($J411),INDIRECT("P"&amp;($J411+4)),"")</f>
        <v/>
      </c>
      <c r="F411" s="300" t="str">
        <f aca="true">IF(ISNUMBER($J411),INDIRECT("Q"&amp;($J411+4)),"")</f>
        <v/>
      </c>
      <c r="G411" s="298" t="str">
        <f aca="true">IF(ISNUMBER($J411),INDIRECT("R"&amp;($J411+4)),"")</f>
        <v/>
      </c>
      <c r="H411" s="298" t="str">
        <f aca="true">IF(ISNUMBER($J411),INDIRECT("S"&amp;($J411+4)),"")</f>
        <v/>
      </c>
      <c r="J411" s="292" t="str">
        <f aca="true">IF(407&lt;=$K$1,MATCH(406.5,INDIRECT("$K$4:$K$1374"),1),"")</f>
        <v/>
      </c>
      <c r="K411" s="292" t="n">
        <f aca="false">$K$388+COUNTIF($Q$389:Q411,"&gt;0")</f>
        <v>0</v>
      </c>
      <c r="L411" s="292" t="str">
        <f aca="false">"Зарядные устройства EU"</f>
        <v>Зарядные устройства EU</v>
      </c>
      <c r="M411" s="292" t="str">
        <f aca="false">IF(ISBLANK('Зарядные устройства EU'!$A$116),"",'Зарядные устройства EU'!$A$116)</f>
        <v>BA98A Ilustre PD30W (2C1A) зарядное устройство  с цифровым дисплеем (EU)</v>
      </c>
      <c r="N411" s="292" t="str">
        <f aca="false">IF(ISBLANK('Зарядные устройства EU'!$D$116),"",'Зарядные устройства EU'!$D$116)</f>
        <v>6941991120510</v>
      </c>
      <c r="O411" s="292" t="str">
        <f aca="false">IF(ISBLANK('Зарядные устройства EU'!$E$116),"",'Зарядные устройства EU'!$E$116)</f>
        <v>чёрный</v>
      </c>
      <c r="P411" s="292" t="str">
        <f aca="false">"ед."</f>
        <v>ед.</v>
      </c>
      <c r="Q411" s="292" t="n">
        <f aca="false">N('Зарядные устройства EU'!$G$116)</f>
        <v>0</v>
      </c>
      <c r="R411" s="299" t="n">
        <f aca="false">IF(ISBLANK('Зарядные устройства EU'!$F$116),"",'Зарядные устройства EU'!$F$116)</f>
        <v>326.19</v>
      </c>
      <c r="S411" s="292" t="str">
        <f aca="false">IF(ISBLANK('Зарядные устройства EU'!$H$116),"",'Зарядные устройства EU'!$H$116)</f>
        <v/>
      </c>
    </row>
    <row r="412" customFormat="false" ht="66" hidden="false" customHeight="true" outlineLevel="0" collapsed="false">
      <c r="A412" s="291" t="str">
        <f aca="true">IF(ISNUMBER($J412),INDIRECT("L"&amp;($J412+4)),"")</f>
        <v/>
      </c>
      <c r="B412" s="291" t="str">
        <f aca="true">IF(ISNUMBER($J412),INDIRECT("M"&amp;($J412+4)),"")</f>
        <v/>
      </c>
      <c r="C412" s="296" t="str">
        <f aca="true">IF(ISNUMBER($J412),INDIRECT("N"&amp;($J412+4)),"")</f>
        <v/>
      </c>
      <c r="D412" s="291" t="str">
        <f aca="true">IF(ISNUMBER($J412),INDIRECT("O"&amp;($J412+4)),"")</f>
        <v/>
      </c>
      <c r="E412" s="291" t="str">
        <f aca="true">IF(ISNUMBER($J412),INDIRECT("P"&amp;($J412+4)),"")</f>
        <v/>
      </c>
      <c r="F412" s="300" t="str">
        <f aca="true">IF(ISNUMBER($J412),INDIRECT("Q"&amp;($J412+4)),"")</f>
        <v/>
      </c>
      <c r="G412" s="298" t="str">
        <f aca="true">IF(ISNUMBER($J412),INDIRECT("R"&amp;($J412+4)),"")</f>
        <v/>
      </c>
      <c r="H412" s="298" t="str">
        <f aca="true">IF(ISNUMBER($J412),INDIRECT("S"&amp;($J412+4)),"")</f>
        <v/>
      </c>
      <c r="J412" s="292" t="str">
        <f aca="true">IF(408&lt;=$K$1,MATCH(407.5,INDIRECT("$K$4:$K$1374"),1),"")</f>
        <v/>
      </c>
      <c r="K412" s="292" t="n">
        <f aca="false">$K$388+COUNTIF($Q$389:Q412,"&gt;0")</f>
        <v>0</v>
      </c>
      <c r="L412" s="292" t="str">
        <f aca="false">"Зарядные устройства EU"</f>
        <v>Зарядные устройства EU</v>
      </c>
      <c r="M412" s="292" t="str">
        <f aca="false">IF(ISBLANK('Зарядные устройства EU'!$A$117),"",'Зарядные устройства EU'!$A$117)</f>
        <v>BA97A Ilustre PD30W зарядное устройство  с цифровым дисплеем (EU)</v>
      </c>
      <c r="N412" s="292" t="str">
        <f aca="false">IF(ISBLANK('Зарядные устройства EU'!$D$117),"",'Зарядные устройства EU'!$D$117)</f>
        <v>6941991120480</v>
      </c>
      <c r="O412" s="292" t="str">
        <f aca="false">IF(ISBLANK('Зарядные устройства EU'!$E$117),"",'Зарядные устройства EU'!$E$117)</f>
        <v>чёрный</v>
      </c>
      <c r="P412" s="292" t="str">
        <f aca="false">"ед."</f>
        <v>ед.</v>
      </c>
      <c r="Q412" s="292" t="n">
        <f aca="false">N('Зарядные устройства EU'!$G$117)</f>
        <v>0</v>
      </c>
      <c r="R412" s="299" t="n">
        <f aca="false">IF(ISBLANK('Зарядные устройства EU'!$F$117),"",'Зарядные устройства EU'!$F$117)</f>
        <v>285.41</v>
      </c>
      <c r="S412" s="292" t="str">
        <f aca="false">IF(ISBLANK('Зарядные устройства EU'!$H$117),"",'Зарядные устройства EU'!$H$117)</f>
        <v/>
      </c>
    </row>
    <row r="413" customFormat="false" ht="66" hidden="false" customHeight="true" outlineLevel="0" collapsed="false">
      <c r="A413" s="291" t="str">
        <f aca="true">IF(ISNUMBER($J413),INDIRECT("L"&amp;($J413+4)),"")</f>
        <v/>
      </c>
      <c r="B413" s="291" t="str">
        <f aca="true">IF(ISNUMBER($J413),INDIRECT("M"&amp;($J413+4)),"")</f>
        <v/>
      </c>
      <c r="C413" s="296" t="str">
        <f aca="true">IF(ISNUMBER($J413),INDIRECT("N"&amp;($J413+4)),"")</f>
        <v/>
      </c>
      <c r="D413" s="291" t="str">
        <f aca="true">IF(ISNUMBER($J413),INDIRECT("O"&amp;($J413+4)),"")</f>
        <v/>
      </c>
      <c r="E413" s="291" t="str">
        <f aca="true">IF(ISNUMBER($J413),INDIRECT("P"&amp;($J413+4)),"")</f>
        <v/>
      </c>
      <c r="F413" s="300" t="str">
        <f aca="true">IF(ISNUMBER($J413),INDIRECT("Q"&amp;($J413+4)),"")</f>
        <v/>
      </c>
      <c r="G413" s="298" t="str">
        <f aca="true">IF(ISNUMBER($J413),INDIRECT("R"&amp;($J413+4)),"")</f>
        <v/>
      </c>
      <c r="H413" s="298" t="str">
        <f aca="true">IF(ISNUMBER($J413),INDIRECT("S"&amp;($J413+4)),"")</f>
        <v/>
      </c>
      <c r="J413" s="292" t="str">
        <f aca="true">IF(409&lt;=$K$1,MATCH(408.5,INDIRECT("$K$4:$K$1374"),1),"")</f>
        <v/>
      </c>
      <c r="K413" s="292" t="n">
        <f aca="false">$K$388+COUNTIF($Q$389:Q413,"&gt;0")</f>
        <v>0</v>
      </c>
      <c r="L413" s="292" t="str">
        <f aca="false">"Зарядные устройства EU"</f>
        <v>Зарядные устройства EU</v>
      </c>
      <c r="M413" s="292" t="str">
        <f aca="false">IF(ISBLANK('Зарядные устройства EU'!$A$118),"",'Зарядные устройства EU'!$A$118)</f>
        <v>BA96A Ilustre PD20W+QC3.0 зарядное устройство  с цифровым дисплеем (EU)</v>
      </c>
      <c r="N413" s="292" t="str">
        <f aca="false">IF(ISBLANK('Зарядные устройства EU'!$D$118),"",'Зарядные устройства EU'!$D$118)</f>
        <v>6941991120459</v>
      </c>
      <c r="O413" s="292" t="str">
        <f aca="false">IF(ISBLANK('Зарядные устройства EU'!$E$118),"",'Зарядные устройства EU'!$E$118)</f>
        <v>чёрный</v>
      </c>
      <c r="P413" s="292" t="str">
        <f aca="false">"ед."</f>
        <v>ед.</v>
      </c>
      <c r="Q413" s="292" t="n">
        <f aca="false">N('Зарядные устройства EU'!$G$118)</f>
        <v>0</v>
      </c>
      <c r="R413" s="299" t="n">
        <f aca="false">IF(ISBLANK('Зарядные устройства EU'!$F$118),"",'Зарядные устройства EU'!$F$118)</f>
        <v>236.49</v>
      </c>
      <c r="S413" s="292" t="str">
        <f aca="false">IF(ISBLANK('Зарядные устройства EU'!$H$118),"",'Зарядные устройства EU'!$H$118)</f>
        <v/>
      </c>
    </row>
    <row r="414" customFormat="false" ht="66" hidden="false" customHeight="true" outlineLevel="0" collapsed="false">
      <c r="A414" s="291" t="str">
        <f aca="true">IF(ISNUMBER($J414),INDIRECT("L"&amp;($J414+4)),"")</f>
        <v/>
      </c>
      <c r="B414" s="291" t="str">
        <f aca="true">IF(ISNUMBER($J414),INDIRECT("M"&amp;($J414+4)),"")</f>
        <v/>
      </c>
      <c r="C414" s="296" t="str">
        <f aca="true">IF(ISNUMBER($J414),INDIRECT("N"&amp;($J414+4)),"")</f>
        <v/>
      </c>
      <c r="D414" s="291" t="str">
        <f aca="true">IF(ISNUMBER($J414),INDIRECT("O"&amp;($J414+4)),"")</f>
        <v/>
      </c>
      <c r="E414" s="291" t="str">
        <f aca="true">IF(ISNUMBER($J414),INDIRECT("P"&amp;($J414+4)),"")</f>
        <v/>
      </c>
      <c r="F414" s="300" t="str">
        <f aca="true">IF(ISNUMBER($J414),INDIRECT("Q"&amp;($J414+4)),"")</f>
        <v/>
      </c>
      <c r="G414" s="298" t="str">
        <f aca="true">IF(ISNUMBER($J414),INDIRECT("R"&amp;($J414+4)),"")</f>
        <v/>
      </c>
      <c r="H414" s="298" t="str">
        <f aca="true">IF(ISNUMBER($J414),INDIRECT("S"&amp;($J414+4)),"")</f>
        <v/>
      </c>
      <c r="J414" s="292" t="str">
        <f aca="true">IF(410&lt;=$K$1,MATCH(409.5,INDIRECT("$K$4:$K$1374"),1),"")</f>
        <v/>
      </c>
      <c r="K414" s="292" t="n">
        <f aca="false">$K$388+COUNTIF($Q$389:Q414,"&gt;0")</f>
        <v>0</v>
      </c>
      <c r="L414" s="292" t="str">
        <f aca="false">"Зарядные устройства EU"</f>
        <v>Зарядные устройства EU</v>
      </c>
      <c r="M414" s="292" t="str">
        <f aca="false">IF(ISBLANK('Зарядные устройства EU'!$A$119),"",'Зарядные устройства EU'!$A$119)</f>
        <v>BA95A Ilustre QC3.0 зарядное устройство  с цифровым дисплеем (EU)</v>
      </c>
      <c r="N414" s="292" t="str">
        <f aca="false">IF(ISBLANK('Зарядные устройства EU'!$D$119),"",'Зарядные устройства EU'!$D$119)</f>
        <v>6941991120428</v>
      </c>
      <c r="O414" s="292" t="str">
        <f aca="false">IF(ISBLANK('Зарядные устройства EU'!$E$119),"",'Зарядные устройства EU'!$E$119)</f>
        <v>чёрный</v>
      </c>
      <c r="P414" s="292" t="str">
        <f aca="false">"ед."</f>
        <v>ед.</v>
      </c>
      <c r="Q414" s="292" t="n">
        <f aca="false">N('Зарядные устройства EU'!$G$119)</f>
        <v>0</v>
      </c>
      <c r="R414" s="299" t="n">
        <f aca="false">IF(ISBLANK('Зарядные устройства EU'!$F$119),"",'Зарядные устройства EU'!$F$119)</f>
        <v>187.56</v>
      </c>
      <c r="S414" s="292" t="str">
        <f aca="false">IF(ISBLANK('Зарядные устройства EU'!$H$119),"",'Зарядные устройства EU'!$H$119)</f>
        <v/>
      </c>
    </row>
    <row r="415" customFormat="false" ht="66" hidden="false" customHeight="true" outlineLevel="0" collapsed="false">
      <c r="A415" s="291" t="str">
        <f aca="true">IF(ISNUMBER($J415),INDIRECT("L"&amp;($J415+4)),"")</f>
        <v/>
      </c>
      <c r="B415" s="291" t="str">
        <f aca="true">IF(ISNUMBER($J415),INDIRECT("M"&amp;($J415+4)),"")</f>
        <v/>
      </c>
      <c r="C415" s="296" t="str">
        <f aca="true">IF(ISNUMBER($J415),INDIRECT("N"&amp;($J415+4)),"")</f>
        <v/>
      </c>
      <c r="D415" s="291" t="str">
        <f aca="true">IF(ISNUMBER($J415),INDIRECT("O"&amp;($J415+4)),"")</f>
        <v/>
      </c>
      <c r="E415" s="291" t="str">
        <f aca="true">IF(ISNUMBER($J415),INDIRECT("P"&amp;($J415+4)),"")</f>
        <v/>
      </c>
      <c r="F415" s="300" t="str">
        <f aca="true">IF(ISNUMBER($J415),INDIRECT("Q"&amp;($J415+4)),"")</f>
        <v/>
      </c>
      <c r="G415" s="298" t="str">
        <f aca="true">IF(ISNUMBER($J415),INDIRECT("R"&amp;($J415+4)),"")</f>
        <v/>
      </c>
      <c r="H415" s="298" t="str">
        <f aca="true">IF(ISNUMBER($J415),INDIRECT("S"&amp;($J415+4)),"")</f>
        <v/>
      </c>
      <c r="J415" s="292" t="str">
        <f aca="true">IF(411&lt;=$K$1,MATCH(410.5,INDIRECT("$K$4:$K$1374"),1),"")</f>
        <v/>
      </c>
      <c r="K415" s="292" t="n">
        <f aca="false">$K$388+COUNTIF($Q$389:Q415,"&gt;0")</f>
        <v>0</v>
      </c>
      <c r="L415" s="292" t="str">
        <f aca="false">"Зарядные устройства EU"</f>
        <v>Зарядные устройства EU</v>
      </c>
      <c r="M415" s="292" t="str">
        <f aca="false">IF(ISBLANK('Зарядные устройства EU'!$A$120),"",'Зарядные устройства EU'!$A$120)</f>
        <v>BA94A Lustrous PD30W+QC3.0 зарядное устройство набор (C на iP)(EU)</v>
      </c>
      <c r="N415" s="292" t="str">
        <f aca="false">IF(ISBLANK('Зарядные устройства EU'!$D$120),"",'Зарядные устройства EU'!$D$120)</f>
        <v>6941991120008</v>
      </c>
      <c r="O415" s="292" t="str">
        <f aca="false">IF(ISBLANK('Зарядные устройства EU'!$E$120),"",'Зарядные устройства EU'!$E$120)</f>
        <v>белый</v>
      </c>
      <c r="P415" s="292" t="str">
        <f aca="false">"ед."</f>
        <v>ед.</v>
      </c>
      <c r="Q415" s="292" t="n">
        <f aca="false">N('Зарядные устройства EU'!$G$120)</f>
        <v>0</v>
      </c>
      <c r="R415" s="299" t="n">
        <f aca="false">IF(ISBLANK('Зарядные устройства EU'!$F$120),"",'Зарядные устройства EU'!$F$120)</f>
        <v>394.69</v>
      </c>
      <c r="S415" s="292" t="str">
        <f aca="false">IF(ISBLANK('Зарядные устройства EU'!$H$120),"",'Зарядные устройства EU'!$H$120)</f>
        <v/>
      </c>
    </row>
    <row r="416" customFormat="false" ht="66" hidden="false" customHeight="true" outlineLevel="0" collapsed="false">
      <c r="A416" s="291" t="str">
        <f aca="true">IF(ISNUMBER($J416),INDIRECT("L"&amp;($J416+4)),"")</f>
        <v/>
      </c>
      <c r="B416" s="291" t="str">
        <f aca="true">IF(ISNUMBER($J416),INDIRECT("M"&amp;($J416+4)),"")</f>
        <v/>
      </c>
      <c r="C416" s="296" t="str">
        <f aca="true">IF(ISNUMBER($J416),INDIRECT("N"&amp;($J416+4)),"")</f>
        <v/>
      </c>
      <c r="D416" s="291" t="str">
        <f aca="true">IF(ISNUMBER($J416),INDIRECT("O"&amp;($J416+4)),"")</f>
        <v/>
      </c>
      <c r="E416" s="291" t="str">
        <f aca="true">IF(ISNUMBER($J416),INDIRECT("P"&amp;($J416+4)),"")</f>
        <v/>
      </c>
      <c r="F416" s="300" t="str">
        <f aca="true">IF(ISNUMBER($J416),INDIRECT("Q"&amp;($J416+4)),"")</f>
        <v/>
      </c>
      <c r="G416" s="298" t="str">
        <f aca="true">IF(ISNUMBER($J416),INDIRECT("R"&amp;($J416+4)),"")</f>
        <v/>
      </c>
      <c r="H416" s="298" t="str">
        <f aca="true">IF(ISNUMBER($J416),INDIRECT("S"&amp;($J416+4)),"")</f>
        <v/>
      </c>
      <c r="J416" s="292" t="str">
        <f aca="true">IF(412&lt;=$K$1,MATCH(411.5,INDIRECT("$K$4:$K$1374"),1),"")</f>
        <v/>
      </c>
      <c r="K416" s="292" t="n">
        <f aca="false">$K$388+COUNTIF($Q$389:Q416,"&gt;0")</f>
        <v>0</v>
      </c>
      <c r="L416" s="292" t="str">
        <f aca="false">"Зарядные устройства EU"</f>
        <v>Зарядные устройства EU</v>
      </c>
      <c r="M416" s="292" t="str">
        <f aca="false">IF(ISBLANK('Зарядные устройства EU'!$A$121),"",'Зарядные устройства EU'!$A$121)</f>
        <v>BA94A Lustrous PD30W+QC3.0 зарядное устройство набор (C на C)(EU)</v>
      </c>
      <c r="N416" s="292" t="str">
        <f aca="false">IF(ISBLANK('Зарядные устройства EU'!$D$121),"",'Зарядные устройства EU'!$D$121)</f>
        <v>6941991120039</v>
      </c>
      <c r="O416" s="292" t="str">
        <f aca="false">IF(ISBLANK('Зарядные устройства EU'!$E$121),"",'Зарядные устройства EU'!$E$121)</f>
        <v>синий</v>
      </c>
      <c r="P416" s="292" t="str">
        <f aca="false">"ед."</f>
        <v>ед.</v>
      </c>
      <c r="Q416" s="292" t="n">
        <f aca="false">N('Зарядные устройства EU'!$G$121)</f>
        <v>0</v>
      </c>
      <c r="R416" s="299" t="n">
        <f aca="false">IF(ISBLANK('Зарядные устройства EU'!$F$121),"",'Зарядные устройства EU'!$F$121)</f>
        <v>371.85</v>
      </c>
      <c r="S416" s="292" t="str">
        <f aca="false">IF(ISBLANK('Зарядные устройства EU'!$H$121),"",'Зарядные устройства EU'!$H$121)</f>
        <v/>
      </c>
    </row>
    <row r="417" customFormat="false" ht="66" hidden="false" customHeight="true" outlineLevel="0" collapsed="false">
      <c r="A417" s="291" t="str">
        <f aca="true">IF(ISNUMBER($J417),INDIRECT("L"&amp;($J417+4)),"")</f>
        <v/>
      </c>
      <c r="B417" s="291" t="str">
        <f aca="true">IF(ISNUMBER($J417),INDIRECT("M"&amp;($J417+4)),"")</f>
        <v/>
      </c>
      <c r="C417" s="296" t="str">
        <f aca="true">IF(ISNUMBER($J417),INDIRECT("N"&amp;($J417+4)),"")</f>
        <v/>
      </c>
      <c r="D417" s="291" t="str">
        <f aca="true">IF(ISNUMBER($J417),INDIRECT("O"&amp;($J417+4)),"")</f>
        <v/>
      </c>
      <c r="E417" s="291" t="str">
        <f aca="true">IF(ISNUMBER($J417),INDIRECT("P"&amp;($J417+4)),"")</f>
        <v/>
      </c>
      <c r="F417" s="300" t="str">
        <f aca="true">IF(ISNUMBER($J417),INDIRECT("Q"&amp;($J417+4)),"")</f>
        <v/>
      </c>
      <c r="G417" s="298" t="str">
        <f aca="true">IF(ISNUMBER($J417),INDIRECT("R"&amp;($J417+4)),"")</f>
        <v/>
      </c>
      <c r="H417" s="298" t="str">
        <f aca="true">IF(ISNUMBER($J417),INDIRECT("S"&amp;($J417+4)),"")</f>
        <v/>
      </c>
      <c r="J417" s="292" t="str">
        <f aca="true">IF(413&lt;=$K$1,MATCH(412.5,INDIRECT("$K$4:$K$1374"),1),"")</f>
        <v/>
      </c>
      <c r="K417" s="292" t="n">
        <f aca="false">$K$388+COUNTIF($Q$389:Q417,"&gt;0")</f>
        <v>0</v>
      </c>
      <c r="L417" s="292" t="str">
        <f aca="false">"Зарядные устройства EU"</f>
        <v>Зарядные устройства EU</v>
      </c>
      <c r="M417" s="292" t="str">
        <f aca="false">IF(ISBLANK('Зарядные устройства EU'!$A$122),"",'Зарядные устройства EU'!$A$122)</f>
        <v>BA82A Platinum single port PD25W зарядное устройство (EU)</v>
      </c>
      <c r="N417" s="292" t="str">
        <f aca="false">IF(ISBLANK('Зарядные устройства EU'!$D$122),"",'Зарядные устройства EU'!$D$122)</f>
        <v>6941991112256</v>
      </c>
      <c r="O417" s="292" t="str">
        <f aca="false">IF(ISBLANK('Зарядные устройства EU'!$E$122),"",'Зарядные устройства EU'!$E$122)</f>
        <v>белый</v>
      </c>
      <c r="P417" s="292" t="str">
        <f aca="false">"ед."</f>
        <v>ед.</v>
      </c>
      <c r="Q417" s="292" t="n">
        <f aca="false">N('Зарядные устройства EU'!$G$122)</f>
        <v>0</v>
      </c>
      <c r="R417" s="299" t="n">
        <f aca="false">IF(ISBLANK('Зарядные устройства EU'!$F$122),"",'Зарядные устройства EU'!$F$122)</f>
        <v>228.33</v>
      </c>
      <c r="S417" s="292" t="str">
        <f aca="false">IF(ISBLANK('Зарядные устройства EU'!$H$122),"",'Зарядные устройства EU'!$H$122)</f>
        <v/>
      </c>
    </row>
    <row r="418" customFormat="false" ht="66" hidden="false" customHeight="true" outlineLevel="0" collapsed="false">
      <c r="A418" s="291" t="str">
        <f aca="true">IF(ISNUMBER($J418),INDIRECT("L"&amp;($J418+4)),"")</f>
        <v/>
      </c>
      <c r="B418" s="291" t="str">
        <f aca="true">IF(ISNUMBER($J418),INDIRECT("M"&amp;($J418+4)),"")</f>
        <v/>
      </c>
      <c r="C418" s="296" t="str">
        <f aca="true">IF(ISNUMBER($J418),INDIRECT("N"&amp;($J418+4)),"")</f>
        <v/>
      </c>
      <c r="D418" s="291" t="str">
        <f aca="true">IF(ISNUMBER($J418),INDIRECT("O"&amp;($J418+4)),"")</f>
        <v/>
      </c>
      <c r="E418" s="291" t="str">
        <f aca="true">IF(ISNUMBER($J418),INDIRECT("P"&amp;($J418+4)),"")</f>
        <v/>
      </c>
      <c r="F418" s="300" t="str">
        <f aca="true">IF(ISNUMBER($J418),INDIRECT("Q"&amp;($J418+4)),"")</f>
        <v/>
      </c>
      <c r="G418" s="298" t="str">
        <f aca="true">IF(ISNUMBER($J418),INDIRECT("R"&amp;($J418+4)),"")</f>
        <v/>
      </c>
      <c r="H418" s="298" t="str">
        <f aca="true">IF(ISNUMBER($J418),INDIRECT("S"&amp;($J418+4)),"")</f>
        <v/>
      </c>
      <c r="J418" s="292" t="str">
        <f aca="true">IF(414&lt;=$K$1,MATCH(413.5,INDIRECT("$K$4:$K$1374"),1),"")</f>
        <v/>
      </c>
      <c r="K418" s="292" t="n">
        <f aca="false">$K$388+COUNTIF($Q$389:Q418,"&gt;0")</f>
        <v>0</v>
      </c>
      <c r="L418" s="292" t="str">
        <f aca="false">"Зарядные устройства EU"</f>
        <v>Зарядные устройства EU</v>
      </c>
      <c r="M418" s="292" t="str">
        <f aca="false">IF(ISBLANK('Зарядные устройства EU'!$A$123),"",'Зарядные устройства EU'!$A$123)</f>
        <v>BA82A Platinum  PD25W зарядное устройство  набор (C на iP)(EU)</v>
      </c>
      <c r="N418" s="292" t="str">
        <f aca="false">IF(ISBLANK('Зарядные устройства EU'!$D$123),"",'Зарядные устройства EU'!$D$123)</f>
        <v>6941991112263</v>
      </c>
      <c r="O418" s="292" t="str">
        <f aca="false">IF(ISBLANK('Зарядные устройства EU'!$E$123),"",'Зарядные устройства EU'!$E$123)</f>
        <v>белый</v>
      </c>
      <c r="P418" s="292" t="str">
        <f aca="false">"ед."</f>
        <v>ед.</v>
      </c>
      <c r="Q418" s="292" t="n">
        <f aca="false">N('Зарядные устройства EU'!$G$123)</f>
        <v>0</v>
      </c>
      <c r="R418" s="299" t="n">
        <f aca="false">IF(ISBLANK('Зарядные устройства EU'!$F$123),"",'Зарядные устройства EU'!$F$123)</f>
        <v>309.88</v>
      </c>
      <c r="S418" s="292" t="str">
        <f aca="false">IF(ISBLANK('Зарядные устройства EU'!$H$123),"",'Зарядные устройства EU'!$H$123)</f>
        <v/>
      </c>
    </row>
    <row r="419" customFormat="false" ht="66" hidden="false" customHeight="true" outlineLevel="0" collapsed="false">
      <c r="A419" s="291" t="str">
        <f aca="true">IF(ISNUMBER($J419),INDIRECT("L"&amp;($J419+4)),"")</f>
        <v/>
      </c>
      <c r="B419" s="291" t="str">
        <f aca="true">IF(ISNUMBER($J419),INDIRECT("M"&amp;($J419+4)),"")</f>
        <v/>
      </c>
      <c r="C419" s="296" t="str">
        <f aca="true">IF(ISNUMBER($J419),INDIRECT("N"&amp;($J419+4)),"")</f>
        <v/>
      </c>
      <c r="D419" s="291" t="str">
        <f aca="true">IF(ISNUMBER($J419),INDIRECT("O"&amp;($J419+4)),"")</f>
        <v/>
      </c>
      <c r="E419" s="291" t="str">
        <f aca="true">IF(ISNUMBER($J419),INDIRECT("P"&amp;($J419+4)),"")</f>
        <v/>
      </c>
      <c r="F419" s="300" t="str">
        <f aca="true">IF(ISNUMBER($J419),INDIRECT("Q"&amp;($J419+4)),"")</f>
        <v/>
      </c>
      <c r="G419" s="298" t="str">
        <f aca="true">IF(ISNUMBER($J419),INDIRECT("R"&amp;($J419+4)),"")</f>
        <v/>
      </c>
      <c r="H419" s="298" t="str">
        <f aca="true">IF(ISNUMBER($J419),INDIRECT("S"&amp;($J419+4)),"")</f>
        <v/>
      </c>
      <c r="J419" s="292" t="str">
        <f aca="true">IF(415&lt;=$K$1,MATCH(414.5,INDIRECT("$K$4:$K$1374"),1),"")</f>
        <v/>
      </c>
      <c r="K419" s="292" t="n">
        <f aca="false">$K$388+COUNTIF($Q$389:Q419,"&gt;0")</f>
        <v>0</v>
      </c>
      <c r="L419" s="292" t="str">
        <f aca="false">"Зарядные устройства EU"</f>
        <v>Зарядные устройства EU</v>
      </c>
      <c r="M419" s="292" t="str">
        <f aca="false">IF(ISBLANK('Зарядные устройства EU'!$A$124),"",'Зарядные устройства EU'!$A$124)</f>
        <v>BA82A Platinum PD25W зарядное устройство  набор (C на C)(EU)</v>
      </c>
      <c r="N419" s="292" t="str">
        <f aca="false">IF(ISBLANK('Зарядные устройства EU'!$D$124),"",'Зарядные устройства EU'!$D$124)</f>
        <v>6941991112270</v>
      </c>
      <c r="O419" s="292" t="str">
        <f aca="false">IF(ISBLANK('Зарядные устройства EU'!$E$124),"",'Зарядные устройства EU'!$E$124)</f>
        <v>белый</v>
      </c>
      <c r="P419" s="292" t="str">
        <f aca="false">"ед."</f>
        <v>ед.</v>
      </c>
      <c r="Q419" s="292" t="n">
        <f aca="false">N('Зарядные устройства EU'!$G$124)</f>
        <v>0</v>
      </c>
      <c r="R419" s="299" t="n">
        <f aca="false">IF(ISBLANK('Зарядные устройства EU'!$F$124),"",'Зарядные устройства EU'!$F$124)</f>
        <v>269.11</v>
      </c>
      <c r="S419" s="292" t="str">
        <f aca="false">IF(ISBLANK('Зарядные устройства EU'!$H$124),"",'Зарядные устройства EU'!$H$124)</f>
        <v/>
      </c>
    </row>
    <row r="420" customFormat="false" ht="66" hidden="false" customHeight="true" outlineLevel="0" collapsed="false">
      <c r="A420" s="291" t="str">
        <f aca="true">IF(ISNUMBER($J420),INDIRECT("L"&amp;($J420+4)),"")</f>
        <v/>
      </c>
      <c r="B420" s="291" t="str">
        <f aca="true">IF(ISNUMBER($J420),INDIRECT("M"&amp;($J420+4)),"")</f>
        <v/>
      </c>
      <c r="C420" s="296" t="str">
        <f aca="true">IF(ISNUMBER($J420),INDIRECT("N"&amp;($J420+4)),"")</f>
        <v/>
      </c>
      <c r="D420" s="291" t="str">
        <f aca="true">IF(ISNUMBER($J420),INDIRECT("O"&amp;($J420+4)),"")</f>
        <v/>
      </c>
      <c r="E420" s="291" t="str">
        <f aca="true">IF(ISNUMBER($J420),INDIRECT("P"&amp;($J420+4)),"")</f>
        <v/>
      </c>
      <c r="F420" s="300" t="str">
        <f aca="true">IF(ISNUMBER($J420),INDIRECT("Q"&amp;($J420+4)),"")</f>
        <v/>
      </c>
      <c r="G420" s="298" t="str">
        <f aca="true">IF(ISNUMBER($J420),INDIRECT("R"&amp;($J420+4)),"")</f>
        <v/>
      </c>
      <c r="H420" s="298" t="str">
        <f aca="true">IF(ISNUMBER($J420),INDIRECT("S"&amp;($J420+4)),"")</f>
        <v/>
      </c>
      <c r="J420" s="292" t="str">
        <f aca="true">IF(416&lt;=$K$1,MATCH(415.5,INDIRECT("$K$4:$K$1374"),1),"")</f>
        <v/>
      </c>
      <c r="K420" s="292" t="n">
        <f aca="false">$K$388+COUNTIF($Q$389:Q420,"&gt;0")</f>
        <v>0</v>
      </c>
      <c r="L420" s="292" t="str">
        <f aca="false">"Зарядные устройства EU"</f>
        <v>Зарядные устройства EU</v>
      </c>
      <c r="M420" s="292" t="str">
        <f aca="false">IF(ISBLANK('Зарядные устройства EU'!$A$125),"",'Зарядные устройства EU'!$A$125)</f>
        <v>BA81A зарядное устройство с одним портом PD20W(EU)</v>
      </c>
      <c r="N420" s="292" t="str">
        <f aca="false">IF(ISBLANK('Зарядные устройства EU'!$D$125),"",'Зарядные устройства EU'!$D$125)</f>
        <v>6941991108181</v>
      </c>
      <c r="O420" s="292" t="str">
        <f aca="false">IF(ISBLANK('Зарядные устройства EU'!$E$125),"",'Зарядные устройства EU'!$E$125)</f>
        <v>белый</v>
      </c>
      <c r="P420" s="292" t="str">
        <f aca="false">"ед."</f>
        <v>ед.</v>
      </c>
      <c r="Q420" s="292" t="n">
        <f aca="false">N('Зарядные устройства EU'!$G$125)</f>
        <v>0</v>
      </c>
      <c r="R420" s="299" t="n">
        <f aca="false">IF(ISBLANK('Зарядные устройства EU'!$F$125),"",'Зарядные устройства EU'!$F$125)</f>
        <v>150.05</v>
      </c>
      <c r="S420" s="292" t="str">
        <f aca="false">IF(ISBLANK('Зарядные устройства EU'!$H$125),"",'Зарядные устройства EU'!$H$125)</f>
        <v/>
      </c>
    </row>
    <row r="421" customFormat="false" ht="66" hidden="false" customHeight="true" outlineLevel="0" collapsed="false">
      <c r="A421" s="291" t="str">
        <f aca="true">IF(ISNUMBER($J421),INDIRECT("L"&amp;($J421+4)),"")</f>
        <v/>
      </c>
      <c r="B421" s="291" t="str">
        <f aca="true">IF(ISNUMBER($J421),INDIRECT("M"&amp;($J421+4)),"")</f>
        <v/>
      </c>
      <c r="C421" s="296" t="str">
        <f aca="true">IF(ISNUMBER($J421),INDIRECT("N"&amp;($J421+4)),"")</f>
        <v/>
      </c>
      <c r="D421" s="291" t="str">
        <f aca="true">IF(ISNUMBER($J421),INDIRECT("O"&amp;($J421+4)),"")</f>
        <v/>
      </c>
      <c r="E421" s="291" t="str">
        <f aca="true">IF(ISNUMBER($J421),INDIRECT("P"&amp;($J421+4)),"")</f>
        <v/>
      </c>
      <c r="F421" s="300" t="str">
        <f aca="true">IF(ISNUMBER($J421),INDIRECT("Q"&amp;($J421+4)),"")</f>
        <v/>
      </c>
      <c r="G421" s="298" t="str">
        <f aca="true">IF(ISNUMBER($J421),INDIRECT("R"&amp;($J421+4)),"")</f>
        <v/>
      </c>
      <c r="H421" s="298" t="str">
        <f aca="true">IF(ISNUMBER($J421),INDIRECT("S"&amp;($J421+4)),"")</f>
        <v/>
      </c>
      <c r="J421" s="292" t="str">
        <f aca="true">IF(417&lt;=$K$1,MATCH(416.5,INDIRECT("$K$4:$K$1374"),1),"")</f>
        <v/>
      </c>
      <c r="K421" s="292" t="n">
        <f aca="false">$K$388+COUNTIF($Q$389:Q421,"&gt;0")</f>
        <v>0</v>
      </c>
      <c r="L421" s="292" t="str">
        <f aca="false">"Зарядные устройства EU"</f>
        <v>Зарядные устройства EU</v>
      </c>
      <c r="M421" s="292" t="str">
        <f aca="false">IF(ISBLANK('Зарядные устройства EU'!$A$126),"",'Зарядные устройства EU'!$A$126)</f>
        <v>BA81A зарядное устройство с одним портом PD20W набор (C на iP)(EU)</v>
      </c>
      <c r="N421" s="292" t="str">
        <f aca="false">IF(ISBLANK('Зарядные устройства EU'!$D$126),"",'Зарядные устройства EU'!$D$126)</f>
        <v>6941991108198</v>
      </c>
      <c r="O421" s="292" t="str">
        <f aca="false">IF(ISBLANK('Зарядные устройства EU'!$E$126),"",'Зарядные устройства EU'!$E$126)</f>
        <v>белый</v>
      </c>
      <c r="P421" s="292" t="str">
        <f aca="false">"ед."</f>
        <v>ед.</v>
      </c>
      <c r="Q421" s="292" t="n">
        <f aca="false">N('Зарядные устройства EU'!$G$126)</f>
        <v>0</v>
      </c>
      <c r="R421" s="299" t="n">
        <f aca="false">IF(ISBLANK('Зарядные устройства EU'!$F$126),"",'Зарядные устройства EU'!$F$126)</f>
        <v>236.49</v>
      </c>
      <c r="S421" s="292" t="str">
        <f aca="false">IF(ISBLANK('Зарядные устройства EU'!$H$126),"",'Зарядные устройства EU'!$H$126)</f>
        <v/>
      </c>
    </row>
    <row r="422" customFormat="false" ht="66" hidden="false" customHeight="true" outlineLevel="0" collapsed="false">
      <c r="A422" s="291" t="str">
        <f aca="true">IF(ISNUMBER($J422),INDIRECT("L"&amp;($J422+4)),"")</f>
        <v/>
      </c>
      <c r="B422" s="291" t="str">
        <f aca="true">IF(ISNUMBER($J422),INDIRECT("M"&amp;($J422+4)),"")</f>
        <v/>
      </c>
      <c r="C422" s="296" t="str">
        <f aca="true">IF(ISNUMBER($J422),INDIRECT("N"&amp;($J422+4)),"")</f>
        <v/>
      </c>
      <c r="D422" s="291" t="str">
        <f aca="true">IF(ISNUMBER($J422),INDIRECT("O"&amp;($J422+4)),"")</f>
        <v/>
      </c>
      <c r="E422" s="291" t="str">
        <f aca="true">IF(ISNUMBER($J422),INDIRECT("P"&amp;($J422+4)),"")</f>
        <v/>
      </c>
      <c r="F422" s="300" t="str">
        <f aca="true">IF(ISNUMBER($J422),INDIRECT("Q"&amp;($J422+4)),"")</f>
        <v/>
      </c>
      <c r="G422" s="298" t="str">
        <f aca="true">IF(ISNUMBER($J422),INDIRECT("R"&amp;($J422+4)),"")</f>
        <v/>
      </c>
      <c r="H422" s="298" t="str">
        <f aca="true">IF(ISNUMBER($J422),INDIRECT("S"&amp;($J422+4)),"")</f>
        <v/>
      </c>
      <c r="J422" s="292" t="str">
        <f aca="true">IF(418&lt;=$K$1,MATCH(417.5,INDIRECT("$K$4:$K$1374"),1),"")</f>
        <v/>
      </c>
      <c r="K422" s="292" t="n">
        <f aca="false">$K$388+COUNTIF($Q$389:Q422,"&gt;0")</f>
        <v>0</v>
      </c>
      <c r="L422" s="292" t="str">
        <f aca="false">"Зарядные устройства EU"</f>
        <v>Зарядные устройства EU</v>
      </c>
      <c r="M422" s="292" t="str">
        <f aca="false">IF(ISBLANK('Зарядные устройства EU'!$A$127),"",'Зарядные устройства EU'!$A$127)</f>
        <v>BA81A зарядное устройство с одним портом PD20W набор (Type-C на Type-C)(EU)</v>
      </c>
      <c r="N422" s="292" t="str">
        <f aca="false">IF(ISBLANK('Зарядные устройства EU'!$D$127),"",'Зарядные устройства EU'!$D$127)</f>
        <v>6941991108204</v>
      </c>
      <c r="O422" s="292" t="str">
        <f aca="false">IF(ISBLANK('Зарядные устройства EU'!$E$127),"",'Зарядные устройства EU'!$E$127)</f>
        <v>белый</v>
      </c>
      <c r="P422" s="292" t="str">
        <f aca="false">"ед."</f>
        <v>ед.</v>
      </c>
      <c r="Q422" s="292" t="n">
        <f aca="false">N('Зарядные устройства EU'!$G$127)</f>
        <v>0</v>
      </c>
      <c r="R422" s="299" t="n">
        <f aca="false">IF(ISBLANK('Зарядные устройства EU'!$F$127),"",'Зарядные устройства EU'!$F$127)</f>
        <v>195.71</v>
      </c>
      <c r="S422" s="292" t="str">
        <f aca="false">IF(ISBLANK('Зарядные устройства EU'!$H$127),"",'Зарядные устройства EU'!$H$127)</f>
        <v/>
      </c>
    </row>
    <row r="423" customFormat="false" ht="66" hidden="false" customHeight="true" outlineLevel="0" collapsed="false">
      <c r="A423" s="291" t="str">
        <f aca="true">IF(ISNUMBER($J423),INDIRECT("L"&amp;($J423+4)),"")</f>
        <v/>
      </c>
      <c r="B423" s="291" t="str">
        <f aca="true">IF(ISNUMBER($J423),INDIRECT("M"&amp;($J423+4)),"")</f>
        <v/>
      </c>
      <c r="C423" s="296" t="str">
        <f aca="true">IF(ISNUMBER($J423),INDIRECT("N"&amp;($J423+4)),"")</f>
        <v/>
      </c>
      <c r="D423" s="291" t="str">
        <f aca="true">IF(ISNUMBER($J423),INDIRECT("O"&amp;($J423+4)),"")</f>
        <v/>
      </c>
      <c r="E423" s="291" t="str">
        <f aca="true">IF(ISNUMBER($J423),INDIRECT("P"&amp;($J423+4)),"")</f>
        <v/>
      </c>
      <c r="F423" s="300" t="str">
        <f aca="true">IF(ISNUMBER($J423),INDIRECT("Q"&amp;($J423+4)),"")</f>
        <v/>
      </c>
      <c r="G423" s="298" t="str">
        <f aca="true">IF(ISNUMBER($J423),INDIRECT("R"&amp;($J423+4)),"")</f>
        <v/>
      </c>
      <c r="H423" s="298" t="str">
        <f aca="true">IF(ISNUMBER($J423),INDIRECT("S"&amp;($J423+4)),"")</f>
        <v/>
      </c>
      <c r="J423" s="292" t="str">
        <f aca="true">IF(419&lt;=$K$1,MATCH(418.5,INDIRECT("$K$4:$K$1374"),1),"")</f>
        <v/>
      </c>
      <c r="K423" s="292" t="n">
        <f aca="false">$K$388+COUNTIF($Q$389:Q423,"&gt;0")</f>
        <v>0</v>
      </c>
      <c r="L423" s="292" t="str">
        <f aca="false">"Зарядные устройства EU"</f>
        <v>Зарядные устройства EU</v>
      </c>
      <c r="M423" s="292" t="str">
        <f aca="false">IF(ISBLANK('Зарядные устройства EU'!$A$128),"",'Зарядные устройства EU'!$A$128)</f>
        <v>BA74A Aspirer зарядное устройство с 1 портом набор (Type-C)(EU)</v>
      </c>
      <c r="N423" s="292" t="str">
        <f aca="false">IF(ISBLANK('Зарядные устройства EU'!$D$128),"",'Зарядные устройства EU'!$D$128)</f>
        <v>6974443388671</v>
      </c>
      <c r="O423" s="292" t="str">
        <f aca="false">IF(ISBLANK('Зарядные устройства EU'!$E$128),"",'Зарядные устройства EU'!$E$128)</f>
        <v>белый</v>
      </c>
      <c r="P423" s="292" t="str">
        <f aca="false">"ед."</f>
        <v>ед.</v>
      </c>
      <c r="Q423" s="292" t="n">
        <f aca="false">N('Зарядные устройства EU'!$G$128)</f>
        <v>0</v>
      </c>
      <c r="R423" s="299" t="n">
        <f aca="false">IF(ISBLANK('Зарядные устройства EU'!$F$128),"",'Зарядные устройства EU'!$F$128)</f>
        <v>114.17</v>
      </c>
      <c r="S423" s="292" t="str">
        <f aca="false">IF(ISBLANK('Зарядные устройства EU'!$H$128),"",'Зарядные устройства EU'!$H$128)</f>
        <v/>
      </c>
    </row>
    <row r="424" customFormat="false" ht="66" hidden="false" customHeight="true" outlineLevel="0" collapsed="false">
      <c r="A424" s="291" t="str">
        <f aca="true">IF(ISNUMBER($J424),INDIRECT("L"&amp;($J424+4)),"")</f>
        <v/>
      </c>
      <c r="B424" s="291" t="str">
        <f aca="true">IF(ISNUMBER($J424),INDIRECT("M"&amp;($J424+4)),"")</f>
        <v/>
      </c>
      <c r="C424" s="296" t="str">
        <f aca="true">IF(ISNUMBER($J424),INDIRECT("N"&amp;($J424+4)),"")</f>
        <v/>
      </c>
      <c r="D424" s="291" t="str">
        <f aca="true">IF(ISNUMBER($J424),INDIRECT("O"&amp;($J424+4)),"")</f>
        <v/>
      </c>
      <c r="E424" s="291" t="str">
        <f aca="true">IF(ISNUMBER($J424),INDIRECT("P"&amp;($J424+4)),"")</f>
        <v/>
      </c>
      <c r="F424" s="300" t="str">
        <f aca="true">IF(ISNUMBER($J424),INDIRECT("Q"&amp;($J424+4)),"")</f>
        <v/>
      </c>
      <c r="G424" s="298" t="str">
        <f aca="true">IF(ISNUMBER($J424),INDIRECT("R"&amp;($J424+4)),"")</f>
        <v/>
      </c>
      <c r="H424" s="298" t="str">
        <f aca="true">IF(ISNUMBER($J424),INDIRECT("S"&amp;($J424+4)),"")</f>
        <v/>
      </c>
      <c r="J424" s="292" t="str">
        <f aca="true">IF(420&lt;=$K$1,MATCH(419.5,INDIRECT("$K$4:$K$1374"),1),"")</f>
        <v/>
      </c>
      <c r="K424" s="292" t="n">
        <f aca="false">$K$388+COUNTIF($Q$389:Q424,"&gt;0")</f>
        <v>0</v>
      </c>
      <c r="L424" s="292" t="str">
        <f aca="false">"Зарядные устройства EU"</f>
        <v>Зарядные устройства EU</v>
      </c>
      <c r="M424" s="292" t="str">
        <f aca="false">IF(ISBLANK('Зарядные устройства EU'!$A$129),"",'Зарядные устройства EU'!$A$129)</f>
        <v>BA72A Spring зарядное устройство с одним портом QC3.0 (EU)</v>
      </c>
      <c r="N424" s="292" t="str">
        <f aca="false">IF(ISBLANK('Зарядные устройства EU'!$D$129),"",'Зарядные устройства EU'!$D$129)</f>
        <v>6974443388541</v>
      </c>
      <c r="O424" s="292" t="str">
        <f aca="false">IF(ISBLANK('Зарядные устройства EU'!$E$129),"",'Зарядные устройства EU'!$E$129)</f>
        <v>черный</v>
      </c>
      <c r="P424" s="292" t="str">
        <f aca="false">"ед."</f>
        <v>ед.</v>
      </c>
      <c r="Q424" s="292" t="n">
        <f aca="false">N('Зарядные устройства EU'!$G$129)</f>
        <v>0</v>
      </c>
      <c r="R424" s="299" t="n">
        <f aca="false">IF(ISBLANK('Зарядные устройства EU'!$F$129),"",'Зарядные устройства EU'!$F$129)</f>
        <v>138.63</v>
      </c>
      <c r="S424" s="292" t="str">
        <f aca="false">IF(ISBLANK('Зарядные устройства EU'!$H$129),"",'Зарядные устройства EU'!$H$129)</f>
        <v/>
      </c>
    </row>
    <row r="425" customFormat="false" ht="66" hidden="false" customHeight="true" outlineLevel="0" collapsed="false">
      <c r="A425" s="291" t="str">
        <f aca="true">IF(ISNUMBER($J425),INDIRECT("L"&amp;($J425+4)),"")</f>
        <v/>
      </c>
      <c r="B425" s="291" t="str">
        <f aca="true">IF(ISNUMBER($J425),INDIRECT("M"&amp;($J425+4)),"")</f>
        <v/>
      </c>
      <c r="C425" s="296" t="str">
        <f aca="true">IF(ISNUMBER($J425),INDIRECT("N"&amp;($J425+4)),"")</f>
        <v/>
      </c>
      <c r="D425" s="291" t="str">
        <f aca="true">IF(ISNUMBER($J425),INDIRECT("O"&amp;($J425+4)),"")</f>
        <v/>
      </c>
      <c r="E425" s="291" t="str">
        <f aca="true">IF(ISNUMBER($J425),INDIRECT("P"&amp;($J425+4)),"")</f>
        <v/>
      </c>
      <c r="F425" s="300" t="str">
        <f aca="true">IF(ISNUMBER($J425),INDIRECT("Q"&amp;($J425+4)),"")</f>
        <v/>
      </c>
      <c r="G425" s="298" t="str">
        <f aca="true">IF(ISNUMBER($J425),INDIRECT("R"&amp;($J425+4)),"")</f>
        <v/>
      </c>
      <c r="H425" s="298" t="str">
        <f aca="true">IF(ISNUMBER($J425),INDIRECT("S"&amp;($J425+4)),"")</f>
        <v/>
      </c>
      <c r="J425" s="292" t="str">
        <f aca="true">IF(421&lt;=$K$1,MATCH(420.5,INDIRECT("$K$4:$K$1374"),1),"")</f>
        <v/>
      </c>
      <c r="K425" s="292" t="n">
        <f aca="false">$K$388+COUNTIF($Q$389:Q425,"&gt;0")</f>
        <v>0</v>
      </c>
      <c r="L425" s="292" t="str">
        <f aca="false">"Зарядные устройства EU"</f>
        <v>Зарядные устройства EU</v>
      </c>
      <c r="M425" s="292" t="str">
        <f aca="false">IF(ISBLANK('Зарядные устройства EU'!$A$129),"",'Зарядные устройства EU'!$A$129)</f>
        <v>BA72A Spring зарядное устройство с одним портом QC3.0 (EU)</v>
      </c>
      <c r="N425" s="292" t="str">
        <f aca="false">IF(ISBLANK('Зарядные устройства EU'!$D$130),"",'Зарядные устройства EU'!$D$130)</f>
        <v>6974443388558</v>
      </c>
      <c r="O425" s="292" t="str">
        <f aca="false">IF(ISBLANK('Зарядные устройства EU'!$E$130),"",'Зарядные устройства EU'!$E$130)</f>
        <v>белый</v>
      </c>
      <c r="P425" s="292" t="str">
        <f aca="false">"ед."</f>
        <v>ед.</v>
      </c>
      <c r="Q425" s="292" t="n">
        <f aca="false">N('Зарядные устройства EU'!$G$130)</f>
        <v>0</v>
      </c>
      <c r="R425" s="299" t="n">
        <f aca="false">IF(ISBLANK('Зарядные устройства EU'!$F$130),"",'Зарядные устройства EU'!$F$130)</f>
        <v>138.63</v>
      </c>
      <c r="S425" s="292" t="str">
        <f aca="false">IF(ISBLANK('Зарядные устройства EU'!$H$130),"",'Зарядные устройства EU'!$H$130)</f>
        <v/>
      </c>
    </row>
    <row r="426" customFormat="false" ht="66" hidden="false" customHeight="true" outlineLevel="0" collapsed="false">
      <c r="A426" s="291" t="str">
        <f aca="true">IF(ISNUMBER($J426),INDIRECT("L"&amp;($J426+4)),"")</f>
        <v/>
      </c>
      <c r="B426" s="291" t="str">
        <f aca="true">IF(ISNUMBER($J426),INDIRECT("M"&amp;($J426+4)),"")</f>
        <v/>
      </c>
      <c r="C426" s="296" t="str">
        <f aca="true">IF(ISNUMBER($J426),INDIRECT("N"&amp;($J426+4)),"")</f>
        <v/>
      </c>
      <c r="D426" s="291" t="str">
        <f aca="true">IF(ISNUMBER($J426),INDIRECT("O"&amp;($J426+4)),"")</f>
        <v/>
      </c>
      <c r="E426" s="291" t="str">
        <f aca="true">IF(ISNUMBER($J426),INDIRECT("P"&amp;($J426+4)),"")</f>
        <v/>
      </c>
      <c r="F426" s="300" t="str">
        <f aca="true">IF(ISNUMBER($J426),INDIRECT("Q"&amp;($J426+4)),"")</f>
        <v/>
      </c>
      <c r="G426" s="298" t="str">
        <f aca="true">IF(ISNUMBER($J426),INDIRECT("R"&amp;($J426+4)),"")</f>
        <v/>
      </c>
      <c r="H426" s="298" t="str">
        <f aca="true">IF(ISNUMBER($J426),INDIRECT("S"&amp;($J426+4)),"")</f>
        <v/>
      </c>
      <c r="J426" s="292" t="str">
        <f aca="true">IF(422&lt;=$K$1,MATCH(421.5,INDIRECT("$K$4:$K$1374"),1),"")</f>
        <v/>
      </c>
      <c r="K426" s="292" t="n">
        <f aca="false">$K$388+COUNTIF($Q$389:Q426,"&gt;0")</f>
        <v>0</v>
      </c>
      <c r="L426" s="292" t="str">
        <f aca="false">"Зарядные устройства EU"</f>
        <v>Зарядные устройства EU</v>
      </c>
      <c r="M426" s="292" t="str">
        <f aca="false">IF(ISBLANK('Зарядные устройства EU'!$A$131),"",'Зарядные устройства EU'!$A$131)</f>
        <v>BA72A Spring зарядное устройство с одним портом QC3.0  набор (Type-C)(EU)</v>
      </c>
      <c r="N426" s="292" t="str">
        <f aca="false">IF(ISBLANK('Зарядные устройства EU'!$D$131),"",'Зарядные устройства EU'!$D$131)</f>
        <v>6974443388589</v>
      </c>
      <c r="O426" s="292" t="str">
        <f aca="false">IF(ISBLANK('Зарядные устройства EU'!$E$131),"",'Зарядные устройства EU'!$E$131)</f>
        <v>черный</v>
      </c>
      <c r="P426" s="292" t="str">
        <f aca="false">"ед."</f>
        <v>ед.</v>
      </c>
      <c r="Q426" s="292" t="n">
        <f aca="false">N('Зарядные устройства EU'!$G$131)</f>
        <v>0</v>
      </c>
      <c r="R426" s="299" t="n">
        <f aca="false">IF(ISBLANK('Зарядные устройства EU'!$F$131),"",'Зарядные устройства EU'!$F$131)</f>
        <v>171.25</v>
      </c>
      <c r="S426" s="292" t="str">
        <f aca="false">IF(ISBLANK('Зарядные устройства EU'!$H$131),"",'Зарядные устройства EU'!$H$131)</f>
        <v/>
      </c>
    </row>
    <row r="427" customFormat="false" ht="66" hidden="false" customHeight="true" outlineLevel="0" collapsed="false">
      <c r="A427" s="291" t="str">
        <f aca="true">IF(ISNUMBER($J427),INDIRECT("L"&amp;($J427+4)),"")</f>
        <v/>
      </c>
      <c r="B427" s="291" t="str">
        <f aca="true">IF(ISNUMBER($J427),INDIRECT("M"&amp;($J427+4)),"")</f>
        <v/>
      </c>
      <c r="C427" s="296" t="str">
        <f aca="true">IF(ISNUMBER($J427),INDIRECT("N"&amp;($J427+4)),"")</f>
        <v/>
      </c>
      <c r="D427" s="291" t="str">
        <f aca="true">IF(ISNUMBER($J427),INDIRECT("O"&amp;($J427+4)),"")</f>
        <v/>
      </c>
      <c r="E427" s="291" t="str">
        <f aca="true">IF(ISNUMBER($J427),INDIRECT("P"&amp;($J427+4)),"")</f>
        <v/>
      </c>
      <c r="F427" s="300" t="str">
        <f aca="true">IF(ISNUMBER($J427),INDIRECT("Q"&amp;($J427+4)),"")</f>
        <v/>
      </c>
      <c r="G427" s="298" t="str">
        <f aca="true">IF(ISNUMBER($J427),INDIRECT("R"&amp;($J427+4)),"")</f>
        <v/>
      </c>
      <c r="H427" s="298" t="str">
        <f aca="true">IF(ISNUMBER($J427),INDIRECT("S"&amp;($J427+4)),"")</f>
        <v/>
      </c>
      <c r="J427" s="292" t="str">
        <f aca="true">IF(423&lt;=$K$1,MATCH(422.5,INDIRECT("$K$4:$K$1374"),1),"")</f>
        <v/>
      </c>
      <c r="K427" s="292" t="n">
        <f aca="false">$K$388+COUNTIF($Q$389:Q427,"&gt;0")</f>
        <v>0</v>
      </c>
      <c r="L427" s="292" t="str">
        <f aca="false">"Зарядные устройства EU"</f>
        <v>Зарядные устройства EU</v>
      </c>
      <c r="M427" s="292" t="str">
        <f aca="false">IF(ISBLANK('Зарядные устройства EU'!$A$131),"",'Зарядные устройства EU'!$A$131)</f>
        <v>BA72A Spring зарядное устройство с одним портом QC3.0  набор (Type-C)(EU)</v>
      </c>
      <c r="N427" s="292" t="str">
        <f aca="false">IF(ISBLANK('Зарядные устройства EU'!$D$132),"",'Зарядные устройства EU'!$D$132)</f>
        <v>6974443388596</v>
      </c>
      <c r="O427" s="292" t="str">
        <f aca="false">IF(ISBLANK('Зарядные устройства EU'!$E$132),"",'Зарядные устройства EU'!$E$132)</f>
        <v>белый</v>
      </c>
      <c r="P427" s="292" t="str">
        <f aca="false">"ед."</f>
        <v>ед.</v>
      </c>
      <c r="Q427" s="292" t="n">
        <f aca="false">N('Зарядные устройства EU'!$G$132)</f>
        <v>0</v>
      </c>
      <c r="R427" s="299" t="n">
        <f aca="false">IF(ISBLANK('Зарядные устройства EU'!$F$132),"",'Зарядные устройства EU'!$F$132)</f>
        <v>171.25</v>
      </c>
      <c r="S427" s="292" t="str">
        <f aca="false">IF(ISBLANK('Зарядные устройства EU'!$H$132),"",'Зарядные устройства EU'!$H$132)</f>
        <v/>
      </c>
    </row>
    <row r="428" customFormat="false" ht="66" hidden="false" customHeight="true" outlineLevel="0" collapsed="false">
      <c r="A428" s="291" t="str">
        <f aca="true">IF(ISNUMBER($J428),INDIRECT("L"&amp;($J428+4)),"")</f>
        <v/>
      </c>
      <c r="B428" s="291" t="str">
        <f aca="true">IF(ISNUMBER($J428),INDIRECT("M"&amp;($J428+4)),"")</f>
        <v/>
      </c>
      <c r="C428" s="296" t="str">
        <f aca="true">IF(ISNUMBER($J428),INDIRECT("N"&amp;($J428+4)),"")</f>
        <v/>
      </c>
      <c r="D428" s="291" t="str">
        <f aca="true">IF(ISNUMBER($J428),INDIRECT("O"&amp;($J428+4)),"")</f>
        <v/>
      </c>
      <c r="E428" s="291" t="str">
        <f aca="true">IF(ISNUMBER($J428),INDIRECT("P"&amp;($J428+4)),"")</f>
        <v/>
      </c>
      <c r="F428" s="300" t="str">
        <f aca="true">IF(ISNUMBER($J428),INDIRECT("Q"&amp;($J428+4)),"")</f>
        <v/>
      </c>
      <c r="G428" s="298" t="str">
        <f aca="true">IF(ISNUMBER($J428),INDIRECT("R"&amp;($J428+4)),"")</f>
        <v/>
      </c>
      <c r="H428" s="298" t="str">
        <f aca="true">IF(ISNUMBER($J428),INDIRECT("S"&amp;($J428+4)),"")</f>
        <v/>
      </c>
      <c r="J428" s="292" t="str">
        <f aca="true">IF(424&lt;=$K$1,MATCH(423.5,INDIRECT("$K$4:$K$1374"),1),"")</f>
        <v/>
      </c>
      <c r="K428" s="292" t="n">
        <f aca="false">$K$388+COUNTIF($Q$389:Q428,"&gt;0")</f>
        <v>0</v>
      </c>
      <c r="L428" s="292" t="str">
        <f aca="false">"Зарядные устройства EU"</f>
        <v>Зарядные устройства EU</v>
      </c>
      <c r="M428" s="292" t="str">
        <f aca="false">IF(ISBLANK('Зарядные устройства EU'!$A$133),"",'Зарядные устройства EU'!$A$133)</f>
        <v>BA53A Powerway зарядное устройство с двумя портами набор (Type-C) (EU)</v>
      </c>
      <c r="N428" s="292" t="str">
        <f aca="false">IF(ISBLANK('Зарядные устройства EU'!$D$133),"",'Зарядные устройства EU'!$D$133)</f>
        <v>6931474739209</v>
      </c>
      <c r="O428" s="292" t="str">
        <f aca="false">IF(ISBLANK('Зарядные устройства EU'!$E$133),"",'Зарядные устройства EU'!$E$133)</f>
        <v>белый</v>
      </c>
      <c r="P428" s="292" t="str">
        <f aca="false">"ед."</f>
        <v>ед.</v>
      </c>
      <c r="Q428" s="292" t="n">
        <f aca="false">N('Зарядные устройства EU'!$G$133)</f>
        <v>0</v>
      </c>
      <c r="R428" s="299" t="n">
        <f aca="false">IF(ISBLANK('Зарядные устройства EU'!$F$133),"",'Зарядные устройства EU'!$F$133)</f>
        <v>176.14</v>
      </c>
      <c r="S428" s="292" t="str">
        <f aca="false">IF(ISBLANK('Зарядные устройства EU'!$H$133),"",'Зарядные устройства EU'!$H$133)</f>
        <v/>
      </c>
    </row>
    <row r="429" customFormat="false" ht="66" hidden="false" customHeight="true" outlineLevel="0" collapsed="false">
      <c r="A429" s="291" t="str">
        <f aca="true">IF(ISNUMBER($J429),INDIRECT("L"&amp;($J429+4)),"")</f>
        <v/>
      </c>
      <c r="B429" s="291" t="str">
        <f aca="true">IF(ISNUMBER($J429),INDIRECT("M"&amp;($J429+4)),"")</f>
        <v/>
      </c>
      <c r="C429" s="296" t="str">
        <f aca="true">IF(ISNUMBER($J429),INDIRECT("N"&amp;($J429+4)),"")</f>
        <v/>
      </c>
      <c r="D429" s="291" t="str">
        <f aca="true">IF(ISNUMBER($J429),INDIRECT("O"&amp;($J429+4)),"")</f>
        <v/>
      </c>
      <c r="E429" s="291" t="str">
        <f aca="true">IF(ISNUMBER($J429),INDIRECT("P"&amp;($J429+4)),"")</f>
        <v/>
      </c>
      <c r="F429" s="300" t="str">
        <f aca="true">IF(ISNUMBER($J429),INDIRECT("Q"&amp;($J429+4)),"")</f>
        <v/>
      </c>
      <c r="G429" s="298" t="str">
        <f aca="true">IF(ISNUMBER($J429),INDIRECT("R"&amp;($J429+4)),"")</f>
        <v/>
      </c>
      <c r="H429" s="298" t="str">
        <f aca="true">IF(ISNUMBER($J429),INDIRECT("S"&amp;($J429+4)),"")</f>
        <v/>
      </c>
      <c r="J429" s="292" t="str">
        <f aca="true">IF(425&lt;=$K$1,MATCH(424.5,INDIRECT("$K$4:$K$1374"),1),"")</f>
        <v/>
      </c>
      <c r="K429" s="292" t="n">
        <f aca="false">$K$388+COUNTIF($Q$389:Q429,"&gt;0")</f>
        <v>0</v>
      </c>
      <c r="L429" s="292" t="str">
        <f aca="false">"Зарядные устройства EU"</f>
        <v>Зарядные устройства EU</v>
      </c>
      <c r="M429" s="292" t="str">
        <f aca="false">IF(ISBLANK('Зарядные устройства EU'!$A$134),"",'Зарядные устройства EU'!$A$134)</f>
        <v>BA46A Premium PD+QC3.0 зарядный адаптер (EU)</v>
      </c>
      <c r="N429" s="292" t="str">
        <f aca="false">IF(ISBLANK('Зарядные устройства EU'!$D$134),"",'Зарядные устройства EU'!$D$134)</f>
        <v>6931474727336</v>
      </c>
      <c r="O429" s="292" t="str">
        <f aca="false">IF(ISBLANK('Зарядные устройства EU'!$E$134),"",'Зарядные устройства EU'!$E$134)</f>
        <v>черный</v>
      </c>
      <c r="P429" s="292" t="str">
        <f aca="false">"ед."</f>
        <v>ед.</v>
      </c>
      <c r="Q429" s="292" t="n">
        <f aca="false">N('Зарядные устройства EU'!$G$134)</f>
        <v>0</v>
      </c>
      <c r="R429" s="299" t="n">
        <f aca="false">IF(ISBLANK('Зарядные устройства EU'!$F$134),"",'Зарядные устройства EU'!$F$134)</f>
        <v>228.33</v>
      </c>
      <c r="S429" s="292" t="str">
        <f aca="false">IF(ISBLANK('Зарядные устройства EU'!$H$134),"",'Зарядные устройства EU'!$H$134)</f>
        <v/>
      </c>
    </row>
    <row r="430" customFormat="false" ht="66" hidden="false" customHeight="true" outlineLevel="0" collapsed="false">
      <c r="A430" s="291" t="str">
        <f aca="true">IF(ISNUMBER($J430),INDIRECT("L"&amp;($J430+4)),"")</f>
        <v/>
      </c>
      <c r="B430" s="291" t="str">
        <f aca="true">IF(ISNUMBER($J430),INDIRECT("M"&amp;($J430+4)),"")</f>
        <v/>
      </c>
      <c r="C430" s="296" t="str">
        <f aca="true">IF(ISNUMBER($J430),INDIRECT("N"&amp;($J430+4)),"")</f>
        <v/>
      </c>
      <c r="D430" s="291" t="str">
        <f aca="true">IF(ISNUMBER($J430),INDIRECT("O"&amp;($J430+4)),"")</f>
        <v/>
      </c>
      <c r="E430" s="291" t="str">
        <f aca="true">IF(ISNUMBER($J430),INDIRECT("P"&amp;($J430+4)),"")</f>
        <v/>
      </c>
      <c r="F430" s="300" t="str">
        <f aca="true">IF(ISNUMBER($J430),INDIRECT("Q"&amp;($J430+4)),"")</f>
        <v/>
      </c>
      <c r="G430" s="298" t="str">
        <f aca="true">IF(ISNUMBER($J430),INDIRECT("R"&amp;($J430+4)),"")</f>
        <v/>
      </c>
      <c r="H430" s="298" t="str">
        <f aca="true">IF(ISNUMBER($J430),INDIRECT("S"&amp;($J430+4)),"")</f>
        <v/>
      </c>
      <c r="J430" s="292" t="str">
        <f aca="true">IF(426&lt;=$K$1,MATCH(425.5,INDIRECT("$K$4:$K$1374"),1),"")</f>
        <v/>
      </c>
      <c r="K430" s="292" t="n">
        <f aca="false">$K$388+COUNTIF($Q$389:Q430,"&gt;0")</f>
        <v>0</v>
      </c>
      <c r="L430" s="292" t="str">
        <f aca="false">"Зарядные устройства EU"</f>
        <v>Зарядные устройства EU</v>
      </c>
      <c r="M430" s="292" t="str">
        <f aca="false">IF(ISBLANK('Зарядные устройства EU'!$A$134),"",'Зарядные устройства EU'!$A$134)</f>
        <v>BA46A Premium PD+QC3.0 зарядный адаптер (EU)</v>
      </c>
      <c r="N430" s="292" t="str">
        <f aca="false">IF(ISBLANK('Зарядные устройства EU'!$D$135),"",'Зарядные устройства EU'!$D$135)</f>
        <v>6931474727343</v>
      </c>
      <c r="O430" s="292" t="str">
        <f aca="false">IF(ISBLANK('Зарядные устройства EU'!$E$135),"",'Зарядные устройства EU'!$E$135)</f>
        <v>белый</v>
      </c>
      <c r="P430" s="292" t="str">
        <f aca="false">"ед."</f>
        <v>ед.</v>
      </c>
      <c r="Q430" s="292" t="n">
        <f aca="false">N('Зарядные устройства EU'!$G$135)</f>
        <v>0</v>
      </c>
      <c r="R430" s="299" t="n">
        <f aca="false">IF(ISBLANK('Зарядные устройства EU'!$F$135),"",'Зарядные устройства EU'!$F$135)</f>
        <v>228.33</v>
      </c>
      <c r="S430" s="292" t="str">
        <f aca="false">IF(ISBLANK('Зарядные устройства EU'!$H$135),"",'Зарядные устройства EU'!$H$135)</f>
        <v/>
      </c>
    </row>
    <row r="431" customFormat="false" ht="66" hidden="false" customHeight="true" outlineLevel="0" collapsed="false">
      <c r="A431" s="291" t="str">
        <f aca="true">IF(ISNUMBER($J431),INDIRECT("L"&amp;($J431+4)),"")</f>
        <v/>
      </c>
      <c r="B431" s="291" t="str">
        <f aca="true">IF(ISNUMBER($J431),INDIRECT("M"&amp;($J431+4)),"")</f>
        <v/>
      </c>
      <c r="C431" s="296" t="str">
        <f aca="true">IF(ISNUMBER($J431),INDIRECT("N"&amp;($J431+4)),"")</f>
        <v/>
      </c>
      <c r="D431" s="291" t="str">
        <f aca="true">IF(ISNUMBER($J431),INDIRECT("O"&amp;($J431+4)),"")</f>
        <v/>
      </c>
      <c r="E431" s="291" t="str">
        <f aca="true">IF(ISNUMBER($J431),INDIRECT("P"&amp;($J431+4)),"")</f>
        <v/>
      </c>
      <c r="F431" s="300" t="str">
        <f aca="true">IF(ISNUMBER($J431),INDIRECT("Q"&amp;($J431+4)),"")</f>
        <v/>
      </c>
      <c r="G431" s="298" t="str">
        <f aca="true">IF(ISNUMBER($J431),INDIRECT("R"&amp;($J431+4)),"")</f>
        <v/>
      </c>
      <c r="H431" s="298" t="str">
        <f aca="true">IF(ISNUMBER($J431),INDIRECT("S"&amp;($J431+4)),"")</f>
        <v/>
      </c>
      <c r="J431" s="292" t="str">
        <f aca="true">IF(427&lt;=$K$1,MATCH(426.5,INDIRECT("$K$4:$K$1374"),1),"")</f>
        <v/>
      </c>
      <c r="K431" s="292" t="n">
        <f aca="false">$K$388+COUNTIF($Q$389:Q431,"&gt;0")</f>
        <v>0</v>
      </c>
      <c r="L431" s="292" t="str">
        <f aca="false">"Зарядные устройства EU"</f>
        <v>Зарядные устройства EU</v>
      </c>
      <c r="M431" s="292" t="str">
        <f aca="false">IF(ISBLANK('Зарядные устройства EU'!$A$136),"",'Зарядные устройства EU'!$A$136)</f>
        <v>BA38A Plus Speedy PD20W зарядное устройство (EU)</v>
      </c>
      <c r="N431" s="292" t="str">
        <f aca="false">IF(ISBLANK('Зарядные устройства EU'!$D$136),"",'Зарядные устройства EU'!$D$136)</f>
        <v>6931474746870</v>
      </c>
      <c r="O431" s="292" t="str">
        <f aca="false">IF(ISBLANK('Зарядные устройства EU'!$E$136),"",'Зарядные устройства EU'!$E$136)</f>
        <v>белый</v>
      </c>
      <c r="P431" s="292" t="str">
        <f aca="false">"ед."</f>
        <v>ед.</v>
      </c>
      <c r="Q431" s="292" t="n">
        <f aca="false">N('Зарядные устройства EU'!$G$136)</f>
        <v>0</v>
      </c>
      <c r="R431" s="299" t="n">
        <f aca="false">IF(ISBLANK('Зарядные устройства EU'!$F$136),"",'Зарядные устройства EU'!$F$136)</f>
        <v>154.94</v>
      </c>
      <c r="S431" s="292" t="str">
        <f aca="false">IF(ISBLANK('Зарядные устройства EU'!$H$136),"",'Зарядные устройства EU'!$H$136)</f>
        <v/>
      </c>
    </row>
    <row r="432" customFormat="false" ht="66" hidden="false" customHeight="true" outlineLevel="0" collapsed="false">
      <c r="A432" s="291" t="str">
        <f aca="true">IF(ISNUMBER($J432),INDIRECT("L"&amp;($J432+4)),"")</f>
        <v/>
      </c>
      <c r="B432" s="291" t="str">
        <f aca="true">IF(ISNUMBER($J432),INDIRECT("M"&amp;($J432+4)),"")</f>
        <v/>
      </c>
      <c r="C432" s="296" t="str">
        <f aca="true">IF(ISNUMBER($J432),INDIRECT("N"&amp;($J432+4)),"")</f>
        <v/>
      </c>
      <c r="D432" s="291" t="str">
        <f aca="true">IF(ISNUMBER($J432),INDIRECT("O"&amp;($J432+4)),"")</f>
        <v/>
      </c>
      <c r="E432" s="291" t="str">
        <f aca="true">IF(ISNUMBER($J432),INDIRECT("P"&amp;($J432+4)),"")</f>
        <v/>
      </c>
      <c r="F432" s="300" t="str">
        <f aca="true">IF(ISNUMBER($J432),INDIRECT("Q"&amp;($J432+4)),"")</f>
        <v/>
      </c>
      <c r="G432" s="298" t="str">
        <f aca="true">IF(ISNUMBER($J432),INDIRECT("R"&amp;($J432+4)),"")</f>
        <v/>
      </c>
      <c r="H432" s="298" t="str">
        <f aca="true">IF(ISNUMBER($J432),INDIRECT("S"&amp;($J432+4)),"")</f>
        <v/>
      </c>
      <c r="J432" s="292" t="str">
        <f aca="true">IF(428&lt;=$K$1,MATCH(427.5,INDIRECT("$K$4:$K$1374"),1),"")</f>
        <v/>
      </c>
      <c r="K432" s="292" t="n">
        <f aca="false">$K$388+COUNTIF($Q$389:Q432,"&gt;0")</f>
        <v>0</v>
      </c>
      <c r="L432" s="292" t="str">
        <f aca="false">"Зарядные устройства EU"</f>
        <v>Зарядные устройства EU</v>
      </c>
      <c r="M432" s="292" t="str">
        <f aca="false">IF(ISBLANK('Зарядные устройства EU'!$A$137),"",'Зарядные устройства EU'!$A$137)</f>
        <v>BA21A Long journey один выход QC3.0 зарядный адаптер (EU)</v>
      </c>
      <c r="N432" s="292" t="str">
        <f aca="false">IF(ISBLANK('Зарядные устройства EU'!$D$137),"",'Зарядные устройства EU'!$D$137)</f>
        <v>6931474702067</v>
      </c>
      <c r="O432" s="292" t="str">
        <f aca="false">IF(ISBLANK('Зарядные устройства EU'!$E$137),"",'Зарядные устройства EU'!$E$137)</f>
        <v>белый</v>
      </c>
      <c r="P432" s="292" t="str">
        <f aca="false">"ед."</f>
        <v>ед.</v>
      </c>
      <c r="Q432" s="292" t="n">
        <f aca="false">N('Зарядные устройства EU'!$G$137)</f>
        <v>0</v>
      </c>
      <c r="R432" s="299" t="n">
        <f aca="false">IF(ISBLANK('Зарядные устройства EU'!$F$137),"",'Зарядные устройства EU'!$F$137)</f>
        <v>138.63</v>
      </c>
      <c r="S432" s="292" t="str">
        <f aca="false">IF(ISBLANK('Зарядные устройства EU'!$H$137),"",'Зарядные устройства EU'!$H$137)</f>
        <v/>
      </c>
    </row>
    <row r="433" customFormat="false" ht="66" hidden="false" customHeight="true" outlineLevel="0" collapsed="false">
      <c r="A433" s="291" t="str">
        <f aca="true">IF(ISNUMBER($J433),INDIRECT("L"&amp;($J433+4)),"")</f>
        <v/>
      </c>
      <c r="B433" s="291" t="str">
        <f aca="true">IF(ISNUMBER($J433),INDIRECT("M"&amp;($J433+4)),"")</f>
        <v/>
      </c>
      <c r="C433" s="296" t="str">
        <f aca="true">IF(ISNUMBER($J433),INDIRECT("N"&amp;($J433+4)),"")</f>
        <v/>
      </c>
      <c r="D433" s="291" t="str">
        <f aca="true">IF(ISNUMBER($J433),INDIRECT("O"&amp;($J433+4)),"")</f>
        <v/>
      </c>
      <c r="E433" s="291" t="str">
        <f aca="true">IF(ISNUMBER($J433),INDIRECT("P"&amp;($J433+4)),"")</f>
        <v/>
      </c>
      <c r="F433" s="300" t="str">
        <f aca="true">IF(ISNUMBER($J433),INDIRECT("Q"&amp;($J433+4)),"")</f>
        <v/>
      </c>
      <c r="G433" s="298" t="str">
        <f aca="true">IF(ISNUMBER($J433),INDIRECT("R"&amp;($J433+4)),"")</f>
        <v/>
      </c>
      <c r="H433" s="298" t="str">
        <f aca="true">IF(ISNUMBER($J433),INDIRECT("S"&amp;($J433+4)),"")</f>
        <v/>
      </c>
      <c r="J433" s="292" t="str">
        <f aca="true">IF(429&lt;=$K$1,MATCH(428.5,INDIRECT("$K$4:$K$1374"),1),"")</f>
        <v/>
      </c>
      <c r="K433" s="292" t="n">
        <f aca="false">$K$388+COUNTIF($Q$389:Q433,"&gt;0")</f>
        <v>0</v>
      </c>
      <c r="L433" s="292" t="str">
        <f aca="false">"Зарядные устройства EU"</f>
        <v>Зарядные устройства EU</v>
      </c>
      <c r="M433" s="292" t="str">
        <f aca="false">IF(ISBLANK('Зарядные устройства EU'!$A$138),"",'Зарядные устройства EU'!$A$138)</f>
        <v>BA21A Long journey один выход QC3.0 зарядный адаптер  набор (Micro-USB)(EU)</v>
      </c>
      <c r="N433" s="292" t="str">
        <f aca="false">IF(ISBLANK('Зарядные устройства EU'!$D$138),"",'Зарядные устройства EU'!$D$138)</f>
        <v>6931474702470</v>
      </c>
      <c r="O433" s="292" t="str">
        <f aca="false">IF(ISBLANK('Зарядные устройства EU'!$E$138),"",'Зарядные устройства EU'!$E$138)</f>
        <v>белый</v>
      </c>
      <c r="P433" s="292" t="str">
        <f aca="false">"ед."</f>
        <v>ед.</v>
      </c>
      <c r="Q433" s="292" t="n">
        <f aca="false">N('Зарядные устройства EU'!$G$138)</f>
        <v>0</v>
      </c>
      <c r="R433" s="299" t="n">
        <f aca="false">IF(ISBLANK('Зарядные устройства EU'!$F$138),"",'Зарядные устройства EU'!$F$138)</f>
        <v>171.25</v>
      </c>
      <c r="S433" s="292" t="str">
        <f aca="false">IF(ISBLANK('Зарядные устройства EU'!$H$138),"",'Зарядные устройства EU'!$H$138)</f>
        <v/>
      </c>
    </row>
    <row r="434" customFormat="false" ht="66" hidden="false" customHeight="true" outlineLevel="0" collapsed="false">
      <c r="A434" s="291" t="str">
        <f aca="true">IF(ISNUMBER($J434),INDIRECT("L"&amp;($J434+4)),"")</f>
        <v/>
      </c>
      <c r="B434" s="291" t="str">
        <f aca="true">IF(ISNUMBER($J434),INDIRECT("M"&amp;($J434+4)),"")</f>
        <v/>
      </c>
      <c r="C434" s="296" t="str">
        <f aca="true">IF(ISNUMBER($J434),INDIRECT("N"&amp;($J434+4)),"")</f>
        <v/>
      </c>
      <c r="D434" s="291" t="str">
        <f aca="true">IF(ISNUMBER($J434),INDIRECT("O"&amp;($J434+4)),"")</f>
        <v/>
      </c>
      <c r="E434" s="291" t="str">
        <f aca="true">IF(ISNUMBER($J434),INDIRECT("P"&amp;($J434+4)),"")</f>
        <v/>
      </c>
      <c r="F434" s="300" t="str">
        <f aca="true">IF(ISNUMBER($J434),INDIRECT("Q"&amp;($J434+4)),"")</f>
        <v/>
      </c>
      <c r="G434" s="298" t="str">
        <f aca="true">IF(ISNUMBER($J434),INDIRECT("R"&amp;($J434+4)),"")</f>
        <v/>
      </c>
      <c r="H434" s="298" t="str">
        <f aca="true">IF(ISNUMBER($J434),INDIRECT("S"&amp;($J434+4)),"")</f>
        <v/>
      </c>
      <c r="J434" s="292" t="str">
        <f aca="true">IF(430&lt;=$K$1,MATCH(429.5,INDIRECT("$K$4:$K$1374"),1),"")</f>
        <v/>
      </c>
      <c r="K434" s="292" t="n">
        <f aca="false">$K$388+COUNTIF($Q$389:Q434,"&gt;0")</f>
        <v>0</v>
      </c>
      <c r="L434" s="292" t="str">
        <f aca="false">"Зарядные устройства EU"</f>
        <v>Зарядные устройства EU</v>
      </c>
      <c r="M434" s="292" t="str">
        <f aca="false">IF(ISBLANK('Зарядные устройства EU'!$A$139),"",'Зарядные устройства EU'!$A$139)</f>
        <v>BA21A Long journey один выход QC3.0 зарядный адаптер  набор (Type-C)(EU)</v>
      </c>
      <c r="N434" s="292" t="str">
        <f aca="false">IF(ISBLANK('Зарядные устройства EU'!$D$139),"",'Зарядные устройства EU'!$D$139)</f>
        <v>6931474702487</v>
      </c>
      <c r="O434" s="292" t="str">
        <f aca="false">IF(ISBLANK('Зарядные устройства EU'!$E$139),"",'Зарядные устройства EU'!$E$139)</f>
        <v>белый</v>
      </c>
      <c r="P434" s="292" t="str">
        <f aca="false">"ед."</f>
        <v>ед.</v>
      </c>
      <c r="Q434" s="292" t="n">
        <f aca="false">N('Зарядные устройства EU'!$G$139)</f>
        <v>0</v>
      </c>
      <c r="R434" s="299" t="n">
        <f aca="false">IF(ISBLANK('Зарядные устройства EU'!$F$139),"",'Зарядные устройства EU'!$F$139)</f>
        <v>187.56</v>
      </c>
      <c r="S434" s="292" t="str">
        <f aca="false">IF(ISBLANK('Зарядные устройства EU'!$H$139),"",'Зарядные устройства EU'!$H$139)</f>
        <v/>
      </c>
    </row>
    <row r="435" customFormat="false" ht="66" hidden="false" customHeight="true" outlineLevel="0" collapsed="false">
      <c r="A435" s="291" t="str">
        <f aca="true">IF(ISNUMBER($J435),INDIRECT("L"&amp;($J435+4)),"")</f>
        <v/>
      </c>
      <c r="B435" s="291" t="str">
        <f aca="true">IF(ISNUMBER($J435),INDIRECT("M"&amp;($J435+4)),"")</f>
        <v/>
      </c>
      <c r="C435" s="296" t="str">
        <f aca="true">IF(ISNUMBER($J435),INDIRECT("N"&amp;($J435+4)),"")</f>
        <v/>
      </c>
      <c r="D435" s="291" t="str">
        <f aca="true">IF(ISNUMBER($J435),INDIRECT("O"&amp;($J435+4)),"")</f>
        <v/>
      </c>
      <c r="E435" s="291" t="str">
        <f aca="true">IF(ISNUMBER($J435),INDIRECT("P"&amp;($J435+4)),"")</f>
        <v/>
      </c>
      <c r="F435" s="300" t="str">
        <f aca="true">IF(ISNUMBER($J435),INDIRECT("Q"&amp;($J435+4)),"")</f>
        <v/>
      </c>
      <c r="G435" s="298" t="str">
        <f aca="true">IF(ISNUMBER($J435),INDIRECT("R"&amp;($J435+4)),"")</f>
        <v/>
      </c>
      <c r="H435" s="298" t="str">
        <f aca="true">IF(ISNUMBER($J435),INDIRECT("S"&amp;($J435+4)),"")</f>
        <v/>
      </c>
      <c r="J435" s="292" t="str">
        <f aca="true">IF(431&lt;=$K$1,MATCH(430.5,INDIRECT("$K$4:$K$1374"),1),"")</f>
        <v/>
      </c>
      <c r="K435" s="292" t="n">
        <f aca="false">$K$388+COUNTIF($Q$389:Q435,"&gt;0")</f>
        <v>0</v>
      </c>
      <c r="L435" s="292" t="str">
        <f aca="false">"Зарядные устройства EU"</f>
        <v>Зарядные устройства EU</v>
      </c>
      <c r="M435" s="292" t="str">
        <f aca="false">IF(ISBLANK('Зарядные устройства EU'!$A$140),"",'Зарядные устройства EU'!$A$140)</f>
        <v>BA21A Pro Long journey зарядное устройство с одним портом PD20W (EU)</v>
      </c>
      <c r="N435" s="292" t="str">
        <f aca="false">IF(ISBLANK('Зарядные устройства EU'!$D$140),"",'Зарядные устройства EU'!$D$140)</f>
        <v>6941991111402</v>
      </c>
      <c r="O435" s="292" t="str">
        <f aca="false">IF(ISBLANK('Зарядные устройства EU'!$E$140),"",'Зарядные устройства EU'!$E$140)</f>
        <v>белый</v>
      </c>
      <c r="P435" s="292" t="str">
        <f aca="false">"ед."</f>
        <v>ед.</v>
      </c>
      <c r="Q435" s="292" t="n">
        <f aca="false">N('Зарядные устройства EU'!$G$140)</f>
        <v>0</v>
      </c>
      <c r="R435" s="299" t="n">
        <f aca="false">IF(ISBLANK('Зарядные устройства EU'!$F$140),"",'Зарядные устройства EU'!$F$140)</f>
        <v>138.63</v>
      </c>
      <c r="S435" s="292" t="str">
        <f aca="false">IF(ISBLANK('Зарядные устройства EU'!$H$140),"",'Зарядные устройства EU'!$H$140)</f>
        <v/>
      </c>
    </row>
    <row r="436" customFormat="false" ht="66" hidden="false" customHeight="true" outlineLevel="0" collapsed="false">
      <c r="A436" s="291" t="str">
        <f aca="true">IF(ISNUMBER($J436),INDIRECT("L"&amp;($J436+4)),"")</f>
        <v/>
      </c>
      <c r="B436" s="291" t="str">
        <f aca="true">IF(ISNUMBER($J436),INDIRECT("M"&amp;($J436+4)),"")</f>
        <v/>
      </c>
      <c r="C436" s="296" t="str">
        <f aca="true">IF(ISNUMBER($J436),INDIRECT("N"&amp;($J436+4)),"")</f>
        <v/>
      </c>
      <c r="D436" s="291" t="str">
        <f aca="true">IF(ISNUMBER($J436),INDIRECT("O"&amp;($J436+4)),"")</f>
        <v/>
      </c>
      <c r="E436" s="291" t="str">
        <f aca="true">IF(ISNUMBER($J436),INDIRECT("P"&amp;($J436+4)),"")</f>
        <v/>
      </c>
      <c r="F436" s="300" t="str">
        <f aca="true">IF(ISNUMBER($J436),INDIRECT("Q"&amp;($J436+4)),"")</f>
        <v/>
      </c>
      <c r="G436" s="298" t="str">
        <f aca="true">IF(ISNUMBER($J436),INDIRECT("R"&amp;($J436+4)),"")</f>
        <v/>
      </c>
      <c r="H436" s="298" t="str">
        <f aca="true">IF(ISNUMBER($J436),INDIRECT("S"&amp;($J436+4)),"")</f>
        <v/>
      </c>
      <c r="J436" s="292" t="str">
        <f aca="true">IF(432&lt;=$K$1,MATCH(431.5,INDIRECT("$K$4:$K$1374"),1),"")</f>
        <v/>
      </c>
      <c r="K436" s="292" t="n">
        <f aca="false">$K$388+COUNTIF($Q$389:Q436,"&gt;0")</f>
        <v>0</v>
      </c>
      <c r="L436" s="292" t="str">
        <f aca="false">"Зарядные устройства EU"</f>
        <v>Зарядные устройства EU</v>
      </c>
      <c r="M436" s="292" t="str">
        <f aca="false">IF(ISBLANK('Зарядные устройства EU'!$A$141),"",'Зарядные устройства EU'!$A$141)</f>
        <v>BA21A Pro Long journey зарядное устройство с одним портом набор (C на iP)(EU)</v>
      </c>
      <c r="N436" s="292" t="str">
        <f aca="false">IF(ISBLANK('Зарядные устройства EU'!$D$141),"",'Зарядные устройства EU'!$D$141)</f>
        <v>6941991111419</v>
      </c>
      <c r="O436" s="292" t="str">
        <f aca="false">IF(ISBLANK('Зарядные устройства EU'!$E$141),"",'Зарядные устройства EU'!$E$141)</f>
        <v>белый</v>
      </c>
      <c r="P436" s="292" t="str">
        <f aca="false">"ед."</f>
        <v>ед.</v>
      </c>
      <c r="Q436" s="292" t="n">
        <f aca="false">N('Зарядные устройства EU'!$G$141)</f>
        <v>0</v>
      </c>
      <c r="R436" s="299" t="n">
        <f aca="false">IF(ISBLANK('Зарядные устройства EU'!$F$141),"",'Зарядные устройства EU'!$F$141)</f>
        <v>212.02</v>
      </c>
      <c r="S436" s="292" t="str">
        <f aca="false">IF(ISBLANK('Зарядные устройства EU'!$H$141),"",'Зарядные устройства EU'!$H$141)</f>
        <v/>
      </c>
    </row>
    <row r="437" customFormat="false" ht="66" hidden="false" customHeight="true" outlineLevel="0" collapsed="false">
      <c r="A437" s="291" t="str">
        <f aca="true">IF(ISNUMBER($J437),INDIRECT("L"&amp;($J437+4)),"")</f>
        <v/>
      </c>
      <c r="B437" s="291" t="str">
        <f aca="true">IF(ISNUMBER($J437),INDIRECT("M"&amp;($J437+4)),"")</f>
        <v/>
      </c>
      <c r="C437" s="296" t="str">
        <f aca="true">IF(ISNUMBER($J437),INDIRECT("N"&amp;($J437+4)),"")</f>
        <v/>
      </c>
      <c r="D437" s="291" t="str">
        <f aca="true">IF(ISNUMBER($J437),INDIRECT("O"&amp;($J437+4)),"")</f>
        <v/>
      </c>
      <c r="E437" s="291" t="str">
        <f aca="true">IF(ISNUMBER($J437),INDIRECT("P"&amp;($J437+4)),"")</f>
        <v/>
      </c>
      <c r="F437" s="300" t="str">
        <f aca="true">IF(ISNUMBER($J437),INDIRECT("Q"&amp;($J437+4)),"")</f>
        <v/>
      </c>
      <c r="G437" s="298" t="str">
        <f aca="true">IF(ISNUMBER($J437),INDIRECT("R"&amp;($J437+4)),"")</f>
        <v/>
      </c>
      <c r="H437" s="298" t="str">
        <f aca="true">IF(ISNUMBER($J437),INDIRECT("S"&amp;($J437+4)),"")</f>
        <v/>
      </c>
      <c r="J437" s="292" t="str">
        <f aca="true">IF(433&lt;=$K$1,MATCH(432.5,INDIRECT("$K$4:$K$1374"),1),"")</f>
        <v/>
      </c>
      <c r="K437" s="292" t="n">
        <f aca="false">$K$388+COUNTIF($Q$389:Q437,"&gt;0")</f>
        <v>0</v>
      </c>
      <c r="L437" s="292" t="str">
        <f aca="false">"Зарядные устройства EU"</f>
        <v>Зарядные устройства EU</v>
      </c>
      <c r="M437" s="292" t="str">
        <f aca="false">IF(ISBLANK('Зарядные устройства EU'!$A$142),"",'Зарядные устройства EU'!$A$142)</f>
        <v>BA21A Pro Long journey зарядное устройство с одним портом набор (C на C)(EU)</v>
      </c>
      <c r="N437" s="292" t="str">
        <f aca="false">IF(ISBLANK('Зарядные устройства EU'!$D$142),"",'Зарядные устройства EU'!$D$142)</f>
        <v>6941991111426</v>
      </c>
      <c r="O437" s="292" t="str">
        <f aca="false">IF(ISBLANK('Зарядные устройства EU'!$E$142),"",'Зарядные устройства EU'!$E$142)</f>
        <v>белый</v>
      </c>
      <c r="P437" s="292" t="str">
        <f aca="false">"ед."</f>
        <v>ед.</v>
      </c>
      <c r="Q437" s="292" t="n">
        <f aca="false">N('Зарядные устройства EU'!$G$142)</f>
        <v>0</v>
      </c>
      <c r="R437" s="299" t="n">
        <f aca="false">IF(ISBLANK('Зарядные устройства EU'!$F$142),"",'Зарядные устройства EU'!$F$142)</f>
        <v>179.4</v>
      </c>
      <c r="S437" s="292" t="str">
        <f aca="false">IF(ISBLANK('Зарядные устройства EU'!$H$142),"",'Зарядные устройства EU'!$H$142)</f>
        <v/>
      </c>
    </row>
    <row r="438" customFormat="false" ht="66" hidden="false" customHeight="true" outlineLevel="0" collapsed="false">
      <c r="A438" s="291" t="str">
        <f aca="true">IF(ISNUMBER($J438),INDIRECT("L"&amp;($J438+4)),"")</f>
        <v/>
      </c>
      <c r="B438" s="291" t="str">
        <f aca="true">IF(ISNUMBER($J438),INDIRECT("M"&amp;($J438+4)),"")</f>
        <v/>
      </c>
      <c r="C438" s="296" t="str">
        <f aca="true">IF(ISNUMBER($J438),INDIRECT("N"&amp;($J438+4)),"")</f>
        <v/>
      </c>
      <c r="D438" s="291" t="str">
        <f aca="true">IF(ISNUMBER($J438),INDIRECT("O"&amp;($J438+4)),"")</f>
        <v/>
      </c>
      <c r="E438" s="291" t="str">
        <f aca="true">IF(ISNUMBER($J438),INDIRECT("P"&amp;($J438+4)),"")</f>
        <v/>
      </c>
      <c r="F438" s="300" t="str">
        <f aca="true">IF(ISNUMBER($J438),INDIRECT("Q"&amp;($J438+4)),"")</f>
        <v/>
      </c>
      <c r="G438" s="298" t="str">
        <f aca="true">IF(ISNUMBER($J438),INDIRECT("R"&amp;($J438+4)),"")</f>
        <v/>
      </c>
      <c r="H438" s="298" t="str">
        <f aca="true">IF(ISNUMBER($J438),INDIRECT("S"&amp;($J438+4)),"")</f>
        <v/>
      </c>
      <c r="J438" s="292" t="str">
        <f aca="true">IF(434&lt;=$K$1,MATCH(433.5,INDIRECT("$K$4:$K$1374"),1),"")</f>
        <v/>
      </c>
      <c r="K438" s="292" t="n">
        <f aca="false">$K$388+COUNTIF($Q$389:Q438,"&gt;0")</f>
        <v>0</v>
      </c>
      <c r="L438" s="292" t="str">
        <f aca="false">"Зарядные устройства EU"</f>
        <v>Зарядные устройства EU</v>
      </c>
      <c r="M438" s="292" t="str">
        <f aca="false">IF(ISBLANK('Зарядные устройства EU'!$A$143),"",'Зарядные устройства EU'!$A$143)</f>
        <v>BA20A Sharpодин выход зарядный адаптер (EU)</v>
      </c>
      <c r="N438" s="292" t="str">
        <f aca="false">IF(ISBLANK('Зарядные устройства EU'!$D$143),"",'Зарядные устройства EU'!$D$143)</f>
        <v>6931474700681</v>
      </c>
      <c r="O438" s="292" t="str">
        <f aca="false">IF(ISBLANK('Зарядные устройства EU'!$E$143),"",'Зарядные устройства EU'!$E$143)</f>
        <v>белый</v>
      </c>
      <c r="P438" s="292" t="str">
        <f aca="false">"ед."</f>
        <v>ед.</v>
      </c>
      <c r="Q438" s="292" t="n">
        <f aca="false">N('Зарядные устройства EU'!$G$143)</f>
        <v>0</v>
      </c>
      <c r="R438" s="299" t="n">
        <f aca="false">IF(ISBLANK('Зарядные устройства EU'!$F$143),"",'Зарядные устройства EU'!$F$143)</f>
        <v>89.7</v>
      </c>
      <c r="S438" s="292" t="str">
        <f aca="false">IF(ISBLANK('Зарядные устройства EU'!$H$143),"",'Зарядные устройства EU'!$H$143)</f>
        <v/>
      </c>
    </row>
    <row r="439" customFormat="false" ht="66" hidden="false" customHeight="true" outlineLevel="0" collapsed="false">
      <c r="A439" s="291" t="str">
        <f aca="true">IF(ISNUMBER($J439),INDIRECT("L"&amp;($J439+4)),"")</f>
        <v/>
      </c>
      <c r="B439" s="291" t="str">
        <f aca="true">IF(ISNUMBER($J439),INDIRECT("M"&amp;($J439+4)),"")</f>
        <v/>
      </c>
      <c r="C439" s="296" t="str">
        <f aca="true">IF(ISNUMBER($J439),INDIRECT("N"&amp;($J439+4)),"")</f>
        <v/>
      </c>
      <c r="D439" s="291" t="str">
        <f aca="true">IF(ISNUMBER($J439),INDIRECT("O"&amp;($J439+4)),"")</f>
        <v/>
      </c>
      <c r="E439" s="291" t="str">
        <f aca="true">IF(ISNUMBER($J439),INDIRECT("P"&amp;($J439+4)),"")</f>
        <v/>
      </c>
      <c r="F439" s="300" t="str">
        <f aca="true">IF(ISNUMBER($J439),INDIRECT("Q"&amp;($J439+4)),"")</f>
        <v/>
      </c>
      <c r="G439" s="298" t="str">
        <f aca="true">IF(ISNUMBER($J439),INDIRECT("R"&amp;($J439+4)),"")</f>
        <v/>
      </c>
      <c r="H439" s="298" t="str">
        <f aca="true">IF(ISNUMBER($J439),INDIRECT("S"&amp;($J439+4)),"")</f>
        <v/>
      </c>
      <c r="J439" s="292" t="str">
        <f aca="true">IF(435&lt;=$K$1,MATCH(434.5,INDIRECT("$K$4:$K$1374"),1),"")</f>
        <v/>
      </c>
      <c r="K439" s="292" t="n">
        <f aca="false">$K$388+COUNTIF($Q$389:Q439,"&gt;0")</f>
        <v>0</v>
      </c>
      <c r="L439" s="292" t="str">
        <f aca="false">"Зарядные устройства EU"</f>
        <v>Зарядные устройства EU</v>
      </c>
      <c r="M439" s="292" t="str">
        <f aca="false">IF(ISBLANK('Зарядные устройства EU'!$A$143),"",'Зарядные устройства EU'!$A$143)</f>
        <v>BA20A Sharpодин выход зарядный адаптер (EU)</v>
      </c>
      <c r="N439" s="292" t="str">
        <f aca="false">IF(ISBLANK('Зарядные устройства EU'!$D$144),"",'Зарядные устройства EU'!$D$144)</f>
        <v>6931474702081</v>
      </c>
      <c r="O439" s="292" t="str">
        <f aca="false">IF(ISBLANK('Зарядные устройства EU'!$E$144),"",'Зарядные устройства EU'!$E$144)</f>
        <v>черный</v>
      </c>
      <c r="P439" s="292" t="str">
        <f aca="false">"ед."</f>
        <v>ед.</v>
      </c>
      <c r="Q439" s="292" t="n">
        <f aca="false">N('Зарядные устройства EU'!$G$144)</f>
        <v>0</v>
      </c>
      <c r="R439" s="299" t="n">
        <f aca="false">IF(ISBLANK('Зарядные устройства EU'!$F$144),"",'Зарядные устройства EU'!$F$144)</f>
        <v>89.7</v>
      </c>
      <c r="S439" s="292" t="str">
        <f aca="false">IF(ISBLANK('Зарядные устройства EU'!$H$144),"",'Зарядные устройства EU'!$H$144)</f>
        <v/>
      </c>
    </row>
    <row r="440" customFormat="false" ht="66" hidden="false" customHeight="true" outlineLevel="0" collapsed="false">
      <c r="A440" s="291" t="str">
        <f aca="true">IF(ISNUMBER($J440),INDIRECT("L"&amp;($J440+4)),"")</f>
        <v/>
      </c>
      <c r="B440" s="291" t="str">
        <f aca="true">IF(ISNUMBER($J440),INDIRECT("M"&amp;($J440+4)),"")</f>
        <v/>
      </c>
      <c r="C440" s="296" t="str">
        <f aca="true">IF(ISNUMBER($J440),INDIRECT("N"&amp;($J440+4)),"")</f>
        <v/>
      </c>
      <c r="D440" s="291" t="str">
        <f aca="true">IF(ISNUMBER($J440),INDIRECT("O"&amp;($J440+4)),"")</f>
        <v/>
      </c>
      <c r="E440" s="291" t="str">
        <f aca="true">IF(ISNUMBER($J440),INDIRECT("P"&amp;($J440+4)),"")</f>
        <v/>
      </c>
      <c r="F440" s="300" t="str">
        <f aca="true">IF(ISNUMBER($J440),INDIRECT("Q"&amp;($J440+4)),"")</f>
        <v/>
      </c>
      <c r="G440" s="298" t="str">
        <f aca="true">IF(ISNUMBER($J440),INDIRECT("R"&amp;($J440+4)),"")</f>
        <v/>
      </c>
      <c r="H440" s="298" t="str">
        <f aca="true">IF(ISNUMBER($J440),INDIRECT("S"&amp;($J440+4)),"")</f>
        <v/>
      </c>
      <c r="J440" s="292" t="str">
        <f aca="true">IF(436&lt;=$K$1,MATCH(435.5,INDIRECT("$K$4:$K$1374"),1),"")</f>
        <v/>
      </c>
      <c r="K440" s="292" t="n">
        <f aca="false">$K$388+COUNTIF($Q$389:Q440,"&gt;0")</f>
        <v>0</v>
      </c>
      <c r="L440" s="292" t="str">
        <f aca="false">"Зарядные устройства EU"</f>
        <v>Зарядные устройства EU</v>
      </c>
      <c r="M440" s="292" t="str">
        <f aca="false">IF(ISBLANK('Зарядные устройства EU'!$A$145),"",'Зарядные устройства EU'!$A$145)</f>
        <v>BA20A Sharp один выход зарядный адаптер  набор (iP)(EU)</v>
      </c>
      <c r="N440" s="292" t="str">
        <f aca="false">IF(ISBLANK('Зарядные устройства EU'!$D$145),"",'Зарядные устройства EU'!$D$145)</f>
        <v>6931474700728</v>
      </c>
      <c r="O440" s="292" t="str">
        <f aca="false">IF(ISBLANK('Зарядные устройства EU'!$E$145),"",'Зарядные устройства EU'!$E$145)</f>
        <v>белый</v>
      </c>
      <c r="P440" s="292" t="str">
        <f aca="false">"ед."</f>
        <v>ед.</v>
      </c>
      <c r="Q440" s="292" t="n">
        <f aca="false">N('Зарядные устройства EU'!$G$145)</f>
        <v>0</v>
      </c>
      <c r="R440" s="299" t="n">
        <f aca="false">IF(ISBLANK('Зарядные устройства EU'!$F$145),"",'Зарядные устройства EU'!$F$145)</f>
        <v>130.48</v>
      </c>
      <c r="S440" s="292" t="str">
        <f aca="false">IF(ISBLANK('Зарядные устройства EU'!$H$145),"",'Зарядные устройства EU'!$H$145)</f>
        <v/>
      </c>
    </row>
    <row r="441" customFormat="false" ht="66" hidden="false" customHeight="true" outlineLevel="0" collapsed="false">
      <c r="A441" s="291" t="str">
        <f aca="true">IF(ISNUMBER($J441),INDIRECT("L"&amp;($J441+4)),"")</f>
        <v/>
      </c>
      <c r="B441" s="291" t="str">
        <f aca="true">IF(ISNUMBER($J441),INDIRECT("M"&amp;($J441+4)),"")</f>
        <v/>
      </c>
      <c r="C441" s="296" t="str">
        <f aca="true">IF(ISNUMBER($J441),INDIRECT("N"&amp;($J441+4)),"")</f>
        <v/>
      </c>
      <c r="D441" s="291" t="str">
        <f aca="true">IF(ISNUMBER($J441),INDIRECT("O"&amp;($J441+4)),"")</f>
        <v/>
      </c>
      <c r="E441" s="291" t="str">
        <f aca="true">IF(ISNUMBER($J441),INDIRECT("P"&amp;($J441+4)),"")</f>
        <v/>
      </c>
      <c r="F441" s="300" t="str">
        <f aca="true">IF(ISNUMBER($J441),INDIRECT("Q"&amp;($J441+4)),"")</f>
        <v/>
      </c>
      <c r="G441" s="298" t="str">
        <f aca="true">IF(ISNUMBER($J441),INDIRECT("R"&amp;($J441+4)),"")</f>
        <v/>
      </c>
      <c r="H441" s="298" t="str">
        <f aca="true">IF(ISNUMBER($J441),INDIRECT("S"&amp;($J441+4)),"")</f>
        <v/>
      </c>
      <c r="J441" s="292" t="str">
        <f aca="true">IF(437&lt;=$K$1,MATCH(436.5,INDIRECT("$K$4:$K$1374"),1),"")</f>
        <v/>
      </c>
      <c r="K441" s="292" t="n">
        <f aca="false">$K$388+COUNTIF($Q$389:Q441,"&gt;0")</f>
        <v>0</v>
      </c>
      <c r="L441" s="292" t="str">
        <f aca="false">"Зарядные устройства EU"</f>
        <v>Зарядные устройства EU</v>
      </c>
      <c r="M441" s="292" t="str">
        <f aca="false">IF(ISBLANK('Зарядные устройства EU'!$A$145),"",'Зарядные устройства EU'!$A$145)</f>
        <v>BA20A Sharp один выход зарядный адаптер  набор (iP)(EU)</v>
      </c>
      <c r="N441" s="292" t="str">
        <f aca="false">IF(ISBLANK('Зарядные устройства EU'!$D$146),"",'Зарядные устройства EU'!$D$146)</f>
        <v>6931474702128</v>
      </c>
      <c r="O441" s="292" t="str">
        <f aca="false">IF(ISBLANK('Зарядные устройства EU'!$E$146),"",'Зарядные устройства EU'!$E$146)</f>
        <v>черный</v>
      </c>
      <c r="P441" s="292" t="str">
        <f aca="false">"ед."</f>
        <v>ед.</v>
      </c>
      <c r="Q441" s="292" t="n">
        <f aca="false">N('Зарядные устройства EU'!$G$146)</f>
        <v>0</v>
      </c>
      <c r="R441" s="299" t="n">
        <f aca="false">IF(ISBLANK('Зарядные устройства EU'!$F$146),"",'Зарядные устройства EU'!$F$146)</f>
        <v>130.48</v>
      </c>
      <c r="S441" s="292" t="str">
        <f aca="false">IF(ISBLANK('Зарядные устройства EU'!$H$146),"",'Зарядные устройства EU'!$H$146)</f>
        <v/>
      </c>
    </row>
    <row r="442" customFormat="false" ht="66" hidden="false" customHeight="true" outlineLevel="0" collapsed="false">
      <c r="A442" s="291" t="str">
        <f aca="true">IF(ISNUMBER($J442),INDIRECT("L"&amp;($J442+4)),"")</f>
        <v/>
      </c>
      <c r="B442" s="291" t="str">
        <f aca="true">IF(ISNUMBER($J442),INDIRECT("M"&amp;($J442+4)),"")</f>
        <v/>
      </c>
      <c r="C442" s="296" t="str">
        <f aca="true">IF(ISNUMBER($J442),INDIRECT("N"&amp;($J442+4)),"")</f>
        <v/>
      </c>
      <c r="D442" s="291" t="str">
        <f aca="true">IF(ISNUMBER($J442),INDIRECT("O"&amp;($J442+4)),"")</f>
        <v/>
      </c>
      <c r="E442" s="291" t="str">
        <f aca="true">IF(ISNUMBER($J442),INDIRECT("P"&amp;($J442+4)),"")</f>
        <v/>
      </c>
      <c r="F442" s="300" t="str">
        <f aca="true">IF(ISNUMBER($J442),INDIRECT("Q"&amp;($J442+4)),"")</f>
        <v/>
      </c>
      <c r="G442" s="298" t="str">
        <f aca="true">IF(ISNUMBER($J442),INDIRECT("R"&amp;($J442+4)),"")</f>
        <v/>
      </c>
      <c r="H442" s="298" t="str">
        <f aca="true">IF(ISNUMBER($J442),INDIRECT("S"&amp;($J442+4)),"")</f>
        <v/>
      </c>
      <c r="J442" s="292" t="str">
        <f aca="true">IF(438&lt;=$K$1,MATCH(437.5,INDIRECT("$K$4:$K$1374"),1),"")</f>
        <v/>
      </c>
      <c r="K442" s="292" t="n">
        <f aca="false">$K$388+COUNTIF($Q$389:Q442,"&gt;0")</f>
        <v>0</v>
      </c>
      <c r="L442" s="292" t="str">
        <f aca="false">"Зарядные устройства EU"</f>
        <v>Зарядные устройства EU</v>
      </c>
      <c r="M442" s="292" t="str">
        <f aca="false">IF(ISBLANK('Зарядные устройства EU'!$A$147),"",'Зарядные устройства EU'!$A$147)</f>
        <v>BA20A Sharp один выход зарядный адаптер  набор (Micro-USB)(EU)</v>
      </c>
      <c r="N442" s="292" t="str">
        <f aca="false">IF(ISBLANK('Зарядные устройства EU'!$D$147),"",'Зарядные устройства EU'!$D$147)</f>
        <v>6931474700735</v>
      </c>
      <c r="O442" s="292" t="str">
        <f aca="false">IF(ISBLANK('Зарядные устройства EU'!$E$147),"",'Зарядные устройства EU'!$E$147)</f>
        <v>белый</v>
      </c>
      <c r="P442" s="292" t="str">
        <f aca="false">"ед."</f>
        <v>ед.</v>
      </c>
      <c r="Q442" s="292" t="n">
        <f aca="false">N('Зарядные устройства EU'!$G$147)</f>
        <v>0</v>
      </c>
      <c r="R442" s="299" t="n">
        <f aca="false">IF(ISBLANK('Зарядные устройства EU'!$F$147),"",'Зарядные устройства EU'!$F$147)</f>
        <v>114.17</v>
      </c>
      <c r="S442" s="292" t="str">
        <f aca="false">IF(ISBLANK('Зарядные устройства EU'!$H$147),"",'Зарядные устройства EU'!$H$147)</f>
        <v/>
      </c>
    </row>
    <row r="443" customFormat="false" ht="66" hidden="false" customHeight="true" outlineLevel="0" collapsed="false">
      <c r="A443" s="291" t="str">
        <f aca="true">IF(ISNUMBER($J443),INDIRECT("L"&amp;($J443+4)),"")</f>
        <v/>
      </c>
      <c r="B443" s="291" t="str">
        <f aca="true">IF(ISNUMBER($J443),INDIRECT("M"&amp;($J443+4)),"")</f>
        <v/>
      </c>
      <c r="C443" s="296" t="str">
        <f aca="true">IF(ISNUMBER($J443),INDIRECT("N"&amp;($J443+4)),"")</f>
        <v/>
      </c>
      <c r="D443" s="291" t="str">
        <f aca="true">IF(ISNUMBER($J443),INDIRECT("O"&amp;($J443+4)),"")</f>
        <v/>
      </c>
      <c r="E443" s="291" t="str">
        <f aca="true">IF(ISNUMBER($J443),INDIRECT("P"&amp;($J443+4)),"")</f>
        <v/>
      </c>
      <c r="F443" s="300" t="str">
        <f aca="true">IF(ISNUMBER($J443),INDIRECT("Q"&amp;($J443+4)),"")</f>
        <v/>
      </c>
      <c r="G443" s="298" t="str">
        <f aca="true">IF(ISNUMBER($J443),INDIRECT("R"&amp;($J443+4)),"")</f>
        <v/>
      </c>
      <c r="H443" s="298" t="str">
        <f aca="true">IF(ISNUMBER($J443),INDIRECT("S"&amp;($J443+4)),"")</f>
        <v/>
      </c>
      <c r="J443" s="292" t="str">
        <f aca="true">IF(439&lt;=$K$1,MATCH(438.5,INDIRECT("$K$4:$K$1374"),1),"")</f>
        <v/>
      </c>
      <c r="K443" s="292" t="n">
        <f aca="false">$K$388+COUNTIF($Q$389:Q443,"&gt;0")</f>
        <v>0</v>
      </c>
      <c r="L443" s="292" t="str">
        <f aca="false">"Зарядные устройства EU"</f>
        <v>Зарядные устройства EU</v>
      </c>
      <c r="M443" s="292" t="str">
        <f aca="false">IF(ISBLANK('Зарядные устройства EU'!$A$147),"",'Зарядные устройства EU'!$A$147)</f>
        <v>BA20A Sharp один выход зарядный адаптер  набор (Micro-USB)(EU)</v>
      </c>
      <c r="N443" s="292" t="str">
        <f aca="false">IF(ISBLANK('Зарядные устройства EU'!$D$148),"",'Зарядные устройства EU'!$D$148)</f>
        <v>6931474702135</v>
      </c>
      <c r="O443" s="292" t="str">
        <f aca="false">IF(ISBLANK('Зарядные устройства EU'!$E$148),"",'Зарядные устройства EU'!$E$148)</f>
        <v>черный</v>
      </c>
      <c r="P443" s="292" t="str">
        <f aca="false">"ед."</f>
        <v>ед.</v>
      </c>
      <c r="Q443" s="292" t="n">
        <f aca="false">N('Зарядные устройства EU'!$G$148)</f>
        <v>0</v>
      </c>
      <c r="R443" s="299" t="n">
        <f aca="false">IF(ISBLANK('Зарядные устройства EU'!$F$148),"",'Зарядные устройства EU'!$F$148)</f>
        <v>114.17</v>
      </c>
      <c r="S443" s="292" t="str">
        <f aca="false">IF(ISBLANK('Зарядные устройства EU'!$H$148),"",'Зарядные устройства EU'!$H$148)</f>
        <v/>
      </c>
    </row>
    <row r="444" customFormat="false" ht="66" hidden="false" customHeight="true" outlineLevel="0" collapsed="false">
      <c r="A444" s="291" t="str">
        <f aca="true">IF(ISNUMBER($J444),INDIRECT("L"&amp;($J444+4)),"")</f>
        <v/>
      </c>
      <c r="B444" s="291" t="str">
        <f aca="true">IF(ISNUMBER($J444),INDIRECT("M"&amp;($J444+4)),"")</f>
        <v/>
      </c>
      <c r="C444" s="296" t="str">
        <f aca="true">IF(ISNUMBER($J444),INDIRECT("N"&amp;($J444+4)),"")</f>
        <v/>
      </c>
      <c r="D444" s="291" t="str">
        <f aca="true">IF(ISNUMBER($J444),INDIRECT("O"&amp;($J444+4)),"")</f>
        <v/>
      </c>
      <c r="E444" s="291" t="str">
        <f aca="true">IF(ISNUMBER($J444),INDIRECT("P"&amp;($J444+4)),"")</f>
        <v/>
      </c>
      <c r="F444" s="300" t="str">
        <f aca="true">IF(ISNUMBER($J444),INDIRECT("Q"&amp;($J444+4)),"")</f>
        <v/>
      </c>
      <c r="G444" s="298" t="str">
        <f aca="true">IF(ISNUMBER($J444),INDIRECT("R"&amp;($J444+4)),"")</f>
        <v/>
      </c>
      <c r="H444" s="298" t="str">
        <f aca="true">IF(ISNUMBER($J444),INDIRECT("S"&amp;($J444+4)),"")</f>
        <v/>
      </c>
      <c r="J444" s="292" t="str">
        <f aca="true">IF(440&lt;=$K$1,MATCH(439.5,INDIRECT("$K$4:$K$1374"),1),"")</f>
        <v/>
      </c>
      <c r="K444" s="292" t="n">
        <f aca="false">$K$388+COUNTIF($Q$389:Q444,"&gt;0")</f>
        <v>0</v>
      </c>
      <c r="L444" s="292" t="str">
        <f aca="false">"Зарядные устройства EU"</f>
        <v>Зарядные устройства EU</v>
      </c>
      <c r="M444" s="292" t="str">
        <f aca="false">IF(ISBLANK('Зарядные устройства EU'!$A$149),"",'Зарядные устройства EU'!$A$149)</f>
        <v>BA20A Sharp один выход зарядный адаптер  набор (Type-C)(EU)</v>
      </c>
      <c r="N444" s="292" t="str">
        <f aca="false">IF(ISBLANK('Зарядные устройства EU'!$D$149),"",'Зарядные устройства EU'!$D$149)</f>
        <v>6931474700742</v>
      </c>
      <c r="O444" s="292" t="str">
        <f aca="false">IF(ISBLANK('Зарядные устройства EU'!$E$149),"",'Зарядные устройства EU'!$E$149)</f>
        <v>белый</v>
      </c>
      <c r="P444" s="292" t="str">
        <f aca="false">"ед."</f>
        <v>ед.</v>
      </c>
      <c r="Q444" s="292" t="n">
        <f aca="false">N('Зарядные устройства EU'!$G$149)</f>
        <v>0</v>
      </c>
      <c r="R444" s="299" t="n">
        <f aca="false">IF(ISBLANK('Зарядные устройства EU'!$F$149),"",'Зарядные устройства EU'!$F$149)</f>
        <v>130.48</v>
      </c>
      <c r="S444" s="292" t="str">
        <f aca="false">IF(ISBLANK('Зарядные устройства EU'!$H$149),"",'Зарядные устройства EU'!$H$149)</f>
        <v/>
      </c>
    </row>
    <row r="445" customFormat="false" ht="66" hidden="false" customHeight="true" outlineLevel="0" collapsed="false">
      <c r="A445" s="291" t="str">
        <f aca="true">IF(ISNUMBER($J445),INDIRECT("L"&amp;($J445+4)),"")</f>
        <v/>
      </c>
      <c r="B445" s="291" t="str">
        <f aca="true">IF(ISNUMBER($J445),INDIRECT("M"&amp;($J445+4)),"")</f>
        <v/>
      </c>
      <c r="C445" s="296" t="str">
        <f aca="true">IF(ISNUMBER($J445),INDIRECT("N"&amp;($J445+4)),"")</f>
        <v/>
      </c>
      <c r="D445" s="291" t="str">
        <f aca="true">IF(ISNUMBER($J445),INDIRECT("O"&amp;($J445+4)),"")</f>
        <v/>
      </c>
      <c r="E445" s="291" t="str">
        <f aca="true">IF(ISNUMBER($J445),INDIRECT("P"&amp;($J445+4)),"")</f>
        <v/>
      </c>
      <c r="F445" s="300" t="str">
        <f aca="true">IF(ISNUMBER($J445),INDIRECT("Q"&amp;($J445+4)),"")</f>
        <v/>
      </c>
      <c r="G445" s="298" t="str">
        <f aca="true">IF(ISNUMBER($J445),INDIRECT("R"&amp;($J445+4)),"")</f>
        <v/>
      </c>
      <c r="H445" s="298" t="str">
        <f aca="true">IF(ISNUMBER($J445),INDIRECT("S"&amp;($J445+4)),"")</f>
        <v/>
      </c>
      <c r="J445" s="292" t="str">
        <f aca="true">IF(441&lt;=$K$1,MATCH(440.5,INDIRECT("$K$4:$K$1374"),1),"")</f>
        <v/>
      </c>
      <c r="K445" s="292" t="n">
        <f aca="false">$K$388+COUNTIF($Q$389:Q445,"&gt;0")</f>
        <v>0</v>
      </c>
      <c r="L445" s="292" t="str">
        <f aca="false">"Зарядные устройства EU"</f>
        <v>Зарядные устройства EU</v>
      </c>
      <c r="M445" s="292" t="str">
        <f aca="false">IF(ISBLANK('Зарядные устройства EU'!$A$149),"",'Зарядные устройства EU'!$A$149)</f>
        <v>BA20A Sharp один выход зарядный адаптер  набор (Type-C)(EU)</v>
      </c>
      <c r="N445" s="292" t="str">
        <f aca="false">IF(ISBLANK('Зарядные устройства EU'!$D$150),"",'Зарядные устройства EU'!$D$150)</f>
        <v>6931474702142</v>
      </c>
      <c r="O445" s="292" t="str">
        <f aca="false">IF(ISBLANK('Зарядные устройства EU'!$E$150),"",'Зарядные устройства EU'!$E$150)</f>
        <v>черный</v>
      </c>
      <c r="P445" s="292" t="str">
        <f aca="false">"ед."</f>
        <v>ед.</v>
      </c>
      <c r="Q445" s="292" t="n">
        <f aca="false">N('Зарядные устройства EU'!$G$150)</f>
        <v>0</v>
      </c>
      <c r="R445" s="299" t="n">
        <f aca="false">IF(ISBLANK('Зарядные устройства EU'!$F$150),"",'Зарядные устройства EU'!$F$150)</f>
        <v>130.48</v>
      </c>
      <c r="S445" s="292" t="str">
        <f aca="false">IF(ISBLANK('Зарядные устройства EU'!$H$150),"",'Зарядные устройства EU'!$H$150)</f>
        <v/>
      </c>
    </row>
    <row r="446" customFormat="false" ht="66" hidden="false" customHeight="true" outlineLevel="0" collapsed="false">
      <c r="A446" s="291" t="str">
        <f aca="true">IF(ISNUMBER($J446),INDIRECT("L"&amp;($J446+4)),"")</f>
        <v/>
      </c>
      <c r="B446" s="291" t="str">
        <f aca="true">IF(ISNUMBER($J446),INDIRECT("M"&amp;($J446+4)),"")</f>
        <v/>
      </c>
      <c r="C446" s="296" t="str">
        <f aca="true">IF(ISNUMBER($J446),INDIRECT("N"&amp;($J446+4)),"")</f>
        <v/>
      </c>
      <c r="D446" s="291" t="str">
        <f aca="true">IF(ISNUMBER($J446),INDIRECT("O"&amp;($J446+4)),"")</f>
        <v/>
      </c>
      <c r="E446" s="291" t="str">
        <f aca="true">IF(ISNUMBER($J446),INDIRECT("P"&amp;($J446+4)),"")</f>
        <v/>
      </c>
      <c r="F446" s="300" t="str">
        <f aca="true">IF(ISNUMBER($J446),INDIRECT("Q"&amp;($J446+4)),"")</f>
        <v/>
      </c>
      <c r="G446" s="298" t="str">
        <f aca="true">IF(ISNUMBER($J446),INDIRECT("R"&amp;($J446+4)),"")</f>
        <v/>
      </c>
      <c r="H446" s="298" t="str">
        <f aca="true">IF(ISNUMBER($J446),INDIRECT("S"&amp;($J446+4)),"")</f>
        <v/>
      </c>
      <c r="J446" s="292" t="str">
        <f aca="true">IF(442&lt;=$K$1,MATCH(441.5,INDIRECT("$K$4:$K$1374"),1),"")</f>
        <v/>
      </c>
      <c r="K446" s="292" t="n">
        <f aca="false">$K$388+COUNTIF($Q$389:Q446,"&gt;0")</f>
        <v>0</v>
      </c>
      <c r="L446" s="292" t="str">
        <f aca="false">"Беспроводные ЗУ и подставки"</f>
        <v>Беспроводные ЗУ и подставки</v>
      </c>
      <c r="M446" s="292" t="str">
        <f aca="false">IF(ISBLANK('Беспроводные ЗУ и подставки'!$A$5),"",'Беспроводные ЗУ и подставки'!$A$5)</f>
        <v>BQ43 Adelanto 25W магнитное беспроводное ЗУ</v>
      </c>
      <c r="N446" s="292" t="str">
        <f aca="false">IF(ISBLANK('Беспроводные ЗУ и подставки'!$D$5),"",'Беспроводные ЗУ и подставки'!$D$5)</f>
        <v>6941991128646</v>
      </c>
      <c r="O446" s="292" t="str">
        <f aca="false">IF(ISBLANK('Беспроводные ЗУ и подставки'!$E$5),"",'Беспроводные ЗУ и подставки'!$E$5)</f>
        <v>белый</v>
      </c>
      <c r="P446" s="292" t="str">
        <f aca="false">"ед."</f>
        <v>ед.</v>
      </c>
      <c r="Q446" s="292" t="n">
        <f aca="false">N('Беспроводные ЗУ и подставки'!$G$5)</f>
        <v>0</v>
      </c>
      <c r="R446" s="299" t="n">
        <f aca="false">IF(ISBLANK('Беспроводные ЗУ и подставки'!$F$5),"",'Беспроводные ЗУ и подставки'!$F$5)</f>
        <v>521.9</v>
      </c>
      <c r="S446" s="292" t="str">
        <f aca="false">IF(ISBLANK('Беспроводные ЗУ и подставки'!$H$5),"",'Беспроводные ЗУ и подставки'!$H$5)</f>
        <v/>
      </c>
    </row>
    <row r="447" customFormat="false" ht="66" hidden="false" customHeight="true" outlineLevel="0" collapsed="false">
      <c r="A447" s="291" t="str">
        <f aca="true">IF(ISNUMBER($J447),INDIRECT("L"&amp;($J447+4)),"")</f>
        <v/>
      </c>
      <c r="B447" s="291" t="str">
        <f aca="true">IF(ISNUMBER($J447),INDIRECT("M"&amp;($J447+4)),"")</f>
        <v/>
      </c>
      <c r="C447" s="296" t="str">
        <f aca="true">IF(ISNUMBER($J447),INDIRECT("N"&amp;($J447+4)),"")</f>
        <v/>
      </c>
      <c r="D447" s="291" t="str">
        <f aca="true">IF(ISNUMBER($J447),INDIRECT("O"&amp;($J447+4)),"")</f>
        <v/>
      </c>
      <c r="E447" s="291" t="str">
        <f aca="true">IF(ISNUMBER($J447),INDIRECT("P"&amp;($J447+4)),"")</f>
        <v/>
      </c>
      <c r="F447" s="300" t="str">
        <f aca="true">IF(ISNUMBER($J447),INDIRECT("Q"&amp;($J447+4)),"")</f>
        <v/>
      </c>
      <c r="G447" s="298" t="str">
        <f aca="true">IF(ISNUMBER($J447),INDIRECT("R"&amp;($J447+4)),"")</f>
        <v/>
      </c>
      <c r="H447" s="298" t="str">
        <f aca="true">IF(ISNUMBER($J447),INDIRECT("S"&amp;($J447+4)),"")</f>
        <v/>
      </c>
      <c r="J447" s="292" t="str">
        <f aca="true">IF(443&lt;=$K$1,MATCH(442.5,INDIRECT("$K$4:$K$1374"),1),"")</f>
        <v/>
      </c>
      <c r="K447" s="292" t="n">
        <f aca="false">$K$388+COUNTIF($Q$389:Q447,"&gt;0")</f>
        <v>0</v>
      </c>
      <c r="L447" s="292" t="str">
        <f aca="false">"Беспроводные ЗУ и подставки"</f>
        <v>Беспроводные ЗУ и подставки</v>
      </c>
      <c r="M447" s="292" t="str">
        <f aca="false">IF(ISBLANK('Беспроводные ЗУ и подставки'!$A$6),"",'Беспроводные ЗУ и подставки'!$A$6)</f>
        <v>BQ42 беспроводное зарядное устройство для iWatch</v>
      </c>
      <c r="N447" s="292" t="str">
        <f aca="false">IF(ISBLANK('Беспроводные ЗУ и подставки'!$D$6),"",'Беспроводные ЗУ и подставки'!$D$6)</f>
        <v>6941991129476</v>
      </c>
      <c r="O447" s="292" t="str">
        <f aca="false">IF(ISBLANK('Беспроводные ЗУ и подставки'!$E$6),"",'Беспроводные ЗУ и подставки'!$E$6)</f>
        <v>белый</v>
      </c>
      <c r="P447" s="292" t="str">
        <f aca="false">"ед."</f>
        <v>ед.</v>
      </c>
      <c r="Q447" s="292" t="n">
        <f aca="false">N('Беспроводные ЗУ и подставки'!$G$6)</f>
        <v>0</v>
      </c>
      <c r="R447" s="299" t="n">
        <f aca="false">IF(ISBLANK('Беспроводные ЗУ и подставки'!$F$6),"",'Беспроводные ЗУ и подставки'!$F$6)</f>
        <v>203.87</v>
      </c>
      <c r="S447" s="292" t="str">
        <f aca="false">IF(ISBLANK('Беспроводные ЗУ и подставки'!$H$6),"",'Беспроводные ЗУ и подставки'!$H$6)</f>
        <v/>
      </c>
    </row>
    <row r="448" customFormat="false" ht="66" hidden="false" customHeight="true" outlineLevel="0" collapsed="false">
      <c r="A448" s="291" t="str">
        <f aca="true">IF(ISNUMBER($J448),INDIRECT("L"&amp;($J448+4)),"")</f>
        <v/>
      </c>
      <c r="B448" s="291" t="str">
        <f aca="true">IF(ISNUMBER($J448),INDIRECT("M"&amp;($J448+4)),"")</f>
        <v/>
      </c>
      <c r="C448" s="296" t="str">
        <f aca="true">IF(ISNUMBER($J448),INDIRECT("N"&amp;($J448+4)),"")</f>
        <v/>
      </c>
      <c r="D448" s="291" t="str">
        <f aca="true">IF(ISNUMBER($J448),INDIRECT("O"&amp;($J448+4)),"")</f>
        <v/>
      </c>
      <c r="E448" s="291" t="str">
        <f aca="true">IF(ISNUMBER($J448),INDIRECT("P"&amp;($J448+4)),"")</f>
        <v/>
      </c>
      <c r="F448" s="300" t="str">
        <f aca="true">IF(ISNUMBER($J448),INDIRECT("Q"&amp;($J448+4)),"")</f>
        <v/>
      </c>
      <c r="G448" s="298" t="str">
        <f aca="true">IF(ISNUMBER($J448),INDIRECT("R"&amp;($J448+4)),"")</f>
        <v/>
      </c>
      <c r="H448" s="298" t="str">
        <f aca="true">IF(ISNUMBER($J448),INDIRECT("S"&amp;($J448+4)),"")</f>
        <v/>
      </c>
      <c r="J448" s="292" t="str">
        <f aca="true">IF(444&lt;=$K$1,MATCH(443.5,INDIRECT("$K$4:$K$1374"),1),"")</f>
        <v/>
      </c>
      <c r="K448" s="292" t="n">
        <f aca="false">$K$388+COUNTIF($Q$389:Q448,"&gt;0")</f>
        <v>0</v>
      </c>
      <c r="L448" s="292" t="str">
        <f aca="false">"Беспроводные ЗУ и подставки"</f>
        <v>Беспроводные ЗУ и подставки</v>
      </c>
      <c r="M448" s="292" t="str">
        <f aca="false">IF(ISBLANK('Беспроводные ЗУ и подставки'!$A$7),"",'Беспроводные ЗУ и подставки'!$A$7)</f>
        <v>BQ40 Crown настольное беспроводное зарядное устройство</v>
      </c>
      <c r="N448" s="292" t="str">
        <f aca="false">IF(ISBLANK('Беспроводные ЗУ и подставки'!$D$7),"",'Беспроводные ЗУ и подставки'!$D$7)</f>
        <v>6941991123740</v>
      </c>
      <c r="O448" s="292" t="str">
        <f aca="false">IF(ISBLANK('Беспроводные ЗУ и подставки'!$E$7),"",'Беспроводные ЗУ и подставки'!$E$7)</f>
        <v>черный</v>
      </c>
      <c r="P448" s="292" t="str">
        <f aca="false">"ед."</f>
        <v>ед.</v>
      </c>
      <c r="Q448" s="292" t="n">
        <f aca="false">N('Беспроводные ЗУ и подставки'!$G$7)</f>
        <v>0</v>
      </c>
      <c r="R448" s="299" t="n">
        <f aca="false">IF(ISBLANK('Беспроводные ЗУ и подставки'!$F$7),"",'Беспроводные ЗУ и подставки'!$F$7)</f>
        <v>244.64</v>
      </c>
      <c r="S448" s="292" t="str">
        <f aca="false">IF(ISBLANK('Беспроводные ЗУ и подставки'!$H$7),"",'Беспроводные ЗУ и подставки'!$H$7)</f>
        <v/>
      </c>
    </row>
    <row r="449" customFormat="false" ht="66" hidden="false" customHeight="true" outlineLevel="0" collapsed="false">
      <c r="A449" s="291" t="str">
        <f aca="true">IF(ISNUMBER($J449),INDIRECT("L"&amp;($J449+4)),"")</f>
        <v/>
      </c>
      <c r="B449" s="291" t="str">
        <f aca="true">IF(ISNUMBER($J449),INDIRECT("M"&amp;($J449+4)),"")</f>
        <v/>
      </c>
      <c r="C449" s="296" t="str">
        <f aca="true">IF(ISNUMBER($J449),INDIRECT("N"&amp;($J449+4)),"")</f>
        <v/>
      </c>
      <c r="D449" s="291" t="str">
        <f aca="true">IF(ISNUMBER($J449),INDIRECT("O"&amp;($J449+4)),"")</f>
        <v/>
      </c>
      <c r="E449" s="291" t="str">
        <f aca="true">IF(ISNUMBER($J449),INDIRECT("P"&amp;($J449+4)),"")</f>
        <v/>
      </c>
      <c r="F449" s="300" t="str">
        <f aca="true">IF(ISNUMBER($J449),INDIRECT("Q"&amp;($J449+4)),"")</f>
        <v/>
      </c>
      <c r="G449" s="298" t="str">
        <f aca="true">IF(ISNUMBER($J449),INDIRECT("R"&amp;($J449+4)),"")</f>
        <v/>
      </c>
      <c r="H449" s="298" t="str">
        <f aca="true">IF(ISNUMBER($J449),INDIRECT("S"&amp;($J449+4)),"")</f>
        <v/>
      </c>
      <c r="J449" s="292" t="str">
        <f aca="true">IF(445&lt;=$K$1,MATCH(444.5,INDIRECT("$K$4:$K$1374"),1),"")</f>
        <v/>
      </c>
      <c r="K449" s="292" t="n">
        <f aca="false">$K$388+COUNTIF($Q$389:Q449,"&gt;0")</f>
        <v>0</v>
      </c>
      <c r="L449" s="292" t="str">
        <f aca="false">"Беспроводные ЗУ и подставки"</f>
        <v>Беспроводные ЗУ и подставки</v>
      </c>
      <c r="M449" s="292" t="str">
        <f aca="false">IF(ISBLANK('Беспроводные ЗУ и подставки'!$A$8),"",'Беспроводные ЗУ и подставки'!$A$8)</f>
        <v>BQ3 Pro 15W беспроводное зарядное устройство</v>
      </c>
      <c r="N449" s="292" t="str">
        <f aca="false">IF(ISBLANK('Беспроводные ЗУ и подставки'!$D$8),"",'Беспроводные ЗУ и подставки'!$D$8)</f>
        <v>6974443380583</v>
      </c>
      <c r="O449" s="292" t="str">
        <f aca="false">IF(ISBLANK('Беспроводные ЗУ и подставки'!$E$8),"",'Беспроводные ЗУ и подставки'!$E$8)</f>
        <v>черный</v>
      </c>
      <c r="P449" s="292" t="str">
        <f aca="false">"ед."</f>
        <v>ед.</v>
      </c>
      <c r="Q449" s="292" t="n">
        <f aca="false">N('Беспроводные ЗУ и подставки'!$G$8)</f>
        <v>0</v>
      </c>
      <c r="R449" s="299" t="n">
        <f aca="false">IF(ISBLANK('Беспроводные ЗУ и подставки'!$F$8),"",'Беспроводные ЗУ и подставки'!$F$8)</f>
        <v>399.58</v>
      </c>
      <c r="S449" s="292" t="str">
        <f aca="false">IF(ISBLANK('Беспроводные ЗУ и подставки'!$H$8),"",'Беспроводные ЗУ и подставки'!$H$8)</f>
        <v/>
      </c>
    </row>
    <row r="450" customFormat="false" ht="66" hidden="false" customHeight="true" outlineLevel="0" collapsed="false">
      <c r="A450" s="291" t="str">
        <f aca="true">IF(ISNUMBER($J450),INDIRECT("L"&amp;($J450+4)),"")</f>
        <v/>
      </c>
      <c r="B450" s="291" t="str">
        <f aca="true">IF(ISNUMBER($J450),INDIRECT("M"&amp;($J450+4)),"")</f>
        <v/>
      </c>
      <c r="C450" s="296" t="str">
        <f aca="true">IF(ISNUMBER($J450),INDIRECT("N"&amp;($J450+4)),"")</f>
        <v/>
      </c>
      <c r="D450" s="291" t="str">
        <f aca="true">IF(ISNUMBER($J450),INDIRECT("O"&amp;($J450+4)),"")</f>
        <v/>
      </c>
      <c r="E450" s="291" t="str">
        <f aca="true">IF(ISNUMBER($J450),INDIRECT("P"&amp;($J450+4)),"")</f>
        <v/>
      </c>
      <c r="F450" s="300" t="str">
        <f aca="true">IF(ISNUMBER($J450),INDIRECT("Q"&amp;($J450+4)),"")</f>
        <v/>
      </c>
      <c r="G450" s="298" t="str">
        <f aca="true">IF(ISNUMBER($J450),INDIRECT("R"&amp;($J450+4)),"")</f>
        <v/>
      </c>
      <c r="H450" s="298" t="str">
        <f aca="true">IF(ISNUMBER($J450),INDIRECT("S"&amp;($J450+4)),"")</f>
        <v/>
      </c>
      <c r="J450" s="292" t="str">
        <f aca="true">IF(446&lt;=$K$1,MATCH(445.5,INDIRECT("$K$4:$K$1374"),1),"")</f>
        <v/>
      </c>
      <c r="K450" s="292" t="n">
        <f aca="false">$K$388+COUNTIF($Q$389:Q450,"&gt;0")</f>
        <v>0</v>
      </c>
      <c r="L450" s="292" t="str">
        <f aca="false">"Беспроводные ЗУ и подставки"</f>
        <v>Беспроводные ЗУ и подставки</v>
      </c>
      <c r="M450" s="292" t="str">
        <f aca="false">IF(ISBLANK('Беспроводные ЗУ и подставки'!$A$11),"",'Беспроводные ЗУ и подставки'!$A$11)</f>
        <v>BH150 Victory настольная подставка</v>
      </c>
      <c r="N450" s="292" t="str">
        <f aca="false">IF(ISBLANK('Беспроводные ЗУ и подставки'!$D$11),"",'Беспроводные ЗУ и подставки'!$D$11)</f>
        <v>6941991131028</v>
      </c>
      <c r="O450" s="292" t="str">
        <f aca="false">IF(ISBLANK('Беспроводные ЗУ и подставки'!$E$11),"",'Беспроводные ЗУ и подставки'!$E$11)</f>
        <v>черный</v>
      </c>
      <c r="P450" s="292" t="str">
        <f aca="false">"ед."</f>
        <v>ед.</v>
      </c>
      <c r="Q450" s="292" t="n">
        <f aca="false">N('Беспроводные ЗУ и подставки'!$G$11)</f>
        <v>0</v>
      </c>
      <c r="R450" s="299" t="n">
        <f aca="false">IF(ISBLANK('Беспроводные ЗУ и подставки'!$F$11),"",'Беспроводные ЗУ и подставки'!$F$11)</f>
        <v>89.7</v>
      </c>
      <c r="S450" s="292" t="str">
        <f aca="false">IF(ISBLANK('Беспроводные ЗУ и подставки'!$H$11),"",'Беспроводные ЗУ и подставки'!$H$11)</f>
        <v/>
      </c>
    </row>
    <row r="451" customFormat="false" ht="66" hidden="false" customHeight="true" outlineLevel="0" collapsed="false">
      <c r="A451" s="291" t="str">
        <f aca="true">IF(ISNUMBER($J451),INDIRECT("L"&amp;($J451+4)),"")</f>
        <v/>
      </c>
      <c r="B451" s="291" t="str">
        <f aca="true">IF(ISNUMBER($J451),INDIRECT("M"&amp;($J451+4)),"")</f>
        <v/>
      </c>
      <c r="C451" s="296" t="str">
        <f aca="true">IF(ISNUMBER($J451),INDIRECT("N"&amp;($J451+4)),"")</f>
        <v/>
      </c>
      <c r="D451" s="291" t="str">
        <f aca="true">IF(ISNUMBER($J451),INDIRECT("O"&amp;($J451+4)),"")</f>
        <v/>
      </c>
      <c r="E451" s="291" t="str">
        <f aca="true">IF(ISNUMBER($J451),INDIRECT("P"&amp;($J451+4)),"")</f>
        <v/>
      </c>
      <c r="F451" s="300" t="str">
        <f aca="true">IF(ISNUMBER($J451),INDIRECT("Q"&amp;($J451+4)),"")</f>
        <v/>
      </c>
      <c r="G451" s="298" t="str">
        <f aca="true">IF(ISNUMBER($J451),INDIRECT("R"&amp;($J451+4)),"")</f>
        <v/>
      </c>
      <c r="H451" s="298" t="str">
        <f aca="true">IF(ISNUMBER($J451),INDIRECT("S"&amp;($J451+4)),"")</f>
        <v/>
      </c>
      <c r="J451" s="292" t="str">
        <f aca="true">IF(447&lt;=$K$1,MATCH(446.5,INDIRECT("$K$4:$K$1374"),1),"")</f>
        <v/>
      </c>
      <c r="K451" s="292" t="n">
        <f aca="false">$K$388+COUNTIF($Q$389:Q451,"&gt;0")</f>
        <v>0</v>
      </c>
      <c r="L451" s="292" t="str">
        <f aca="false">"Беспроводные ЗУ и подставки"</f>
        <v>Беспроводные ЗУ и подставки</v>
      </c>
      <c r="M451" s="292" t="str">
        <f aca="false">IF(ISBLANK('Беспроводные ЗУ и подставки'!$A$12),"",'Беспроводные ЗУ и подставки'!$A$12)</f>
        <v>BH138 Fit металлический складной настольный держатель</v>
      </c>
      <c r="N451" s="292" t="str">
        <f aca="false">IF(ISBLANK('Беспроводные ЗУ и подставки'!$D$12),"",'Беспроводные ЗУ и подставки'!$D$12)</f>
        <v>6941991124501</v>
      </c>
      <c r="O451" s="292" t="str">
        <f aca="false">IF(ISBLANK('Беспроводные ЗУ и подставки'!$E$12),"",'Беспроводные ЗУ и подставки'!$E$12)</f>
        <v>черный</v>
      </c>
      <c r="P451" s="292" t="str">
        <f aca="false">"ед."</f>
        <v>ед.</v>
      </c>
      <c r="Q451" s="292" t="n">
        <f aca="false">N('Беспроводные ЗУ и подставки'!$G$12)</f>
        <v>0</v>
      </c>
      <c r="R451" s="299" t="n">
        <f aca="false">IF(ISBLANK('Беспроводные ЗУ и подставки'!$F$12),"",'Беспроводные ЗУ и подставки'!$F$12)</f>
        <v>101.12</v>
      </c>
      <c r="S451" s="292" t="str">
        <f aca="false">IF(ISBLANK('Беспроводные ЗУ и подставки'!$H$12),"",'Беспроводные ЗУ и подставки'!$H$12)</f>
        <v/>
      </c>
    </row>
    <row r="452" customFormat="false" ht="66" hidden="false" customHeight="true" outlineLevel="0" collapsed="false">
      <c r="A452" s="291" t="str">
        <f aca="true">IF(ISNUMBER($J452),INDIRECT("L"&amp;($J452+4)),"")</f>
        <v/>
      </c>
      <c r="B452" s="291" t="str">
        <f aca="true">IF(ISNUMBER($J452),INDIRECT("M"&amp;($J452+4)),"")</f>
        <v/>
      </c>
      <c r="C452" s="296" t="str">
        <f aca="true">IF(ISNUMBER($J452),INDIRECT("N"&amp;($J452+4)),"")</f>
        <v/>
      </c>
      <c r="D452" s="291" t="str">
        <f aca="true">IF(ISNUMBER($J452),INDIRECT("O"&amp;($J452+4)),"")</f>
        <v/>
      </c>
      <c r="E452" s="291" t="str">
        <f aca="true">IF(ISNUMBER($J452),INDIRECT("P"&amp;($J452+4)),"")</f>
        <v/>
      </c>
      <c r="F452" s="300" t="str">
        <f aca="true">IF(ISNUMBER($J452),INDIRECT("Q"&amp;($J452+4)),"")</f>
        <v/>
      </c>
      <c r="G452" s="298" t="str">
        <f aca="true">IF(ISNUMBER($J452),INDIRECT("R"&amp;($J452+4)),"")</f>
        <v/>
      </c>
      <c r="H452" s="298" t="str">
        <f aca="true">IF(ISNUMBER($J452),INDIRECT("S"&amp;($J452+4)),"")</f>
        <v/>
      </c>
      <c r="J452" s="292" t="str">
        <f aca="true">IF(448&lt;=$K$1,MATCH(447.5,INDIRECT("$K$4:$K$1374"),1),"")</f>
        <v/>
      </c>
      <c r="K452" s="292" t="n">
        <f aca="false">$K$388+COUNTIF($Q$389:Q452,"&gt;0")</f>
        <v>0</v>
      </c>
      <c r="L452" s="292" t="str">
        <f aca="false">"Беспроводные ЗУ и подставки"</f>
        <v>Беспроводные ЗУ и подставки</v>
      </c>
      <c r="M452" s="292" t="str">
        <f aca="false">IF(ISBLANK('Беспроводные ЗУ и подставки'!$A$13),"",'Беспроводные ЗУ и подставки'!$A$13)</f>
        <v>BH128 Admirado вращающийся настольный держатель</v>
      </c>
      <c r="N452" s="292" t="str">
        <f aca="false">IF(ISBLANK('Беспроводные ЗУ и подставки'!$D$13),"",'Беспроводные ЗУ и подставки'!$D$13)</f>
        <v>6941991120589</v>
      </c>
      <c r="O452" s="292" t="str">
        <f aca="false">IF(ISBLANK('Беспроводные ЗУ и подставки'!$E$13),"",'Беспроводные ЗУ и подставки'!$E$13)</f>
        <v>черный</v>
      </c>
      <c r="P452" s="292" t="str">
        <f aca="false">"ед."</f>
        <v>ед.</v>
      </c>
      <c r="Q452" s="292" t="n">
        <f aca="false">N('Беспроводные ЗУ и подставки'!$G$13)</f>
        <v>0</v>
      </c>
      <c r="R452" s="299" t="n">
        <f aca="false">IF(ISBLANK('Беспроводные ЗУ и подставки'!$F$13),"",'Беспроводные ЗУ и подставки'!$F$13)</f>
        <v>187.56</v>
      </c>
      <c r="S452" s="292" t="str">
        <f aca="false">IF(ISBLANK('Беспроводные ЗУ и подставки'!$H$13),"",'Беспроводные ЗУ и подставки'!$H$13)</f>
        <v/>
      </c>
    </row>
    <row r="453" customFormat="false" ht="66" hidden="false" customHeight="true" outlineLevel="0" collapsed="false">
      <c r="A453" s="291" t="str">
        <f aca="true">IF(ISNUMBER($J453),INDIRECT("L"&amp;($J453+4)),"")</f>
        <v/>
      </c>
      <c r="B453" s="291" t="str">
        <f aca="true">IF(ISNUMBER($J453),INDIRECT("M"&amp;($J453+4)),"")</f>
        <v/>
      </c>
      <c r="C453" s="296" t="str">
        <f aca="true">IF(ISNUMBER($J453),INDIRECT("N"&amp;($J453+4)),"")</f>
        <v/>
      </c>
      <c r="D453" s="291" t="str">
        <f aca="true">IF(ISNUMBER($J453),INDIRECT("O"&amp;($J453+4)),"")</f>
        <v/>
      </c>
      <c r="E453" s="291" t="str">
        <f aca="true">IF(ISNUMBER($J453),INDIRECT("P"&amp;($J453+4)),"")</f>
        <v/>
      </c>
      <c r="F453" s="300" t="str">
        <f aca="true">IF(ISNUMBER($J453),INDIRECT("Q"&amp;($J453+4)),"")</f>
        <v/>
      </c>
      <c r="G453" s="298" t="str">
        <f aca="true">IF(ISNUMBER($J453),INDIRECT("R"&amp;($J453+4)),"")</f>
        <v/>
      </c>
      <c r="H453" s="298" t="str">
        <f aca="true">IF(ISNUMBER($J453),INDIRECT("S"&amp;($J453+4)),"")</f>
        <v/>
      </c>
      <c r="J453" s="292" t="str">
        <f aca="true">IF(449&lt;=$K$1,MATCH(448.5,INDIRECT("$K$4:$K$1374"),1),"")</f>
        <v/>
      </c>
      <c r="K453" s="292" t="n">
        <f aca="false">$K$388+COUNTIF($Q$389:Q453,"&gt;0")</f>
        <v>0</v>
      </c>
      <c r="L453" s="292" t="str">
        <f aca="false">"Беспроводные ЗУ и подставки"</f>
        <v>Беспроводные ЗУ и подставки</v>
      </c>
      <c r="M453" s="292" t="str">
        <f aca="false">IF(ISBLANK('Беспроводные ЗУ и подставки'!$A$14),"",'Беспроводные ЗУ и подставки'!$A$14)</f>
        <v>BH24 Bright shell подставка для планшетов</v>
      </c>
      <c r="N453" s="292" t="str">
        <f aca="false">IF(ISBLANK('Беспроводные ЗУ и подставки'!$D$14),"",'Беспроводные ЗУ и подставки'!$D$14)</f>
        <v>6931474719522</v>
      </c>
      <c r="O453" s="292" t="str">
        <f aca="false">IF(ISBLANK('Беспроводные ЗУ и подставки'!$E$14),"",'Беспроводные ЗУ и подставки'!$E$14)</f>
        <v>белый</v>
      </c>
      <c r="P453" s="292" t="str">
        <f aca="false">"ед."</f>
        <v>ед.</v>
      </c>
      <c r="Q453" s="292" t="n">
        <f aca="false">N('Беспроводные ЗУ и подставки'!$G$14)</f>
        <v>0</v>
      </c>
      <c r="R453" s="299" t="n">
        <f aca="false">IF(ISBLANK('Беспроводные ЗУ и подставки'!$F$14),"",'Беспроводные ЗУ и подставки'!$F$14)</f>
        <v>301.72</v>
      </c>
      <c r="S453" s="292" t="str">
        <f aca="false">IF(ISBLANK('Беспроводные ЗУ и подставки'!$H$14),"",'Беспроводные ЗУ и подставки'!$H$14)</f>
        <v/>
      </c>
    </row>
    <row r="454" customFormat="false" ht="66" hidden="false" customHeight="true" outlineLevel="0" collapsed="false">
      <c r="A454" s="291" t="str">
        <f aca="true">IF(ISNUMBER($J454),INDIRECT("L"&amp;($J454+4)),"")</f>
        <v/>
      </c>
      <c r="B454" s="291" t="str">
        <f aca="true">IF(ISNUMBER($J454),INDIRECT("M"&amp;($J454+4)),"")</f>
        <v/>
      </c>
      <c r="C454" s="296" t="str">
        <f aca="true">IF(ISNUMBER($J454),INDIRECT("N"&amp;($J454+4)),"")</f>
        <v/>
      </c>
      <c r="D454" s="291" t="str">
        <f aca="true">IF(ISNUMBER($J454),INDIRECT("O"&amp;($J454+4)),"")</f>
        <v/>
      </c>
      <c r="E454" s="291" t="str">
        <f aca="true">IF(ISNUMBER($J454),INDIRECT("P"&amp;($J454+4)),"")</f>
        <v/>
      </c>
      <c r="F454" s="300" t="str">
        <f aca="true">IF(ISNUMBER($J454),INDIRECT("Q"&amp;($J454+4)),"")</f>
        <v/>
      </c>
      <c r="G454" s="298" t="str">
        <f aca="true">IF(ISNUMBER($J454),INDIRECT("R"&amp;($J454+4)),"")</f>
        <v/>
      </c>
      <c r="H454" s="298" t="str">
        <f aca="true">IF(ISNUMBER($J454),INDIRECT("S"&amp;($J454+4)),"")</f>
        <v/>
      </c>
      <c r="J454" s="292" t="str">
        <f aca="true">IF(450&lt;=$K$1,MATCH(449.5,INDIRECT("$K$4:$K$1374"),1),"")</f>
        <v/>
      </c>
      <c r="K454" s="292" t="n">
        <f aca="false">$K$388+COUNTIF($Q$389:Q454,"&gt;0")</f>
        <v>0</v>
      </c>
      <c r="L454" s="292" t="str">
        <f aca="false">"Беспроводные ЗУ и подставки"</f>
        <v>Беспроводные ЗУ и подставки</v>
      </c>
      <c r="M454" s="292" t="str">
        <f aca="false">IF(ISBLANK('Беспроводные ЗУ и подставки'!$A$15),"",'Беспроводные ЗУ и подставки'!$A$15)</f>
        <v>BH23 Bright shell подставка для телефонов</v>
      </c>
      <c r="N454" s="292" t="str">
        <f aca="false">IF(ISBLANK('Беспроводные ЗУ и подставки'!$D$15),"",'Беспроводные ЗУ и подставки'!$D$15)</f>
        <v>6931474719515</v>
      </c>
      <c r="O454" s="292" t="str">
        <f aca="false">IF(ISBLANK('Беспроводные ЗУ и подставки'!$E$15),"",'Беспроводные ЗУ и подставки'!$E$15)</f>
        <v>белый</v>
      </c>
      <c r="P454" s="292" t="str">
        <f aca="false">"ед."</f>
        <v>ед.</v>
      </c>
      <c r="Q454" s="292" t="n">
        <f aca="false">N('Беспроводные ЗУ и подставки'!$G$15)</f>
        <v>0</v>
      </c>
      <c r="R454" s="299" t="n">
        <f aca="false">IF(ISBLANK('Беспроводные ЗУ и подставки'!$F$15),"",'Беспроводные ЗУ и подставки'!$F$15)</f>
        <v>236.49</v>
      </c>
      <c r="S454" s="292" t="str">
        <f aca="false">IF(ISBLANK('Беспроводные ЗУ и подставки'!$H$15),"",'Беспроводные ЗУ и подставки'!$H$15)</f>
        <v/>
      </c>
    </row>
    <row r="455" customFormat="false" ht="66" hidden="false" customHeight="true" outlineLevel="0" collapsed="false">
      <c r="A455" s="291" t="str">
        <f aca="true">IF(ISNUMBER($J455),INDIRECT("L"&amp;($J455+4)),"")</f>
        <v/>
      </c>
      <c r="B455" s="291" t="str">
        <f aca="true">IF(ISNUMBER($J455),INDIRECT("M"&amp;($J455+4)),"")</f>
        <v/>
      </c>
      <c r="C455" s="296" t="str">
        <f aca="true">IF(ISNUMBER($J455),INDIRECT("N"&amp;($J455+4)),"")</f>
        <v/>
      </c>
      <c r="D455" s="291" t="str">
        <f aca="true">IF(ISNUMBER($J455),INDIRECT("O"&amp;($J455+4)),"")</f>
        <v/>
      </c>
      <c r="E455" s="291" t="str">
        <f aca="true">IF(ISNUMBER($J455),INDIRECT("P"&amp;($J455+4)),"")</f>
        <v/>
      </c>
      <c r="F455" s="300" t="str">
        <f aca="true">IF(ISNUMBER($J455),INDIRECT("Q"&amp;($J455+4)),"")</f>
        <v/>
      </c>
      <c r="G455" s="298" t="str">
        <f aca="true">IF(ISNUMBER($J455),INDIRECT("R"&amp;($J455+4)),"")</f>
        <v/>
      </c>
      <c r="H455" s="298" t="str">
        <f aca="true">IF(ISNUMBER($J455),INDIRECT("S"&amp;($J455+4)),"")</f>
        <v/>
      </c>
      <c r="J455" s="292" t="str">
        <f aca="true">IF(451&lt;=$K$1,MATCH(450.5,INDIRECT("$K$4:$K$1374"),1),"")</f>
        <v/>
      </c>
      <c r="K455" s="292" t="n">
        <f aca="false">$K$388+COUNTIF($Q$389:Q455,"&gt;0")</f>
        <v>0</v>
      </c>
      <c r="L455" s="292" t="str">
        <f aca="false">"Беспроводные ЗУ и подставки"</f>
        <v>Беспроводные ЗУ и подставки</v>
      </c>
      <c r="M455" s="292" t="str">
        <f aca="false">IF(ISBLANK('Беспроводные ЗУ и подставки'!$A$18),"",'Беспроводные ЗУ и подставки'!$A$18)</f>
        <v>BY15 Throne держатель для стримов</v>
      </c>
      <c r="N455" s="292" t="str">
        <f aca="false">IF(ISBLANK('Беспроводные ЗУ и подставки'!$D$18),"",'Беспроводные ЗУ и подставки'!$D$18)</f>
        <v>6941991127632</v>
      </c>
      <c r="O455" s="292" t="str">
        <f aca="false">IF(ISBLANK('Беспроводные ЗУ и подставки'!$E$18),"",'Беспроводные ЗУ и подставки'!$E$18)</f>
        <v>черный</v>
      </c>
      <c r="P455" s="292" t="str">
        <f aca="false">"ед."</f>
        <v>ед.</v>
      </c>
      <c r="Q455" s="292" t="n">
        <f aca="false">N('Беспроводные ЗУ и подставки'!$G$18)</f>
        <v>0</v>
      </c>
      <c r="R455" s="299" t="n">
        <f aca="false">IF(ISBLANK('Беспроводные ЗУ и подставки'!$F$18),"",'Беспроводные ЗУ и подставки'!$F$18)</f>
        <v>334.34</v>
      </c>
      <c r="S455" s="292" t="str">
        <f aca="false">IF(ISBLANK('Беспроводные ЗУ и подставки'!$H$18),"",'Беспроводные ЗУ и подставки'!$H$18)</f>
        <v/>
      </c>
    </row>
    <row r="456" customFormat="false" ht="66" hidden="false" customHeight="true" outlineLevel="0" collapsed="false">
      <c r="A456" s="291" t="str">
        <f aca="true">IF(ISNUMBER($J456),INDIRECT("L"&amp;($J456+4)),"")</f>
        <v/>
      </c>
      <c r="B456" s="291" t="str">
        <f aca="true">IF(ISNUMBER($J456),INDIRECT("M"&amp;($J456+4)),"")</f>
        <v/>
      </c>
      <c r="C456" s="296" t="str">
        <f aca="true">IF(ISNUMBER($J456),INDIRECT("N"&amp;($J456+4)),"")</f>
        <v/>
      </c>
      <c r="D456" s="291" t="str">
        <f aca="true">IF(ISNUMBER($J456),INDIRECT("O"&amp;($J456+4)),"")</f>
        <v/>
      </c>
      <c r="E456" s="291" t="str">
        <f aca="true">IF(ISNUMBER($J456),INDIRECT("P"&amp;($J456+4)),"")</f>
        <v/>
      </c>
      <c r="F456" s="300" t="str">
        <f aca="true">IF(ISNUMBER($J456),INDIRECT("Q"&amp;($J456+4)),"")</f>
        <v/>
      </c>
      <c r="G456" s="298" t="str">
        <f aca="true">IF(ISNUMBER($J456),INDIRECT("R"&amp;($J456+4)),"")</f>
        <v/>
      </c>
      <c r="H456" s="298" t="str">
        <f aca="true">IF(ISNUMBER($J456),INDIRECT("S"&amp;($J456+4)),"")</f>
        <v/>
      </c>
      <c r="J456" s="292" t="str">
        <f aca="true">IF(452&lt;=$K$1,MATCH(451.5,INDIRECT("$K$4:$K$1374"),1),"")</f>
        <v/>
      </c>
      <c r="K456" s="292" t="n">
        <f aca="false">$K$388+COUNTIF($Q$389:Q456,"&gt;0")</f>
        <v>0</v>
      </c>
      <c r="L456" s="292" t="str">
        <f aca="false">"Беспроводные ЗУ и подставки"</f>
        <v>Беспроводные ЗУ и подставки</v>
      </c>
      <c r="M456" s="292" t="str">
        <f aca="false">IF(ISBLANK('Беспроводные ЗУ и подставки'!$A$19),"",'Беспроводные ЗУ и подставки'!$A$19)</f>
        <v>BY14 Graceful мини держатель для стрима</v>
      </c>
      <c r="N456" s="292" t="str">
        <f aca="false">IF(ISBLANK('Беспроводные ЗУ и подставки'!$D$19),"",'Беспроводные ЗУ и подставки'!$D$19)</f>
        <v>6941991122958</v>
      </c>
      <c r="O456" s="292" t="str">
        <f aca="false">IF(ISBLANK('Беспроводные ЗУ и подставки'!$E$19),"",'Беспроводные ЗУ и подставки'!$E$19)</f>
        <v>черный</v>
      </c>
      <c r="P456" s="292" t="str">
        <f aca="false">"ед."</f>
        <v>ед.</v>
      </c>
      <c r="Q456" s="292" t="n">
        <f aca="false">N('Беспроводные ЗУ и подставки'!$G$19)</f>
        <v>0</v>
      </c>
      <c r="R456" s="299" t="n">
        <f aca="false">IF(ISBLANK('Беспроводные ЗУ и подставки'!$F$19),"",'Беспроводные ЗУ и подставки'!$F$19)</f>
        <v>159.83</v>
      </c>
      <c r="S456" s="292" t="str">
        <f aca="false">IF(ISBLANK('Беспроводные ЗУ и подставки'!$H$19),"",'Беспроводные ЗУ и подставки'!$H$19)</f>
        <v/>
      </c>
    </row>
    <row r="457" customFormat="false" ht="66" hidden="false" customHeight="true" outlineLevel="0" collapsed="false">
      <c r="A457" s="291" t="str">
        <f aca="true">IF(ISNUMBER($J457),INDIRECT("L"&amp;($J457+4)),"")</f>
        <v/>
      </c>
      <c r="B457" s="291" t="str">
        <f aca="true">IF(ISNUMBER($J457),INDIRECT("M"&amp;($J457+4)),"")</f>
        <v/>
      </c>
      <c r="C457" s="296" t="str">
        <f aca="true">IF(ISNUMBER($J457),INDIRECT("N"&amp;($J457+4)),"")</f>
        <v/>
      </c>
      <c r="D457" s="291" t="str">
        <f aca="true">IF(ISNUMBER($J457),INDIRECT("O"&amp;($J457+4)),"")</f>
        <v/>
      </c>
      <c r="E457" s="291" t="str">
        <f aca="true">IF(ISNUMBER($J457),INDIRECT("P"&amp;($J457+4)),"")</f>
        <v/>
      </c>
      <c r="F457" s="300" t="str">
        <f aca="true">IF(ISNUMBER($J457),INDIRECT("Q"&amp;($J457+4)),"")</f>
        <v/>
      </c>
      <c r="G457" s="298" t="str">
        <f aca="true">IF(ISNUMBER($J457),INDIRECT("R"&amp;($J457+4)),"")</f>
        <v/>
      </c>
      <c r="H457" s="298" t="str">
        <f aca="true">IF(ISNUMBER($J457),INDIRECT("S"&amp;($J457+4)),"")</f>
        <v/>
      </c>
      <c r="J457" s="292" t="str">
        <f aca="true">IF(453&lt;=$K$1,MATCH(452.5,INDIRECT("$K$4:$K$1374"),1),"")</f>
        <v/>
      </c>
      <c r="K457" s="292" t="n">
        <f aca="false">$K$388+COUNTIF($Q$389:Q457,"&gt;0")</f>
        <v>0</v>
      </c>
      <c r="L457" s="292" t="str">
        <f aca="false">"Беспроводные ЗУ и подставки"</f>
        <v>Беспроводные ЗУ и подставки</v>
      </c>
      <c r="M457" s="292" t="str">
        <f aca="false">IF(ISBLANK('Беспроводные ЗУ и подставки'!$A$20),"",'Беспроводные ЗУ и подставки'!$A$20)</f>
        <v>BY13 Nube держатель для стримов</v>
      </c>
      <c r="N457" s="292" t="str">
        <f aca="false">IF(ISBLANK('Беспроводные ЗУ и подставки'!$D$20),"",'Беспроводные ЗУ и подставки'!$D$20)</f>
        <v>6941991119415</v>
      </c>
      <c r="O457" s="292" t="str">
        <f aca="false">IF(ISBLANK('Беспроводные ЗУ и подставки'!$E$20),"",'Беспроводные ЗУ и подставки'!$E$20)</f>
        <v>черный</v>
      </c>
      <c r="P457" s="292" t="str">
        <f aca="false">"ед."</f>
        <v>ед.</v>
      </c>
      <c r="Q457" s="292" t="n">
        <f aca="false">N('Беспроводные ЗУ и подставки'!$G$20)</f>
        <v>0</v>
      </c>
      <c r="R457" s="299" t="n">
        <f aca="false">IF(ISBLANK('Беспроводные ЗУ и подставки'!$F$20),"",'Беспроводные ЗУ и подставки'!$F$20)</f>
        <v>269.11</v>
      </c>
      <c r="S457" s="292" t="str">
        <f aca="false">IF(ISBLANK('Беспроводные ЗУ и подставки'!$H$20),"",'Беспроводные ЗУ и подставки'!$H$20)</f>
        <v/>
      </c>
    </row>
    <row r="458" customFormat="false" ht="66" hidden="false" customHeight="true" outlineLevel="0" collapsed="false">
      <c r="A458" s="291" t="str">
        <f aca="true">IF(ISNUMBER($J458),INDIRECT("L"&amp;($J458+4)),"")</f>
        <v/>
      </c>
      <c r="B458" s="291" t="str">
        <f aca="true">IF(ISNUMBER($J458),INDIRECT("M"&amp;($J458+4)),"")</f>
        <v/>
      </c>
      <c r="C458" s="296" t="str">
        <f aca="true">IF(ISNUMBER($J458),INDIRECT("N"&amp;($J458+4)),"")</f>
        <v/>
      </c>
      <c r="D458" s="291" t="str">
        <f aca="true">IF(ISNUMBER($J458),INDIRECT("O"&amp;($J458+4)),"")</f>
        <v/>
      </c>
      <c r="E458" s="291" t="str">
        <f aca="true">IF(ISNUMBER($J458),INDIRECT("P"&amp;($J458+4)),"")</f>
        <v/>
      </c>
      <c r="F458" s="300" t="str">
        <f aca="true">IF(ISNUMBER($J458),INDIRECT("Q"&amp;($J458+4)),"")</f>
        <v/>
      </c>
      <c r="G458" s="298" t="str">
        <f aca="true">IF(ISNUMBER($J458),INDIRECT("R"&amp;($J458+4)),"")</f>
        <v/>
      </c>
      <c r="H458" s="298" t="str">
        <f aca="true">IF(ISNUMBER($J458),INDIRECT("S"&amp;($J458+4)),"")</f>
        <v/>
      </c>
      <c r="J458" s="292" t="str">
        <f aca="true">IF(454&lt;=$K$1,MATCH(453.5,INDIRECT("$K$4:$K$1374"),1),"")</f>
        <v/>
      </c>
      <c r="K458" s="292" t="n">
        <f aca="false">$K$388+COUNTIF($Q$389:Q458,"&gt;0")</f>
        <v>0</v>
      </c>
      <c r="L458" s="292" t="str">
        <f aca="false">"Беспроводные ЗУ и подставки"</f>
        <v>Беспроводные ЗУ и подставки</v>
      </c>
      <c r="M458" s="292" t="str">
        <f aca="false">IF(ISBLANK('Беспроводные ЗУ и подставки'!$A$21),"",'Беспроводные ЗУ и подставки'!$A$21)</f>
        <v>BY11 Happy держатель для стрима</v>
      </c>
      <c r="N458" s="292" t="str">
        <f aca="false">IF(ISBLANK('Беспроводные ЗУ и подставки'!$D$21),"",'Беспроводные ЗУ и подставки'!$D$21)</f>
        <v>6941991104329</v>
      </c>
      <c r="O458" s="292" t="str">
        <f aca="false">IF(ISBLANK('Беспроводные ЗУ и подставки'!$E$21),"",'Беспроводные ЗУ и подставки'!$E$21)</f>
        <v>черный</v>
      </c>
      <c r="P458" s="292" t="str">
        <f aca="false">"ед."</f>
        <v>ед.</v>
      </c>
      <c r="Q458" s="292" t="n">
        <f aca="false">N('Беспроводные ЗУ и подставки'!$G$21)</f>
        <v>0</v>
      </c>
      <c r="R458" s="299" t="n">
        <f aca="false">IF(ISBLANK('Беспроводные ЗУ и подставки'!$F$21),"",'Беспроводные ЗУ и подставки'!$F$21)</f>
        <v>309.88</v>
      </c>
      <c r="S458" s="292" t="str">
        <f aca="false">IF(ISBLANK('Беспроводные ЗУ и подставки'!$H$21),"",'Беспроводные ЗУ и подставки'!$H$21)</f>
        <v/>
      </c>
    </row>
    <row r="459" customFormat="false" ht="66" hidden="false" customHeight="true" outlineLevel="0" collapsed="false">
      <c r="A459" s="291" t="str">
        <f aca="true">IF(ISNUMBER($J459),INDIRECT("L"&amp;($J459+4)),"")</f>
        <v/>
      </c>
      <c r="B459" s="291" t="str">
        <f aca="true">IF(ISNUMBER($J459),INDIRECT("M"&amp;($J459+4)),"")</f>
        <v/>
      </c>
      <c r="C459" s="296" t="str">
        <f aca="true">IF(ISNUMBER($J459),INDIRECT("N"&amp;($J459+4)),"")</f>
        <v/>
      </c>
      <c r="D459" s="291" t="str">
        <f aca="true">IF(ISNUMBER($J459),INDIRECT("O"&amp;($J459+4)),"")</f>
        <v/>
      </c>
      <c r="E459" s="291" t="str">
        <f aca="true">IF(ISNUMBER($J459),INDIRECT("P"&amp;($J459+4)),"")</f>
        <v/>
      </c>
      <c r="F459" s="300" t="str">
        <f aca="true">IF(ISNUMBER($J459),INDIRECT("Q"&amp;($J459+4)),"")</f>
        <v/>
      </c>
      <c r="G459" s="298" t="str">
        <f aca="true">IF(ISNUMBER($J459),INDIRECT("R"&amp;($J459+4)),"")</f>
        <v/>
      </c>
      <c r="H459" s="298" t="str">
        <f aca="true">IF(ISNUMBER($J459),INDIRECT("S"&amp;($J459+4)),"")</f>
        <v/>
      </c>
      <c r="J459" s="292" t="str">
        <f aca="true">IF(455&lt;=$K$1,MATCH(454.5,INDIRECT("$K$4:$K$1374"),1),"")</f>
        <v/>
      </c>
      <c r="K459" s="292" t="n">
        <f aca="false">$K$388+COUNTIF($Q$389:Q459,"&gt;0")</f>
        <v>0</v>
      </c>
      <c r="L459" s="292" t="str">
        <f aca="false">"Автомобильные держатели"</f>
        <v>Автомобильные держатели</v>
      </c>
      <c r="M459" s="292" t="str">
        <f aca="false">IF(ISBLANK('Автомобильные держатели'!$A$5),"",'Автомобильные держатели'!$A$5)</f>
        <v>BH224 Flash автомобильное магнитное беспроводное зарядное устройство (воздуховод)</v>
      </c>
      <c r="N459" s="292" t="str">
        <f aca="false">IF(ISBLANK('Автомобильные держатели'!$D$5),"",'Автомобильные держатели'!$D$5)</f>
        <v>6941991126918</v>
      </c>
      <c r="O459" s="292" t="str">
        <f aca="false">IF(ISBLANK('Автомобильные держатели'!$E$5),"",'Автомобильные держатели'!$E$5)</f>
        <v>чёрный</v>
      </c>
      <c r="P459" s="292" t="str">
        <f aca="false">"ед."</f>
        <v>ед.</v>
      </c>
      <c r="Q459" s="292" t="n">
        <f aca="false">N('Автомобильные держатели'!$G$5)</f>
        <v>0</v>
      </c>
      <c r="R459" s="299" t="n">
        <f aca="false">IF(ISBLANK('Автомобильные держатели'!$F$5),"",'Автомобильные держатели'!$F$5)</f>
        <v>448.51</v>
      </c>
      <c r="S459" s="292" t="str">
        <f aca="false">IF(ISBLANK('Автомобильные держатели'!$H$5),"",'Автомобильные держатели'!$H$5)</f>
        <v/>
      </c>
    </row>
    <row r="460" customFormat="false" ht="66" hidden="false" customHeight="true" outlineLevel="0" collapsed="false">
      <c r="A460" s="291" t="str">
        <f aca="true">IF(ISNUMBER($J460),INDIRECT("L"&amp;($J460+4)),"")</f>
        <v/>
      </c>
      <c r="B460" s="291" t="str">
        <f aca="true">IF(ISNUMBER($J460),INDIRECT("M"&amp;($J460+4)),"")</f>
        <v/>
      </c>
      <c r="C460" s="296" t="str">
        <f aca="true">IF(ISNUMBER($J460),INDIRECT("N"&amp;($J460+4)),"")</f>
        <v/>
      </c>
      <c r="D460" s="291" t="str">
        <f aca="true">IF(ISNUMBER($J460),INDIRECT("O"&amp;($J460+4)),"")</f>
        <v/>
      </c>
      <c r="E460" s="291" t="str">
        <f aca="true">IF(ISNUMBER($J460),INDIRECT("P"&amp;($J460+4)),"")</f>
        <v/>
      </c>
      <c r="F460" s="300" t="str">
        <f aca="true">IF(ISNUMBER($J460),INDIRECT("Q"&amp;($J460+4)),"")</f>
        <v/>
      </c>
      <c r="G460" s="298" t="str">
        <f aca="true">IF(ISNUMBER($J460),INDIRECT("R"&amp;($J460+4)),"")</f>
        <v/>
      </c>
      <c r="H460" s="298" t="str">
        <f aca="true">IF(ISNUMBER($J460),INDIRECT("S"&amp;($J460+4)),"")</f>
        <v/>
      </c>
      <c r="J460" s="292" t="str">
        <f aca="true">IF(456&lt;=$K$1,MATCH(455.5,INDIRECT("$K$4:$K$1374"),1),"")</f>
        <v/>
      </c>
      <c r="K460" s="292" t="n">
        <f aca="false">$K$388+COUNTIF($Q$389:Q460,"&gt;0")</f>
        <v>0</v>
      </c>
      <c r="L460" s="292" t="str">
        <f aca="false">"Автомобильные держатели"</f>
        <v>Автомобильные держатели</v>
      </c>
      <c r="M460" s="292" t="str">
        <f aca="false">IF(ISBLANK('Автомобильные держатели'!$A$6),"",'Автомобильные держатели'!$A$6)</f>
        <v>BH223 Follower автомобильный держатель с беспроводной зарядкой (панель приборов)</v>
      </c>
      <c r="N460" s="292" t="str">
        <f aca="false">IF(ISBLANK('Автомобильные держатели'!$D$6),"",'Автомобильные держатели'!$D$6)</f>
        <v>6941991121319</v>
      </c>
      <c r="O460" s="292" t="str">
        <f aca="false">IF(ISBLANK('Автомобильные держатели'!$E$6),"",'Автомобильные держатели'!$E$6)</f>
        <v>чёрный</v>
      </c>
      <c r="P460" s="292" t="str">
        <f aca="false">"ед."</f>
        <v>ед.</v>
      </c>
      <c r="Q460" s="292" t="n">
        <f aca="false">N('Автомобильные держатели'!$G$6)</f>
        <v>0</v>
      </c>
      <c r="R460" s="299" t="n">
        <f aca="false">IF(ISBLANK('Автомобильные держатели'!$F$6),"",'Автомобильные держатели'!$F$6)</f>
        <v>521.9</v>
      </c>
      <c r="S460" s="292" t="str">
        <f aca="false">IF(ISBLANK('Автомобильные держатели'!$H$6),"",'Автомобильные держатели'!$H$6)</f>
        <v/>
      </c>
    </row>
    <row r="461" customFormat="false" ht="66" hidden="false" customHeight="true" outlineLevel="0" collapsed="false">
      <c r="A461" s="291" t="str">
        <f aca="true">IF(ISNUMBER($J461),INDIRECT("L"&amp;($J461+4)),"")</f>
        <v/>
      </c>
      <c r="B461" s="291" t="str">
        <f aca="true">IF(ISNUMBER($J461),INDIRECT("M"&amp;($J461+4)),"")</f>
        <v/>
      </c>
      <c r="C461" s="296" t="str">
        <f aca="true">IF(ISNUMBER($J461),INDIRECT("N"&amp;($J461+4)),"")</f>
        <v/>
      </c>
      <c r="D461" s="291" t="str">
        <f aca="true">IF(ISNUMBER($J461),INDIRECT("O"&amp;($J461+4)),"")</f>
        <v/>
      </c>
      <c r="E461" s="291" t="str">
        <f aca="true">IF(ISNUMBER($J461),INDIRECT("P"&amp;($J461+4)),"")</f>
        <v/>
      </c>
      <c r="F461" s="300" t="str">
        <f aca="true">IF(ISNUMBER($J461),INDIRECT("Q"&amp;($J461+4)),"")</f>
        <v/>
      </c>
      <c r="G461" s="298" t="str">
        <f aca="true">IF(ISNUMBER($J461),INDIRECT("R"&amp;($J461+4)),"")</f>
        <v/>
      </c>
      <c r="H461" s="298" t="str">
        <f aca="true">IF(ISNUMBER($J461),INDIRECT("S"&amp;($J461+4)),"")</f>
        <v/>
      </c>
      <c r="J461" s="292" t="str">
        <f aca="true">IF(457&lt;=$K$1,MATCH(456.5,INDIRECT("$K$4:$K$1374"),1),"")</f>
        <v/>
      </c>
      <c r="K461" s="292" t="n">
        <f aca="false">$K$388+COUNTIF($Q$389:Q461,"&gt;0")</f>
        <v>0</v>
      </c>
      <c r="L461" s="292" t="str">
        <f aca="false">"Автомобильные держатели"</f>
        <v>Автомобильные держатели</v>
      </c>
      <c r="M461" s="292" t="str">
        <f aca="false">IF(ISBLANK('Автомобильные держатели'!$A$7),"",'Автомобильные держатели'!$A$7)</f>
        <v>BH222 Leading автомобильный держатель с беспроводной зарядкой (панель приборов)</v>
      </c>
      <c r="N461" s="292" t="str">
        <f aca="false">IF(ISBLANK('Автомобильные держатели'!$D$7),"",'Автомобильные держатели'!$D$7)</f>
        <v>6941991119019</v>
      </c>
      <c r="O461" s="292" t="str">
        <f aca="false">IF(ISBLANK('Автомобильные держатели'!$E$7),"",'Автомобильные держатели'!$E$7)</f>
        <v>чёрный металлик</v>
      </c>
      <c r="P461" s="292" t="str">
        <f aca="false">"ед."</f>
        <v>ед.</v>
      </c>
      <c r="Q461" s="292" t="n">
        <f aca="false">N('Автомобильные держатели'!$G$7)</f>
        <v>0</v>
      </c>
      <c r="R461" s="299" t="n">
        <f aca="false">IF(ISBLANK('Автомобильные держатели'!$F$7),"",'Автомобильные держатели'!$F$7)</f>
        <v>505.59</v>
      </c>
      <c r="S461" s="292" t="str">
        <f aca="false">IF(ISBLANK('Автомобильные держатели'!$H$7),"",'Автомобильные держатели'!$H$7)</f>
        <v/>
      </c>
    </row>
    <row r="462" customFormat="false" ht="66" hidden="false" customHeight="true" outlineLevel="0" collapsed="false">
      <c r="A462" s="291" t="str">
        <f aca="true">IF(ISNUMBER($J462),INDIRECT("L"&amp;($J462+4)),"")</f>
        <v/>
      </c>
      <c r="B462" s="291" t="str">
        <f aca="true">IF(ISNUMBER($J462),INDIRECT("M"&amp;($J462+4)),"")</f>
        <v/>
      </c>
      <c r="C462" s="296" t="str">
        <f aca="true">IF(ISNUMBER($J462),INDIRECT("N"&amp;($J462+4)),"")</f>
        <v/>
      </c>
      <c r="D462" s="291" t="str">
        <f aca="true">IF(ISNUMBER($J462),INDIRECT("O"&amp;($J462+4)),"")</f>
        <v/>
      </c>
      <c r="E462" s="291" t="str">
        <f aca="true">IF(ISNUMBER($J462),INDIRECT("P"&amp;($J462+4)),"")</f>
        <v/>
      </c>
      <c r="F462" s="300" t="str">
        <f aca="true">IF(ISNUMBER($J462),INDIRECT("Q"&amp;($J462+4)),"")</f>
        <v/>
      </c>
      <c r="G462" s="298" t="str">
        <f aca="true">IF(ISNUMBER($J462),INDIRECT("R"&amp;($J462+4)),"")</f>
        <v/>
      </c>
      <c r="H462" s="298" t="str">
        <f aca="true">IF(ISNUMBER($J462),INDIRECT("S"&amp;($J462+4)),"")</f>
        <v/>
      </c>
      <c r="J462" s="292" t="str">
        <f aca="true">IF(458&lt;=$K$1,MATCH(457.5,INDIRECT("$K$4:$K$1374"),1),"")</f>
        <v/>
      </c>
      <c r="K462" s="292" t="n">
        <f aca="false">$K$388+COUNTIF($Q$389:Q462,"&gt;0")</f>
        <v>0</v>
      </c>
      <c r="L462" s="292" t="str">
        <f aca="false">"Автомобильные держатели"</f>
        <v>Автомобильные держатели</v>
      </c>
      <c r="M462" s="292" t="str">
        <f aca="false">IF(ISBLANK('Автомобильные держатели'!$A$8),"",'Автомобильные держатели'!$A$8)</f>
        <v>BH221 Path автомобильный держатель с беспроводной зарядкой (воздуховод)</v>
      </c>
      <c r="N462" s="292" t="str">
        <f aca="false">IF(ISBLANK('Автомобильные держатели'!$D$8),"",'Автомобильные держатели'!$D$8)</f>
        <v>6941991119002</v>
      </c>
      <c r="O462" s="292" t="str">
        <f aca="false">IF(ISBLANK('Автомобильные держатели'!$E$8),"",'Автомобильные держатели'!$E$8)</f>
        <v>чёрный металлик</v>
      </c>
      <c r="P462" s="292" t="str">
        <f aca="false">"ед."</f>
        <v>ед.</v>
      </c>
      <c r="Q462" s="292" t="n">
        <f aca="false">N('Автомобильные держатели'!$G$8)</f>
        <v>0</v>
      </c>
      <c r="R462" s="299" t="n">
        <f aca="false">IF(ISBLANK('Автомобильные держатели'!$F$8),"",'Автомобильные держатели'!$F$8)</f>
        <v>448.51</v>
      </c>
      <c r="S462" s="292" t="str">
        <f aca="false">IF(ISBLANK('Автомобильные держатели'!$H$8),"",'Автомобильные держатели'!$H$8)</f>
        <v/>
      </c>
    </row>
    <row r="463" customFormat="false" ht="66" hidden="false" customHeight="true" outlineLevel="0" collapsed="false">
      <c r="A463" s="291" t="str">
        <f aca="true">IF(ISNUMBER($J463),INDIRECT("L"&amp;($J463+4)),"")</f>
        <v/>
      </c>
      <c r="B463" s="291" t="str">
        <f aca="true">IF(ISNUMBER($J463),INDIRECT("M"&amp;($J463+4)),"")</f>
        <v/>
      </c>
      <c r="C463" s="296" t="str">
        <f aca="true">IF(ISNUMBER($J463),INDIRECT("N"&amp;($J463+4)),"")</f>
        <v/>
      </c>
      <c r="D463" s="291" t="str">
        <f aca="true">IF(ISNUMBER($J463),INDIRECT("O"&amp;($J463+4)),"")</f>
        <v/>
      </c>
      <c r="E463" s="291" t="str">
        <f aca="true">IF(ISNUMBER($J463),INDIRECT("P"&amp;($J463+4)),"")</f>
        <v/>
      </c>
      <c r="F463" s="300" t="str">
        <f aca="true">IF(ISNUMBER($J463),INDIRECT("Q"&amp;($J463+4)),"")</f>
        <v/>
      </c>
      <c r="G463" s="298" t="str">
        <f aca="true">IF(ISNUMBER($J463),INDIRECT("R"&amp;($J463+4)),"")</f>
        <v/>
      </c>
      <c r="H463" s="298" t="str">
        <f aca="true">IF(ISNUMBER($J463),INDIRECT("S"&amp;($J463+4)),"")</f>
        <v/>
      </c>
      <c r="J463" s="292" t="str">
        <f aca="true">IF(459&lt;=$K$1,MATCH(458.5,INDIRECT("$K$4:$K$1374"),1),"")</f>
        <v/>
      </c>
      <c r="K463" s="292" t="n">
        <f aca="false">$K$388+COUNTIF($Q$389:Q463,"&gt;0")</f>
        <v>0</v>
      </c>
      <c r="L463" s="292" t="str">
        <f aca="false">"Автомобильные держатели"</f>
        <v>Автомобильные держатели</v>
      </c>
      <c r="M463" s="292" t="str">
        <f aca="false">IF(ISBLANK('Автомобильные держатели'!$A$11),"",'Автомобильные держатели'!$A$11)</f>
        <v>BH148 Vizion автомобильный держатель для панели приборов</v>
      </c>
      <c r="N463" s="292" t="str">
        <f aca="false">IF(ISBLANK('Автомобильные держатели'!$D$11),"",'Автомобильные держатели'!$D$11)</f>
        <v>6941991130250</v>
      </c>
      <c r="O463" s="292" t="str">
        <f aca="false">IF(ISBLANK('Автомобильные держатели'!$E$11),"",'Автомобильные держатели'!$E$11)</f>
        <v>black</v>
      </c>
      <c r="P463" s="292" t="str">
        <f aca="false">"ед."</f>
        <v>ед.</v>
      </c>
      <c r="Q463" s="292" t="n">
        <f aca="false">N('Автомобильные держатели'!$G$11)</f>
        <v>0</v>
      </c>
      <c r="R463" s="299" t="n">
        <f aca="false">IF(ISBLANK('Автомобильные держатели'!$F$11),"",'Автомобильные держатели'!$F$11)</f>
        <v>146.78</v>
      </c>
      <c r="S463" s="292" t="str">
        <f aca="false">IF(ISBLANK('Автомобильные держатели'!$H$11),"",'Автомобильные держатели'!$H$11)</f>
        <v/>
      </c>
    </row>
    <row r="464" customFormat="false" ht="66" hidden="false" customHeight="true" outlineLevel="0" collapsed="false">
      <c r="A464" s="291" t="str">
        <f aca="true">IF(ISNUMBER($J464),INDIRECT("L"&amp;($J464+4)),"")</f>
        <v/>
      </c>
      <c r="B464" s="291" t="str">
        <f aca="true">IF(ISNUMBER($J464),INDIRECT("M"&amp;($J464+4)),"")</f>
        <v/>
      </c>
      <c r="C464" s="296" t="str">
        <f aca="true">IF(ISNUMBER($J464),INDIRECT("N"&amp;($J464+4)),"")</f>
        <v/>
      </c>
      <c r="D464" s="291" t="str">
        <f aca="true">IF(ISNUMBER($J464),INDIRECT("O"&amp;($J464+4)),"")</f>
        <v/>
      </c>
      <c r="E464" s="291" t="str">
        <f aca="true">IF(ISNUMBER($J464),INDIRECT("P"&amp;($J464+4)),"")</f>
        <v/>
      </c>
      <c r="F464" s="300" t="str">
        <f aca="true">IF(ISNUMBER($J464),INDIRECT("Q"&amp;($J464+4)),"")</f>
        <v/>
      </c>
      <c r="G464" s="298" t="str">
        <f aca="true">IF(ISNUMBER($J464),INDIRECT("R"&amp;($J464+4)),"")</f>
        <v/>
      </c>
      <c r="H464" s="298" t="str">
        <f aca="true">IF(ISNUMBER($J464),INDIRECT("S"&amp;($J464+4)),"")</f>
        <v/>
      </c>
      <c r="J464" s="292" t="str">
        <f aca="true">IF(460&lt;=$K$1,MATCH(459.5,INDIRECT("$K$4:$K$1374"),1),"")</f>
        <v/>
      </c>
      <c r="K464" s="292" t="n">
        <f aca="false">$K$388+COUNTIF($Q$389:Q464,"&gt;0")</f>
        <v>0</v>
      </c>
      <c r="L464" s="292" t="str">
        <f aca="false">"Автомобильные держатели"</f>
        <v>Автомобильные держатели</v>
      </c>
      <c r="M464" s="292" t="str">
        <f aca="false">IF(ISBLANK('Автомобильные держатели'!$A$12),"",'Автомобильные держатели'!$A$12)</f>
        <v>BH147 Glide магнитный держатель (универсальный)</v>
      </c>
      <c r="N464" s="292" t="str">
        <f aca="false">IF(ISBLANK('Автомобильные держатели'!$D$12),"",'Автомобильные держатели'!$D$12)</f>
        <v>6941991129667</v>
      </c>
      <c r="O464" s="292" t="str">
        <f aca="false">IF(ISBLANK('Автомобильные держатели'!$E$12),"",'Автомобильные держатели'!$E$12)</f>
        <v>чёрный серый</v>
      </c>
      <c r="P464" s="292" t="str">
        <f aca="false">"ед."</f>
        <v>ед.</v>
      </c>
      <c r="Q464" s="292" t="n">
        <f aca="false">N('Автомобильные держатели'!$G$12)</f>
        <v>0</v>
      </c>
      <c r="R464" s="299" t="n">
        <f aca="false">IF(ISBLANK('Автомобильные держатели'!$F$12),"",'Автомобильные держатели'!$F$12)</f>
        <v>171.25</v>
      </c>
      <c r="S464" s="292" t="str">
        <f aca="false">IF(ISBLANK('Автомобильные держатели'!$H$12),"",'Автомобильные держатели'!$H$12)</f>
        <v/>
      </c>
    </row>
    <row r="465" customFormat="false" ht="66" hidden="false" customHeight="true" outlineLevel="0" collapsed="false">
      <c r="A465" s="291" t="str">
        <f aca="true">IF(ISNUMBER($J465),INDIRECT("L"&amp;($J465+4)),"")</f>
        <v/>
      </c>
      <c r="B465" s="291" t="str">
        <f aca="true">IF(ISNUMBER($J465),INDIRECT("M"&amp;($J465+4)),"")</f>
        <v/>
      </c>
      <c r="C465" s="296" t="str">
        <f aca="true">IF(ISNUMBER($J465),INDIRECT("N"&amp;($J465+4)),"")</f>
        <v/>
      </c>
      <c r="D465" s="291" t="str">
        <f aca="true">IF(ISNUMBER($J465),INDIRECT("O"&amp;($J465+4)),"")</f>
        <v/>
      </c>
      <c r="E465" s="291" t="str">
        <f aca="true">IF(ISNUMBER($J465),INDIRECT("P"&amp;($J465+4)),"")</f>
        <v/>
      </c>
      <c r="F465" s="300" t="str">
        <f aca="true">IF(ISNUMBER($J465),INDIRECT("Q"&amp;($J465+4)),"")</f>
        <v/>
      </c>
      <c r="G465" s="298" t="str">
        <f aca="true">IF(ISNUMBER($J465),INDIRECT("R"&amp;($J465+4)),"")</f>
        <v/>
      </c>
      <c r="H465" s="298" t="str">
        <f aca="true">IF(ISNUMBER($J465),INDIRECT("S"&amp;($J465+4)),"")</f>
        <v/>
      </c>
      <c r="J465" s="292" t="str">
        <f aca="true">IF(461&lt;=$K$1,MATCH(460.5,INDIRECT("$K$4:$K$1374"),1),"")</f>
        <v/>
      </c>
      <c r="K465" s="292" t="n">
        <f aca="false">$K$388+COUNTIF($Q$389:Q465,"&gt;0")</f>
        <v>0</v>
      </c>
      <c r="L465" s="292" t="str">
        <f aca="false">"Автомобильные держатели"</f>
        <v>Автомобильные держатели</v>
      </c>
      <c r="M465" s="292" t="str">
        <f aca="false">IF(ISBLANK('Автомобильные держатели'!$A$13),"",'Автомобильные держатели'!$A$13)</f>
        <v>BH146 Lake автомобильный держатель (приборная панель)</v>
      </c>
      <c r="N465" s="292" t="str">
        <f aca="false">IF(ISBLANK('Автомобильные держатели'!$D$13),"",'Автомобильные держатели'!$D$13)</f>
        <v>6941991129490</v>
      </c>
      <c r="O465" s="292" t="str">
        <f aca="false">IF(ISBLANK('Автомобильные держатели'!$E$13),"",'Автомобильные держатели'!$E$13)</f>
        <v>чёрный металлик</v>
      </c>
      <c r="P465" s="292" t="str">
        <f aca="false">"ед."</f>
        <v>ед.</v>
      </c>
      <c r="Q465" s="292" t="n">
        <f aca="false">N('Автомобильные держатели'!$G$13)</f>
        <v>0</v>
      </c>
      <c r="R465" s="299" t="n">
        <f aca="false">IF(ISBLANK('Автомобильные держатели'!$F$13),"",'Автомобильные держатели'!$F$13)</f>
        <v>179.4</v>
      </c>
      <c r="S465" s="292" t="str">
        <f aca="false">IF(ISBLANK('Автомобильные держатели'!$H$13),"",'Автомобильные держатели'!$H$13)</f>
        <v/>
      </c>
    </row>
    <row r="466" customFormat="false" ht="66" hidden="false" customHeight="true" outlineLevel="0" collapsed="false">
      <c r="A466" s="291" t="str">
        <f aca="true">IF(ISNUMBER($J466),INDIRECT("L"&amp;($J466+4)),"")</f>
        <v/>
      </c>
      <c r="B466" s="291" t="str">
        <f aca="true">IF(ISNUMBER($J466),INDIRECT("M"&amp;($J466+4)),"")</f>
        <v/>
      </c>
      <c r="C466" s="296" t="str">
        <f aca="true">IF(ISNUMBER($J466),INDIRECT("N"&amp;($J466+4)),"")</f>
        <v/>
      </c>
      <c r="D466" s="291" t="str">
        <f aca="true">IF(ISNUMBER($J466),INDIRECT("O"&amp;($J466+4)),"")</f>
        <v/>
      </c>
      <c r="E466" s="291" t="str">
        <f aca="true">IF(ISNUMBER($J466),INDIRECT("P"&amp;($J466+4)),"")</f>
        <v/>
      </c>
      <c r="F466" s="300" t="str">
        <f aca="true">IF(ISNUMBER($J466),INDIRECT("Q"&amp;($J466+4)),"")</f>
        <v/>
      </c>
      <c r="G466" s="298" t="str">
        <f aca="true">IF(ISNUMBER($J466),INDIRECT("R"&amp;($J466+4)),"")</f>
        <v/>
      </c>
      <c r="H466" s="298" t="str">
        <f aca="true">IF(ISNUMBER($J466),INDIRECT("S"&amp;($J466+4)),"")</f>
        <v/>
      </c>
      <c r="J466" s="292" t="str">
        <f aca="true">IF(462&lt;=$K$1,MATCH(461.5,INDIRECT("$K$4:$K$1374"),1),"")</f>
        <v/>
      </c>
      <c r="K466" s="292" t="n">
        <f aca="false">$K$388+COUNTIF($Q$389:Q466,"&gt;0")</f>
        <v>0</v>
      </c>
      <c r="L466" s="292" t="str">
        <f aca="false">"Автомобильные держатели"</f>
        <v>Автомобильные держатели</v>
      </c>
      <c r="M466" s="292" t="str">
        <f aca="false">IF(ISBLANK('Автомобильные держатели'!$A$14),"",'Автомобильные держатели'!$A$14)</f>
        <v>BH145 Lake автомобильный держатель (воздуховод)</v>
      </c>
      <c r="N466" s="292" t="str">
        <f aca="false">IF(ISBLANK('Автомобильные держатели'!$D$14),"",'Автомобильные держатели'!$D$14)</f>
        <v>6941991129483</v>
      </c>
      <c r="O466" s="292" t="str">
        <f aca="false">IF(ISBLANK('Автомобильные держатели'!$E$14),"",'Автомобильные держатели'!$E$14)</f>
        <v>чёрный</v>
      </c>
      <c r="P466" s="292" t="str">
        <f aca="false">"ед."</f>
        <v>ед.</v>
      </c>
      <c r="Q466" s="292" t="n">
        <f aca="false">N('Автомобильные держатели'!$G$14)</f>
        <v>0</v>
      </c>
      <c r="R466" s="299" t="n">
        <f aca="false">IF(ISBLANK('Автомобильные держатели'!$F$14),"",'Автомобильные держатели'!$F$14)</f>
        <v>138.63</v>
      </c>
      <c r="S466" s="292" t="str">
        <f aca="false">IF(ISBLANK('Автомобильные держатели'!$H$14),"",'Автомобильные держатели'!$H$14)</f>
        <v/>
      </c>
    </row>
    <row r="467" customFormat="false" ht="66" hidden="false" customHeight="true" outlineLevel="0" collapsed="false">
      <c r="A467" s="291" t="str">
        <f aca="true">IF(ISNUMBER($J467),INDIRECT("L"&amp;($J467+4)),"")</f>
        <v/>
      </c>
      <c r="B467" s="291" t="str">
        <f aca="true">IF(ISNUMBER($J467),INDIRECT("M"&amp;($J467+4)),"")</f>
        <v/>
      </c>
      <c r="C467" s="296" t="str">
        <f aca="true">IF(ISNUMBER($J467),INDIRECT("N"&amp;($J467+4)),"")</f>
        <v/>
      </c>
      <c r="D467" s="291" t="str">
        <f aca="true">IF(ISNUMBER($J467),INDIRECT("O"&amp;($J467+4)),"")</f>
        <v/>
      </c>
      <c r="E467" s="291" t="str">
        <f aca="true">IF(ISNUMBER($J467),INDIRECT("P"&amp;($J467+4)),"")</f>
        <v/>
      </c>
      <c r="F467" s="300" t="str">
        <f aca="true">IF(ISNUMBER($J467),INDIRECT("Q"&amp;($J467+4)),"")</f>
        <v/>
      </c>
      <c r="G467" s="298" t="str">
        <f aca="true">IF(ISNUMBER($J467),INDIRECT("R"&amp;($J467+4)),"")</f>
        <v/>
      </c>
      <c r="H467" s="298" t="str">
        <f aca="true">IF(ISNUMBER($J467),INDIRECT("S"&amp;($J467+4)),"")</f>
        <v/>
      </c>
      <c r="J467" s="292" t="str">
        <f aca="true">IF(463&lt;=$K$1,MATCH(462.5,INDIRECT("$K$4:$K$1374"),1),"")</f>
        <v/>
      </c>
      <c r="K467" s="292" t="n">
        <f aca="false">$K$388+COUNTIF($Q$389:Q467,"&gt;0")</f>
        <v>0</v>
      </c>
      <c r="L467" s="292" t="str">
        <f aca="false">"Автомобильные держатели"</f>
        <v>Автомобильные держатели</v>
      </c>
      <c r="M467" s="292" t="str">
        <f aca="false">IF(ISBLANK('Автомобильные держатели'!$A$15),"",'Автомобильные держатели'!$A$15)</f>
        <v>BH144 Custodio магнитный держатель на присоске (универсальный)</v>
      </c>
      <c r="N467" s="292" t="str">
        <f aca="false">IF(ISBLANK('Автомобильные держатели'!$D$15),"",'Автомобильные держатели'!$D$15)</f>
        <v>6941991127656</v>
      </c>
      <c r="O467" s="292" t="str">
        <f aca="false">IF(ISBLANK('Автомобильные держатели'!$E$15),"",'Автомобильные держатели'!$E$15)</f>
        <v>чёрный металлик</v>
      </c>
      <c r="P467" s="292" t="str">
        <f aca="false">"ед."</f>
        <v>ед.</v>
      </c>
      <c r="Q467" s="292" t="n">
        <f aca="false">N('Автомобильные держатели'!$G$15)</f>
        <v>0</v>
      </c>
      <c r="R467" s="299" t="n">
        <f aca="false">IF(ISBLANK('Автомобильные держатели'!$F$15),"",'Автомобильные держатели'!$F$15)</f>
        <v>318.03</v>
      </c>
      <c r="S467" s="292" t="str">
        <f aca="false">IF(ISBLANK('Автомобильные держатели'!$H$15),"",'Автомобильные держатели'!$H$15)</f>
        <v/>
      </c>
    </row>
    <row r="468" customFormat="false" ht="66" hidden="false" customHeight="true" outlineLevel="0" collapsed="false">
      <c r="A468" s="291" t="str">
        <f aca="true">IF(ISNUMBER($J468),INDIRECT("L"&amp;($J468+4)),"")</f>
        <v/>
      </c>
      <c r="B468" s="291" t="str">
        <f aca="true">IF(ISNUMBER($J468),INDIRECT("M"&amp;($J468+4)),"")</f>
        <v/>
      </c>
      <c r="C468" s="296" t="str">
        <f aca="true">IF(ISNUMBER($J468),INDIRECT("N"&amp;($J468+4)),"")</f>
        <v/>
      </c>
      <c r="D468" s="291" t="str">
        <f aca="true">IF(ISNUMBER($J468),INDIRECT("O"&amp;($J468+4)),"")</f>
        <v/>
      </c>
      <c r="E468" s="291" t="str">
        <f aca="true">IF(ISNUMBER($J468),INDIRECT("P"&amp;($J468+4)),"")</f>
        <v/>
      </c>
      <c r="F468" s="300" t="str">
        <f aca="true">IF(ISNUMBER($J468),INDIRECT("Q"&amp;($J468+4)),"")</f>
        <v/>
      </c>
      <c r="G468" s="298" t="str">
        <f aca="true">IF(ISNUMBER($J468),INDIRECT("R"&amp;($J468+4)),"")</f>
        <v/>
      </c>
      <c r="H468" s="298" t="str">
        <f aca="true">IF(ISNUMBER($J468),INDIRECT("S"&amp;($J468+4)),"")</f>
        <v/>
      </c>
      <c r="J468" s="292" t="str">
        <f aca="true">IF(464&lt;=$K$1,MATCH(463.5,INDIRECT("$K$4:$K$1374"),1),"")</f>
        <v/>
      </c>
      <c r="K468" s="292" t="n">
        <f aca="false">$K$388+COUNTIF($Q$389:Q468,"&gt;0")</f>
        <v>0</v>
      </c>
      <c r="L468" s="292" t="str">
        <f aca="false">"Автомобильные держатели"</f>
        <v>Автомобильные держатели</v>
      </c>
      <c r="M468" s="292" t="str">
        <f aca="false">IF(ISBLANK('Автомобильные держатели'!$A$16),"",'Автомобильные держатели'!$A$16)</f>
        <v>BH143 Keeper автомобильный магнитный держатель (воздуховод)</v>
      </c>
      <c r="N468" s="292" t="str">
        <f aca="false">IF(ISBLANK('Автомобильные держатели'!$D$16),"",'Автомобильные держатели'!$D$16)</f>
        <v>6941991127649</v>
      </c>
      <c r="O468" s="292" t="str">
        <f aca="false">IF(ISBLANK('Автомобильные держатели'!$E$16),"",'Автомобильные держатели'!$E$16)</f>
        <v>чёрный</v>
      </c>
      <c r="P468" s="292" t="str">
        <f aca="false">"ед."</f>
        <v>ед.</v>
      </c>
      <c r="Q468" s="292" t="n">
        <f aca="false">N('Автомобильные держатели'!$G$16)</f>
        <v>0</v>
      </c>
      <c r="R468" s="299" t="n">
        <f aca="false">IF(ISBLANK('Автомобильные держатели'!$F$16),"",'Автомобильные держатели'!$F$16)</f>
        <v>220.18</v>
      </c>
      <c r="S468" s="292" t="str">
        <f aca="false">IF(ISBLANK('Автомобильные держатели'!$H$16),"",'Автомобильные держатели'!$H$16)</f>
        <v/>
      </c>
    </row>
    <row r="469" customFormat="false" ht="66" hidden="false" customHeight="true" outlineLevel="0" collapsed="false">
      <c r="A469" s="291" t="str">
        <f aca="true">IF(ISNUMBER($J469),INDIRECT("L"&amp;($J469+4)),"")</f>
        <v/>
      </c>
      <c r="B469" s="291" t="str">
        <f aca="true">IF(ISNUMBER($J469),INDIRECT("M"&amp;($J469+4)),"")</f>
        <v/>
      </c>
      <c r="C469" s="296" t="str">
        <f aca="true">IF(ISNUMBER($J469),INDIRECT("N"&amp;($J469+4)),"")</f>
        <v/>
      </c>
      <c r="D469" s="291" t="str">
        <f aca="true">IF(ISNUMBER($J469),INDIRECT("O"&amp;($J469+4)),"")</f>
        <v/>
      </c>
      <c r="E469" s="291" t="str">
        <f aca="true">IF(ISNUMBER($J469),INDIRECT("P"&amp;($J469+4)),"")</f>
        <v/>
      </c>
      <c r="F469" s="300" t="str">
        <f aca="true">IF(ISNUMBER($J469),INDIRECT("Q"&amp;($J469+4)),"")</f>
        <v/>
      </c>
      <c r="G469" s="298" t="str">
        <f aca="true">IF(ISNUMBER($J469),INDIRECT("R"&amp;($J469+4)),"")</f>
        <v/>
      </c>
      <c r="H469" s="298" t="str">
        <f aca="true">IF(ISNUMBER($J469),INDIRECT("S"&amp;($J469+4)),"")</f>
        <v/>
      </c>
      <c r="J469" s="292" t="str">
        <f aca="true">IF(465&lt;=$K$1,MATCH(464.5,INDIRECT("$K$4:$K$1374"),1),"")</f>
        <v/>
      </c>
      <c r="K469" s="292" t="n">
        <f aca="false">$K$388+COUNTIF($Q$389:Q469,"&gt;0")</f>
        <v>0</v>
      </c>
      <c r="L469" s="292" t="str">
        <f aca="false">"Автомобильные держатели"</f>
        <v>Автомобильные держатели</v>
      </c>
      <c r="M469" s="292" t="str">
        <f aca="false">IF(ISBLANK('Автомобильные держатели'!$A$17),"",'Автомобильные держатели'!$A$17)</f>
        <v>BH142 Support автомобильный держатель (панель приборов)</v>
      </c>
      <c r="N469" s="292" t="str">
        <f aca="false">IF(ISBLANK('Автомобильные держатели'!$D$17),"",'Автомобильные держатели'!$D$17)</f>
        <v>6941991126383</v>
      </c>
      <c r="O469" s="292" t="str">
        <f aca="false">IF(ISBLANK('Автомобильные держатели'!$E$17),"",'Автомобильные держатели'!$E$17)</f>
        <v>чёрный</v>
      </c>
      <c r="P469" s="292" t="str">
        <f aca="false">"ед."</f>
        <v>ед.</v>
      </c>
      <c r="Q469" s="292" t="n">
        <f aca="false">N('Автомобильные держатели'!$G$17)</f>
        <v>0</v>
      </c>
      <c r="R469" s="299" t="n">
        <f aca="false">IF(ISBLANK('Автомобильные держатели'!$F$17),"",'Автомобильные держатели'!$F$17)</f>
        <v>179.4</v>
      </c>
      <c r="S469" s="292" t="str">
        <f aca="false">IF(ISBLANK('Автомобильные держатели'!$H$17),"",'Автомобильные держатели'!$H$17)</f>
        <v/>
      </c>
    </row>
    <row r="470" customFormat="false" ht="66" hidden="false" customHeight="true" outlineLevel="0" collapsed="false">
      <c r="A470" s="291" t="str">
        <f aca="true">IF(ISNUMBER($J470),INDIRECT("L"&amp;($J470+4)),"")</f>
        <v/>
      </c>
      <c r="B470" s="291" t="str">
        <f aca="true">IF(ISNUMBER($J470),INDIRECT("M"&amp;($J470+4)),"")</f>
        <v/>
      </c>
      <c r="C470" s="296" t="str">
        <f aca="true">IF(ISNUMBER($J470),INDIRECT("N"&amp;($J470+4)),"")</f>
        <v/>
      </c>
      <c r="D470" s="291" t="str">
        <f aca="true">IF(ISNUMBER($J470),INDIRECT("O"&amp;($J470+4)),"")</f>
        <v/>
      </c>
      <c r="E470" s="291" t="str">
        <f aca="true">IF(ISNUMBER($J470),INDIRECT("P"&amp;($J470+4)),"")</f>
        <v/>
      </c>
      <c r="F470" s="300" t="str">
        <f aca="true">IF(ISNUMBER($J470),INDIRECT("Q"&amp;($J470+4)),"")</f>
        <v/>
      </c>
      <c r="G470" s="298" t="str">
        <f aca="true">IF(ISNUMBER($J470),INDIRECT("R"&amp;($J470+4)),"")</f>
        <v/>
      </c>
      <c r="H470" s="298" t="str">
        <f aca="true">IF(ISNUMBER($J470),INDIRECT("S"&amp;($J470+4)),"")</f>
        <v/>
      </c>
      <c r="J470" s="292" t="str">
        <f aca="true">IF(466&lt;=$K$1,MATCH(465.5,INDIRECT("$K$4:$K$1374"),1),"")</f>
        <v/>
      </c>
      <c r="K470" s="292" t="n">
        <f aca="false">$K$388+COUNTIF($Q$389:Q470,"&gt;0")</f>
        <v>0</v>
      </c>
      <c r="L470" s="292" t="str">
        <f aca="false">"Автомобильные держатели"</f>
        <v>Автомобильные держатели</v>
      </c>
      <c r="M470" s="292" t="str">
        <f aca="false">IF(ISBLANK('Автомобильные держатели'!$A$18),"",'Автомобильные держатели'!$A$18)</f>
        <v>BH141 Camino держатель для велосипеда</v>
      </c>
      <c r="N470" s="292" t="str">
        <f aca="false">IF(ISBLANK('Автомобильные держатели'!$D$18),"",'Автомобильные держатели'!$D$18)</f>
        <v>6941991125584</v>
      </c>
      <c r="O470" s="292" t="str">
        <f aca="false">IF(ISBLANK('Автомобильные держатели'!$E$18),"",'Автомобильные держатели'!$E$18)</f>
        <v>чёрный</v>
      </c>
      <c r="P470" s="292" t="str">
        <f aca="false">"ед."</f>
        <v>ед.</v>
      </c>
      <c r="Q470" s="292" t="n">
        <f aca="false">N('Автомобильные держатели'!$G$18)</f>
        <v>0</v>
      </c>
      <c r="R470" s="299" t="n">
        <f aca="false">IF(ISBLANK('Автомобильные держатели'!$F$18),"",'Автомобильные держатели'!$F$18)</f>
        <v>187.56</v>
      </c>
      <c r="S470" s="292" t="str">
        <f aca="false">IF(ISBLANK('Автомобильные держатели'!$H$18),"",'Автомобильные держатели'!$H$18)</f>
        <v/>
      </c>
    </row>
    <row r="471" customFormat="false" ht="66" hidden="false" customHeight="true" outlineLevel="0" collapsed="false">
      <c r="A471" s="291" t="str">
        <f aca="true">IF(ISNUMBER($J471),INDIRECT("L"&amp;($J471+4)),"")</f>
        <v/>
      </c>
      <c r="B471" s="291" t="str">
        <f aca="true">IF(ISNUMBER($J471),INDIRECT("M"&amp;($J471+4)),"")</f>
        <v/>
      </c>
      <c r="C471" s="296" t="str">
        <f aca="true">IF(ISNUMBER($J471),INDIRECT("N"&amp;($J471+4)),"")</f>
        <v/>
      </c>
      <c r="D471" s="291" t="str">
        <f aca="true">IF(ISNUMBER($J471),INDIRECT("O"&amp;($J471+4)),"")</f>
        <v/>
      </c>
      <c r="E471" s="291" t="str">
        <f aca="true">IF(ISNUMBER($J471),INDIRECT("P"&amp;($J471+4)),"")</f>
        <v/>
      </c>
      <c r="F471" s="300" t="str">
        <f aca="true">IF(ISNUMBER($J471),INDIRECT("Q"&amp;($J471+4)),"")</f>
        <v/>
      </c>
      <c r="G471" s="298" t="str">
        <f aca="true">IF(ISNUMBER($J471),INDIRECT("R"&amp;($J471+4)),"")</f>
        <v/>
      </c>
      <c r="H471" s="298" t="str">
        <f aca="true">IF(ISNUMBER($J471),INDIRECT("S"&amp;($J471+4)),"")</f>
        <v/>
      </c>
      <c r="J471" s="292" t="str">
        <f aca="true">IF(467&lt;=$K$1,MATCH(466.5,INDIRECT("$K$4:$K$1374"),1),"")</f>
        <v/>
      </c>
      <c r="K471" s="292" t="n">
        <f aca="false">$K$388+COUNTIF($Q$389:Q471,"&gt;0")</f>
        <v>0</v>
      </c>
      <c r="L471" s="292" t="str">
        <f aca="false">"Автомобильные держатели"</f>
        <v>Автомобильные держатели</v>
      </c>
      <c r="M471" s="292" t="str">
        <f aca="false">IF(ISBLANK('Автомобильные держатели'!$A$19),"",'Автомобильные держатели'!$A$19)</f>
        <v>BH140 Gloria магнитный держатель (eybdthcfkmysq)</v>
      </c>
      <c r="N471" s="292" t="str">
        <f aca="false">IF(ISBLANK('Автомобильные держатели'!$D$19),"",'Автомобильные держатели'!$D$19)</f>
        <v>6941991125577</v>
      </c>
      <c r="O471" s="292" t="str">
        <f aca="false">IF(ISBLANK('Автомобильные держатели'!$E$19),"",'Автомобильные держатели'!$E$19)</f>
        <v>чёрный металлик</v>
      </c>
      <c r="P471" s="292" t="str">
        <f aca="false">"ед."</f>
        <v>ед.</v>
      </c>
      <c r="Q471" s="292" t="n">
        <f aca="false">N('Автомобильные держатели'!$G$19)</f>
        <v>0</v>
      </c>
      <c r="R471" s="299" t="n">
        <f aca="false">IF(ISBLANK('Автомобильные держатели'!$F$19),"",'Автомобильные держатели'!$F$19)</f>
        <v>236.49</v>
      </c>
      <c r="S471" s="292" t="str">
        <f aca="false">IF(ISBLANK('Автомобильные держатели'!$H$19),"",'Автомобильные держатели'!$H$19)</f>
        <v/>
      </c>
    </row>
    <row r="472" customFormat="false" ht="66" hidden="false" customHeight="true" outlineLevel="0" collapsed="false">
      <c r="A472" s="291" t="str">
        <f aca="true">IF(ISNUMBER($J472),INDIRECT("L"&amp;($J472+4)),"")</f>
        <v/>
      </c>
      <c r="B472" s="291" t="str">
        <f aca="true">IF(ISNUMBER($J472),INDIRECT("M"&amp;($J472+4)),"")</f>
        <v/>
      </c>
      <c r="C472" s="296" t="str">
        <f aca="true">IF(ISNUMBER($J472),INDIRECT("N"&amp;($J472+4)),"")</f>
        <v/>
      </c>
      <c r="D472" s="291" t="str">
        <f aca="true">IF(ISNUMBER($J472),INDIRECT("O"&amp;($J472+4)),"")</f>
        <v/>
      </c>
      <c r="E472" s="291" t="str">
        <f aca="true">IF(ISNUMBER($J472),INDIRECT("P"&amp;($J472+4)),"")</f>
        <v/>
      </c>
      <c r="F472" s="300" t="str">
        <f aca="true">IF(ISNUMBER($J472),INDIRECT("Q"&amp;($J472+4)),"")</f>
        <v/>
      </c>
      <c r="G472" s="298" t="str">
        <f aca="true">IF(ISNUMBER($J472),INDIRECT("R"&amp;($J472+4)),"")</f>
        <v/>
      </c>
      <c r="H472" s="298" t="str">
        <f aca="true">IF(ISNUMBER($J472),INDIRECT("S"&amp;($J472+4)),"")</f>
        <v/>
      </c>
      <c r="J472" s="292" t="str">
        <f aca="true">IF(468&lt;=$K$1,MATCH(467.5,INDIRECT("$K$4:$K$1374"),1),"")</f>
        <v/>
      </c>
      <c r="K472" s="292" t="n">
        <f aca="false">$K$388+COUNTIF($Q$389:Q472,"&gt;0")</f>
        <v>0</v>
      </c>
      <c r="L472" s="292" t="str">
        <f aca="false">"Автомобильные держатели"</f>
        <v>Автомобильные держатели</v>
      </c>
      <c r="M472" s="292" t="str">
        <f aca="false">IF(ISBLANK('Автомобильные держатели'!$A$20),"",'Автомобильные держатели'!$A$20)</f>
        <v>BH139 Rider магнитный держатель на присоске (универсальный)</v>
      </c>
      <c r="N472" s="292" t="str">
        <f aca="false">IF(ISBLANK('Автомобильные держатели'!$D$20),"",'Автомобильные держатели'!$D$20)</f>
        <v>6941991124815</v>
      </c>
      <c r="O472" s="292" t="str">
        <f aca="false">IF(ISBLANK('Автомобильные держатели'!$E$20),"",'Автомобильные держатели'!$E$20)</f>
        <v>черный</v>
      </c>
      <c r="P472" s="292" t="str">
        <f aca="false">"ед."</f>
        <v>ед.</v>
      </c>
      <c r="Q472" s="292" t="n">
        <f aca="false">N('Автомобильные держатели'!$G$20)</f>
        <v>0</v>
      </c>
      <c r="R472" s="299" t="n">
        <f aca="false">IF(ISBLANK('Автомобильные держатели'!$F$20),"",'Автомобильные держатели'!$F$20)</f>
        <v>318.03</v>
      </c>
      <c r="S472" s="292" t="str">
        <f aca="false">IF(ISBLANK('Автомобильные держатели'!$H$20),"",'Автомобильные держатели'!$H$20)</f>
        <v/>
      </c>
    </row>
    <row r="473" customFormat="false" ht="66" hidden="false" customHeight="true" outlineLevel="0" collapsed="false">
      <c r="A473" s="291" t="str">
        <f aca="true">IF(ISNUMBER($J473),INDIRECT("L"&amp;($J473+4)),"")</f>
        <v/>
      </c>
      <c r="B473" s="291" t="str">
        <f aca="true">IF(ISNUMBER($J473),INDIRECT("M"&amp;($J473+4)),"")</f>
        <v/>
      </c>
      <c r="C473" s="296" t="str">
        <f aca="true">IF(ISNUMBER($J473),INDIRECT("N"&amp;($J473+4)),"")</f>
        <v/>
      </c>
      <c r="D473" s="291" t="str">
        <f aca="true">IF(ISNUMBER($J473),INDIRECT("O"&amp;($J473+4)),"")</f>
        <v/>
      </c>
      <c r="E473" s="291" t="str">
        <f aca="true">IF(ISNUMBER($J473),INDIRECT("P"&amp;($J473+4)),"")</f>
        <v/>
      </c>
      <c r="F473" s="300" t="str">
        <f aca="true">IF(ISNUMBER($J473),INDIRECT("Q"&amp;($J473+4)),"")</f>
        <v/>
      </c>
      <c r="G473" s="298" t="str">
        <f aca="true">IF(ISNUMBER($J473),INDIRECT("R"&amp;($J473+4)),"")</f>
        <v/>
      </c>
      <c r="H473" s="298" t="str">
        <f aca="true">IF(ISNUMBER($J473),INDIRECT("S"&amp;($J473+4)),"")</f>
        <v/>
      </c>
      <c r="J473" s="292" t="str">
        <f aca="true">IF(469&lt;=$K$1,MATCH(468.5,INDIRECT("$K$4:$K$1374"),1),"")</f>
        <v/>
      </c>
      <c r="K473" s="292" t="n">
        <f aca="false">$K$388+COUNTIF($Q$389:Q473,"&gt;0")</f>
        <v>0</v>
      </c>
      <c r="L473" s="292" t="str">
        <f aca="false">"Автомобильные держатели"</f>
        <v>Автомобильные держатели</v>
      </c>
      <c r="M473" s="292" t="str">
        <f aca="false">IF(ISBLANK('Автомобильные держатели'!$A$21),"",'Автомобильные держатели'!$A$21)</f>
        <v>BH137 Knight универсальный держатель для велосипеда</v>
      </c>
      <c r="N473" s="292" t="str">
        <f aca="false">IF(ISBLANK('Автомобильные держатели'!$D$21),"",'Автомобильные держатели'!$D$21)</f>
        <v>6941991122934</v>
      </c>
      <c r="O473" s="292" t="str">
        <f aca="false">IF(ISBLANK('Автомобильные держатели'!$E$21),"",'Автомобильные держатели'!$E$21)</f>
        <v>черный</v>
      </c>
      <c r="P473" s="292" t="str">
        <f aca="false">"ед."</f>
        <v>ед.</v>
      </c>
      <c r="Q473" s="292" t="n">
        <f aca="false">N('Автомобильные держатели'!$G$21)</f>
        <v>0</v>
      </c>
      <c r="R473" s="299" t="n">
        <f aca="false">IF(ISBLANK('Автомобильные держатели'!$F$21),"",'Автомобильные держатели'!$F$21)</f>
        <v>122.32</v>
      </c>
      <c r="S473" s="292" t="str">
        <f aca="false">IF(ISBLANK('Автомобильные держатели'!$H$21),"",'Автомобильные держатели'!$H$21)</f>
        <v/>
      </c>
    </row>
    <row r="474" customFormat="false" ht="66" hidden="false" customHeight="true" outlineLevel="0" collapsed="false">
      <c r="A474" s="291" t="str">
        <f aca="true">IF(ISNUMBER($J474),INDIRECT("L"&amp;($J474+4)),"")</f>
        <v/>
      </c>
      <c r="B474" s="291" t="str">
        <f aca="true">IF(ISNUMBER($J474),INDIRECT("M"&amp;($J474+4)),"")</f>
        <v/>
      </c>
      <c r="C474" s="296" t="str">
        <f aca="true">IF(ISNUMBER($J474),INDIRECT("N"&amp;($J474+4)),"")</f>
        <v/>
      </c>
      <c r="D474" s="291" t="str">
        <f aca="true">IF(ISNUMBER($J474),INDIRECT("O"&amp;($J474+4)),"")</f>
        <v/>
      </c>
      <c r="E474" s="291" t="str">
        <f aca="true">IF(ISNUMBER($J474),INDIRECT("P"&amp;($J474+4)),"")</f>
        <v/>
      </c>
      <c r="F474" s="300" t="str">
        <f aca="true">IF(ISNUMBER($J474),INDIRECT("Q"&amp;($J474+4)),"")</f>
        <v/>
      </c>
      <c r="G474" s="298" t="str">
        <f aca="true">IF(ISNUMBER($J474),INDIRECT("R"&amp;($J474+4)),"")</f>
        <v/>
      </c>
      <c r="H474" s="298" t="str">
        <f aca="true">IF(ISNUMBER($J474),INDIRECT("S"&amp;($J474+4)),"")</f>
        <v/>
      </c>
      <c r="J474" s="292" t="str">
        <f aca="true">IF(470&lt;=$K$1,MATCH(469.5,INDIRECT("$K$4:$K$1374"),1),"")</f>
        <v/>
      </c>
      <c r="K474" s="292" t="n">
        <f aca="false">$K$388+COUNTIF($Q$389:Q474,"&gt;0")</f>
        <v>0</v>
      </c>
      <c r="L474" s="292" t="str">
        <f aca="false">"Автомобильные держатели"</f>
        <v>Автомобильные держатели</v>
      </c>
      <c r="M474" s="292" t="str">
        <f aca="false">IF(ISBLANK('Автомобильные держатели'!$A$22),"",'Автомобильные держатели'!$A$22)</f>
        <v>BH134 Rio push-type автомобильный держатель (панель приборов)</v>
      </c>
      <c r="N474" s="292" t="str">
        <f aca="false">IF(ISBLANK('Автомобильные держатели'!$D$22),"",'Автомобильные держатели'!$D$22)</f>
        <v>6941991120671</v>
      </c>
      <c r="O474" s="292" t="str">
        <f aca="false">IF(ISBLANK('Автомобильные держатели'!$E$22),"",'Автомобильные держатели'!$E$22)</f>
        <v>черный</v>
      </c>
      <c r="P474" s="292" t="str">
        <f aca="false">"ед."</f>
        <v>ед.</v>
      </c>
      <c r="Q474" s="292" t="n">
        <f aca="false">N('Автомобильные держатели'!$G$22)</f>
        <v>0</v>
      </c>
      <c r="R474" s="299" t="n">
        <f aca="false">IF(ISBLANK('Автомобильные держатели'!$F$22),"",'Автомобильные держатели'!$F$22)</f>
        <v>215.28</v>
      </c>
      <c r="S474" s="292" t="str">
        <f aca="false">IF(ISBLANK('Автомобильные держатели'!$H$22),"",'Автомобильные держатели'!$H$22)</f>
        <v/>
      </c>
    </row>
    <row r="475" customFormat="false" ht="66" hidden="false" customHeight="true" outlineLevel="0" collapsed="false">
      <c r="A475" s="291" t="str">
        <f aca="true">IF(ISNUMBER($J475),INDIRECT("L"&amp;($J475+4)),"")</f>
        <v/>
      </c>
      <c r="B475" s="291" t="str">
        <f aca="true">IF(ISNUMBER($J475),INDIRECT("M"&amp;($J475+4)),"")</f>
        <v/>
      </c>
      <c r="C475" s="296" t="str">
        <f aca="true">IF(ISNUMBER($J475),INDIRECT("N"&amp;($J475+4)),"")</f>
        <v/>
      </c>
      <c r="D475" s="291" t="str">
        <f aca="true">IF(ISNUMBER($J475),INDIRECT("O"&amp;($J475+4)),"")</f>
        <v/>
      </c>
      <c r="E475" s="291" t="str">
        <f aca="true">IF(ISNUMBER($J475),INDIRECT("P"&amp;($J475+4)),"")</f>
        <v/>
      </c>
      <c r="F475" s="300" t="str">
        <f aca="true">IF(ISNUMBER($J475),INDIRECT("Q"&amp;($J475+4)),"")</f>
        <v/>
      </c>
      <c r="G475" s="298" t="str">
        <f aca="true">IF(ISNUMBER($J475),INDIRECT("R"&amp;($J475+4)),"")</f>
        <v/>
      </c>
      <c r="H475" s="298" t="str">
        <f aca="true">IF(ISNUMBER($J475),INDIRECT("S"&amp;($J475+4)),"")</f>
        <v/>
      </c>
      <c r="J475" s="292" t="str">
        <f aca="true">IF(471&lt;=$K$1,MATCH(470.5,INDIRECT("$K$4:$K$1374"),1),"")</f>
        <v/>
      </c>
      <c r="K475" s="292" t="n">
        <f aca="false">$K$388+COUNTIF($Q$389:Q475,"&gt;0")</f>
        <v>0</v>
      </c>
      <c r="L475" s="292" t="str">
        <f aca="false">"Автомобильные держатели"</f>
        <v>Автомобильные держатели</v>
      </c>
      <c r="M475" s="292" t="str">
        <f aca="false">IF(ISBLANK('Автомобильные держатели'!$A$23),"",'Автомобильные держатели'!$A$23)</f>
        <v>BH133 Rio автомобильный держатель (воздуховод)</v>
      </c>
      <c r="N475" s="292" t="str">
        <f aca="false">IF(ISBLANK('Автомобильные держатели'!$D$23),"",'Автомобильные держатели'!$D$23)</f>
        <v>6941991120664</v>
      </c>
      <c r="O475" s="292" t="str">
        <f aca="false">IF(ISBLANK('Автомобильные держатели'!$E$23),"",'Автомобильные держатели'!$E$23)</f>
        <v>черный</v>
      </c>
      <c r="P475" s="292" t="str">
        <f aca="false">"ед."</f>
        <v>ед.</v>
      </c>
      <c r="Q475" s="292" t="n">
        <f aca="false">N('Автомобильные держатели'!$G$23)</f>
        <v>0</v>
      </c>
      <c r="R475" s="299" t="n">
        <f aca="false">IF(ISBLANK('Автомобильные держатели'!$F$23),"",'Автомобильные держатели'!$F$23)</f>
        <v>172.88</v>
      </c>
      <c r="S475" s="292" t="str">
        <f aca="false">IF(ISBLANK('Автомобильные держатели'!$H$23),"",'Автомобильные держатели'!$H$23)</f>
        <v/>
      </c>
    </row>
    <row r="476" customFormat="false" ht="66" hidden="false" customHeight="true" outlineLevel="0" collapsed="false">
      <c r="A476" s="291" t="str">
        <f aca="true">IF(ISNUMBER($J476),INDIRECT("L"&amp;($J476+4)),"")</f>
        <v/>
      </c>
      <c r="B476" s="291" t="str">
        <f aca="true">IF(ISNUMBER($J476),INDIRECT("M"&amp;($J476+4)),"")</f>
        <v/>
      </c>
      <c r="C476" s="296" t="str">
        <f aca="true">IF(ISNUMBER($J476),INDIRECT("N"&amp;($J476+4)),"")</f>
        <v/>
      </c>
      <c r="D476" s="291" t="str">
        <f aca="true">IF(ISNUMBER($J476),INDIRECT("O"&amp;($J476+4)),"")</f>
        <v/>
      </c>
      <c r="E476" s="291" t="str">
        <f aca="true">IF(ISNUMBER($J476),INDIRECT("P"&amp;($J476+4)),"")</f>
        <v/>
      </c>
      <c r="F476" s="300" t="str">
        <f aca="true">IF(ISNUMBER($J476),INDIRECT("Q"&amp;($J476+4)),"")</f>
        <v/>
      </c>
      <c r="G476" s="298" t="str">
        <f aca="true">IF(ISNUMBER($J476),INDIRECT("R"&amp;($J476+4)),"")</f>
        <v/>
      </c>
      <c r="H476" s="298" t="str">
        <f aca="true">IF(ISNUMBER($J476),INDIRECT("S"&amp;($J476+4)),"")</f>
        <v/>
      </c>
      <c r="J476" s="292" t="str">
        <f aca="true">IF(472&lt;=$K$1,MATCH(471.5,INDIRECT("$K$4:$K$1374"),1),"")</f>
        <v/>
      </c>
      <c r="K476" s="292" t="n">
        <f aca="false">$K$388+COUNTIF($Q$389:Q476,"&gt;0")</f>
        <v>0</v>
      </c>
      <c r="L476" s="292" t="str">
        <f aca="false">"Автомобильные держатели"</f>
        <v>Автомобильные держатели</v>
      </c>
      <c r="M476" s="292" t="str">
        <f aca="false">IF(ISBLANK('Автомобильные держатели'!$A$24),"",'Автомобильные держатели'!$A$24)</f>
        <v>BH131 Follower автомобильный держатель (воздуховод)</v>
      </c>
      <c r="N476" s="292" t="str">
        <f aca="false">IF(ISBLANK('Автомобильные держатели'!$D$24),"",'Автомобильные держатели'!$D$24)</f>
        <v>6941991121296</v>
      </c>
      <c r="O476" s="292" t="str">
        <f aca="false">IF(ISBLANK('Автомобильные держатели'!$E$24),"",'Автомобильные держатели'!$E$24)</f>
        <v>черный</v>
      </c>
      <c r="P476" s="292" t="str">
        <f aca="false">"ед."</f>
        <v>ед.</v>
      </c>
      <c r="Q476" s="292" t="n">
        <f aca="false">N('Автомобильные держатели'!$G$24)</f>
        <v>0</v>
      </c>
      <c r="R476" s="299" t="n">
        <f aca="false">IF(ISBLANK('Автомобильные держатели'!$F$24),"",'Автомобильные держатели'!$F$24)</f>
        <v>159.83</v>
      </c>
      <c r="S476" s="292" t="str">
        <f aca="false">IF(ISBLANK('Автомобильные держатели'!$H$24),"",'Автомобильные держатели'!$H$24)</f>
        <v/>
      </c>
    </row>
    <row r="477" customFormat="false" ht="66" hidden="false" customHeight="true" outlineLevel="0" collapsed="false">
      <c r="A477" s="291" t="str">
        <f aca="true">IF(ISNUMBER($J477),INDIRECT("L"&amp;($J477+4)),"")</f>
        <v/>
      </c>
      <c r="B477" s="291" t="str">
        <f aca="true">IF(ISNUMBER($J477),INDIRECT("M"&amp;($J477+4)),"")</f>
        <v/>
      </c>
      <c r="C477" s="296" t="str">
        <f aca="true">IF(ISNUMBER($J477),INDIRECT("N"&amp;($J477+4)),"")</f>
        <v/>
      </c>
      <c r="D477" s="291" t="str">
        <f aca="true">IF(ISNUMBER($J477),INDIRECT("O"&amp;($J477+4)),"")</f>
        <v/>
      </c>
      <c r="E477" s="291" t="str">
        <f aca="true">IF(ISNUMBER($J477),INDIRECT("P"&amp;($J477+4)),"")</f>
        <v/>
      </c>
      <c r="F477" s="300" t="str">
        <f aca="true">IF(ISNUMBER($J477),INDIRECT("Q"&amp;($J477+4)),"")</f>
        <v/>
      </c>
      <c r="G477" s="298" t="str">
        <f aca="true">IF(ISNUMBER($J477),INDIRECT("R"&amp;($J477+4)),"")</f>
        <v/>
      </c>
      <c r="H477" s="298" t="str">
        <f aca="true">IF(ISNUMBER($J477),INDIRECT("S"&amp;($J477+4)),"")</f>
        <v/>
      </c>
      <c r="J477" s="292" t="str">
        <f aca="true">IF(473&lt;=$K$1,MATCH(472.5,INDIRECT("$K$4:$K$1374"),1),"")</f>
        <v/>
      </c>
      <c r="K477" s="292" t="n">
        <f aca="false">$K$388+COUNTIF($Q$389:Q477,"&gt;0")</f>
        <v>0</v>
      </c>
      <c r="L477" s="292" t="str">
        <f aca="false">"Автомобильные держатели"</f>
        <v>Автомобильные держатели</v>
      </c>
      <c r="M477" s="292" t="str">
        <f aca="false">IF(ISBLANK('Автомобильные держатели'!$A$25),"",'Автомобильные держатели'!$A$25)</f>
        <v>BH125 Roman магнитный автомобильный держатель (панель приборов)</v>
      </c>
      <c r="N477" s="292" t="str">
        <f aca="false">IF(ISBLANK('Автомобильные держатели'!$D$25),"",'Автомобильные держатели'!$D$25)</f>
        <v>6941991119552</v>
      </c>
      <c r="O477" s="292" t="str">
        <f aca="false">IF(ISBLANK('Автомобильные держатели'!$E$25),"",'Автомобильные держатели'!$E$25)</f>
        <v>чёрный и красный</v>
      </c>
      <c r="P477" s="292" t="str">
        <f aca="false">"ед."</f>
        <v>ед.</v>
      </c>
      <c r="Q477" s="292" t="n">
        <f aca="false">N('Автомобильные держатели'!$G$25)</f>
        <v>0</v>
      </c>
      <c r="R477" s="299" t="n">
        <f aca="false">IF(ISBLANK('Автомобильные держатели'!$F$25),"",'Автомобильные держатели'!$F$25)</f>
        <v>195.71</v>
      </c>
      <c r="S477" s="292" t="str">
        <f aca="false">IF(ISBLANK('Автомобильные держатели'!$H$25),"",'Автомобильные держатели'!$H$25)</f>
        <v/>
      </c>
    </row>
    <row r="478" customFormat="false" ht="66" hidden="false" customHeight="true" outlineLevel="0" collapsed="false">
      <c r="A478" s="291" t="str">
        <f aca="true">IF(ISNUMBER($J478),INDIRECT("L"&amp;($J478+4)),"")</f>
        <v/>
      </c>
      <c r="B478" s="291" t="str">
        <f aca="true">IF(ISNUMBER($J478),INDIRECT("M"&amp;($J478+4)),"")</f>
        <v/>
      </c>
      <c r="C478" s="296" t="str">
        <f aca="true">IF(ISNUMBER($J478),INDIRECT("N"&amp;($J478+4)),"")</f>
        <v/>
      </c>
      <c r="D478" s="291" t="str">
        <f aca="true">IF(ISNUMBER($J478),INDIRECT("O"&amp;($J478+4)),"")</f>
        <v/>
      </c>
      <c r="E478" s="291" t="str">
        <f aca="true">IF(ISNUMBER($J478),INDIRECT("P"&amp;($J478+4)),"")</f>
        <v/>
      </c>
      <c r="F478" s="300" t="str">
        <f aca="true">IF(ISNUMBER($J478),INDIRECT("Q"&amp;($J478+4)),"")</f>
        <v/>
      </c>
      <c r="G478" s="298" t="str">
        <f aca="true">IF(ISNUMBER($J478),INDIRECT("R"&amp;($J478+4)),"")</f>
        <v/>
      </c>
      <c r="H478" s="298" t="str">
        <f aca="true">IF(ISNUMBER($J478),INDIRECT("S"&amp;($J478+4)),"")</f>
        <v/>
      </c>
      <c r="J478" s="292" t="str">
        <f aca="true">IF(474&lt;=$K$1,MATCH(473.5,INDIRECT("$K$4:$K$1374"),1),"")</f>
        <v/>
      </c>
      <c r="K478" s="292" t="n">
        <f aca="false">$K$388+COUNTIF($Q$389:Q478,"&gt;0")</f>
        <v>0</v>
      </c>
      <c r="L478" s="292" t="str">
        <f aca="false">"Автомобильные держатели"</f>
        <v>Автомобильные держатели</v>
      </c>
      <c r="M478" s="292" t="str">
        <f aca="false">IF(ISBLANK('Автомобильные держатели'!$A$26),"",'Автомобильные держатели'!$A$26)</f>
        <v>BH124 Roman магнитный автомобильный держатель (воздуховод)</v>
      </c>
      <c r="N478" s="292" t="str">
        <f aca="false">IF(ISBLANK('Автомобильные держатели'!$D$26),"",'Автомобильные держатели'!$D$26)</f>
        <v>6941991119545</v>
      </c>
      <c r="O478" s="292" t="str">
        <f aca="false">IF(ISBLANK('Автомобильные держатели'!$E$26),"",'Автомобильные держатели'!$E$26)</f>
        <v>чёрный и красный</v>
      </c>
      <c r="P478" s="292" t="str">
        <f aca="false">"ед."</f>
        <v>ед.</v>
      </c>
      <c r="Q478" s="292" t="n">
        <f aca="false">N('Автомобильные держатели'!$G$26)</f>
        <v>0</v>
      </c>
      <c r="R478" s="299" t="n">
        <f aca="false">IF(ISBLANK('Автомобильные держатели'!$F$26),"",'Автомобильные держатели'!$F$26)</f>
        <v>107.64</v>
      </c>
      <c r="S478" s="292" t="str">
        <f aca="false">IF(ISBLANK('Автомобильные держатели'!$H$26),"",'Автомобильные держатели'!$H$26)</f>
        <v/>
      </c>
    </row>
    <row r="479" customFormat="false" ht="66" hidden="false" customHeight="true" outlineLevel="0" collapsed="false">
      <c r="A479" s="291" t="str">
        <f aca="true">IF(ISNUMBER($J479),INDIRECT("L"&amp;($J479+4)),"")</f>
        <v/>
      </c>
      <c r="B479" s="291" t="str">
        <f aca="true">IF(ISNUMBER($J479),INDIRECT("M"&amp;($J479+4)),"")</f>
        <v/>
      </c>
      <c r="C479" s="296" t="str">
        <f aca="true">IF(ISNUMBER($J479),INDIRECT("N"&amp;($J479+4)),"")</f>
        <v/>
      </c>
      <c r="D479" s="291" t="str">
        <f aca="true">IF(ISNUMBER($J479),INDIRECT("O"&amp;($J479+4)),"")</f>
        <v/>
      </c>
      <c r="E479" s="291" t="str">
        <f aca="true">IF(ISNUMBER($J479),INDIRECT("P"&amp;($J479+4)),"")</f>
        <v/>
      </c>
      <c r="F479" s="300" t="str">
        <f aca="true">IF(ISNUMBER($J479),INDIRECT("Q"&amp;($J479+4)),"")</f>
        <v/>
      </c>
      <c r="G479" s="298" t="str">
        <f aca="true">IF(ISNUMBER($J479),INDIRECT("R"&amp;($J479+4)),"")</f>
        <v/>
      </c>
      <c r="H479" s="298" t="str">
        <f aca="true">IF(ISNUMBER($J479),INDIRECT("S"&amp;($J479+4)),"")</f>
        <v/>
      </c>
      <c r="J479" s="292" t="str">
        <f aca="true">IF(475&lt;=$K$1,MATCH(474.5,INDIRECT("$K$4:$K$1374"),1),"")</f>
        <v/>
      </c>
      <c r="K479" s="292" t="n">
        <f aca="false">$K$388+COUNTIF($Q$389:Q479,"&gt;0")</f>
        <v>0</v>
      </c>
      <c r="L479" s="292" t="str">
        <f aca="false">"Автомобильные держатели"</f>
        <v>Автомобильные держатели</v>
      </c>
      <c r="M479" s="292" t="str">
        <f aca="false">IF(ISBLANK('Автомобильные держатели'!$A$27),"",'Автомобильные держатели'!$A$27)</f>
        <v>BH123 Profit магнитный автомобильный держатель (панель приборов)</v>
      </c>
      <c r="N479" s="292" t="str">
        <f aca="false">IF(ISBLANK('Автомобильные держатели'!$D$27),"",'Автомобильные держатели'!$D$27)</f>
        <v>6941991118715</v>
      </c>
      <c r="O479" s="292" t="str">
        <f aca="false">IF(ISBLANK('Автомобильные держатели'!$E$27),"",'Автомобильные держатели'!$E$27)</f>
        <v>чёрный металлик</v>
      </c>
      <c r="P479" s="292" t="str">
        <f aca="false">"ед."</f>
        <v>ед.</v>
      </c>
      <c r="Q479" s="292" t="n">
        <f aca="false">N('Автомобильные держатели'!$G$27)</f>
        <v>0</v>
      </c>
      <c r="R479" s="299" t="n">
        <f aca="false">IF(ISBLANK('Автомобильные держатели'!$F$27),"",'Автомобильные держатели'!$F$27)</f>
        <v>334.34</v>
      </c>
      <c r="S479" s="292" t="str">
        <f aca="false">IF(ISBLANK('Автомобильные держатели'!$H$27),"",'Автомобильные держатели'!$H$27)</f>
        <v/>
      </c>
    </row>
    <row r="480" customFormat="false" ht="66" hidden="false" customHeight="true" outlineLevel="0" collapsed="false">
      <c r="A480" s="291" t="str">
        <f aca="true">IF(ISNUMBER($J480),INDIRECT("L"&amp;($J480+4)),"")</f>
        <v/>
      </c>
      <c r="B480" s="291" t="str">
        <f aca="true">IF(ISNUMBER($J480),INDIRECT("M"&amp;($J480+4)),"")</f>
        <v/>
      </c>
      <c r="C480" s="296" t="str">
        <f aca="true">IF(ISNUMBER($J480),INDIRECT("N"&amp;($J480+4)),"")</f>
        <v/>
      </c>
      <c r="D480" s="291" t="str">
        <f aca="true">IF(ISNUMBER($J480),INDIRECT("O"&amp;($J480+4)),"")</f>
        <v/>
      </c>
      <c r="E480" s="291" t="str">
        <f aca="true">IF(ISNUMBER($J480),INDIRECT("P"&amp;($J480+4)),"")</f>
        <v/>
      </c>
      <c r="F480" s="300" t="str">
        <f aca="true">IF(ISNUMBER($J480),INDIRECT("Q"&amp;($J480+4)),"")</f>
        <v/>
      </c>
      <c r="G480" s="298" t="str">
        <f aca="true">IF(ISNUMBER($J480),INDIRECT("R"&amp;($J480+4)),"")</f>
        <v/>
      </c>
      <c r="H480" s="298" t="str">
        <f aca="true">IF(ISNUMBER($J480),INDIRECT("S"&amp;($J480+4)),"")</f>
        <v/>
      </c>
      <c r="J480" s="292" t="str">
        <f aca="true">IF(476&lt;=$K$1,MATCH(475.5,INDIRECT("$K$4:$K$1374"),1),"")</f>
        <v/>
      </c>
      <c r="K480" s="292" t="n">
        <f aca="false">$K$388+COUNTIF($Q$389:Q480,"&gt;0")</f>
        <v>0</v>
      </c>
      <c r="L480" s="292" t="str">
        <f aca="false">"Автомобильные держатели"</f>
        <v>Автомобильные держатели</v>
      </c>
      <c r="M480" s="292" t="str">
        <f aca="false">IF(ISBLANK('Автомобильные держатели'!$A$28),"",'Автомобильные держатели'!$A$28)</f>
        <v>BH122 Profit магнитный автомобильный держатель (воздуховод)</v>
      </c>
      <c r="N480" s="292" t="str">
        <f aca="false">IF(ISBLANK('Автомобильные держатели'!$D$28),"",'Автомобильные держатели'!$D$28)</f>
        <v>6941991118708</v>
      </c>
      <c r="O480" s="292" t="str">
        <f aca="false">IF(ISBLANK('Автомобильные держатели'!$E$28),"",'Автомобильные держатели'!$E$28)</f>
        <v>чёрный металлик</v>
      </c>
      <c r="P480" s="292" t="str">
        <f aca="false">"ед."</f>
        <v>ед.</v>
      </c>
      <c r="Q480" s="292" t="n">
        <f aca="false">N('Автомобильные держатели'!$G$28)</f>
        <v>0</v>
      </c>
      <c r="R480" s="299" t="n">
        <f aca="false">IF(ISBLANK('Автомобильные держатели'!$F$28),"",'Автомобильные держатели'!$F$28)</f>
        <v>228.33</v>
      </c>
      <c r="S480" s="292" t="str">
        <f aca="false">IF(ISBLANK('Автомобильные держатели'!$H$28),"",'Автомобильные держатели'!$H$28)</f>
        <v/>
      </c>
    </row>
    <row r="481" customFormat="false" ht="66" hidden="false" customHeight="true" outlineLevel="0" collapsed="false">
      <c r="A481" s="291" t="str">
        <f aca="true">IF(ISNUMBER($J481),INDIRECT("L"&amp;($J481+4)),"")</f>
        <v/>
      </c>
      <c r="B481" s="291" t="str">
        <f aca="true">IF(ISNUMBER($J481),INDIRECT("M"&amp;($J481+4)),"")</f>
        <v/>
      </c>
      <c r="C481" s="296" t="str">
        <f aca="true">IF(ISNUMBER($J481),INDIRECT("N"&amp;($J481+4)),"")</f>
        <v/>
      </c>
      <c r="D481" s="291" t="str">
        <f aca="true">IF(ISNUMBER($J481),INDIRECT("O"&amp;($J481+4)),"")</f>
        <v/>
      </c>
      <c r="E481" s="291" t="str">
        <f aca="true">IF(ISNUMBER($J481),INDIRECT("P"&amp;($J481+4)),"")</f>
        <v/>
      </c>
      <c r="F481" s="300" t="str">
        <f aca="true">IF(ISNUMBER($J481),INDIRECT("Q"&amp;($J481+4)),"")</f>
        <v/>
      </c>
      <c r="G481" s="298" t="str">
        <f aca="true">IF(ISNUMBER($J481),INDIRECT("R"&amp;($J481+4)),"")</f>
        <v/>
      </c>
      <c r="H481" s="298" t="str">
        <f aca="true">IF(ISNUMBER($J481),INDIRECT("S"&amp;($J481+4)),"")</f>
        <v/>
      </c>
      <c r="J481" s="292" t="str">
        <f aca="true">IF(477&lt;=$K$1,MATCH(476.5,INDIRECT("$K$4:$K$1374"),1),"")</f>
        <v/>
      </c>
      <c r="K481" s="292" t="n">
        <f aca="false">$K$388+COUNTIF($Q$389:Q481,"&gt;0")</f>
        <v>0</v>
      </c>
      <c r="L481" s="292" t="str">
        <f aca="false">"Автомобильные держатели"</f>
        <v>Автомобильные держатели</v>
      </c>
      <c r="M481" s="292" t="str">
        <f aca="false">IF(ISBLANK('Автомобильные держатели'!$A$29),"",'Автомобильные держатели'!$A$29)</f>
        <v>BH121 Eternal магнитный автомобильный держатель</v>
      </c>
      <c r="N481" s="292" t="str">
        <f aca="false">IF(ISBLANK('Автомобильные держатели'!$D$29),"",'Автомобильные держатели'!$D$29)</f>
        <v>6941991115271</v>
      </c>
      <c r="O481" s="292" t="str">
        <f aca="false">IF(ISBLANK('Автомобильные держатели'!$E$29),"",'Автомобильные держатели'!$E$29)</f>
        <v>чёрный серый</v>
      </c>
      <c r="P481" s="292" t="str">
        <f aca="false">"ед."</f>
        <v>ед.</v>
      </c>
      <c r="Q481" s="292" t="n">
        <f aca="false">N('Автомобильные держатели'!$G$29)</f>
        <v>0</v>
      </c>
      <c r="R481" s="299" t="n">
        <f aca="false">IF(ISBLANK('Автомобильные держатели'!$F$29),"",'Автомобильные держатели'!$F$29)</f>
        <v>110.9</v>
      </c>
      <c r="S481" s="292" t="str">
        <f aca="false">IF(ISBLANK('Автомобильные держатели'!$H$29),"",'Автомобильные держатели'!$H$29)</f>
        <v/>
      </c>
    </row>
    <row r="482" customFormat="false" ht="66" hidden="false" customHeight="true" outlineLevel="0" collapsed="false">
      <c r="A482" s="291" t="str">
        <f aca="true">IF(ISNUMBER($J482),INDIRECT("L"&amp;($J482+4)),"")</f>
        <v/>
      </c>
      <c r="B482" s="291" t="str">
        <f aca="true">IF(ISNUMBER($J482),INDIRECT("M"&amp;($J482+4)),"")</f>
        <v/>
      </c>
      <c r="C482" s="296" t="str">
        <f aca="true">IF(ISNUMBER($J482),INDIRECT("N"&amp;($J482+4)),"")</f>
        <v/>
      </c>
      <c r="D482" s="291" t="str">
        <f aca="true">IF(ISNUMBER($J482),INDIRECT("O"&amp;($J482+4)),"")</f>
        <v/>
      </c>
      <c r="E482" s="291" t="str">
        <f aca="true">IF(ISNUMBER($J482),INDIRECT("P"&amp;($J482+4)),"")</f>
        <v/>
      </c>
      <c r="F482" s="300" t="str">
        <f aca="true">IF(ISNUMBER($J482),INDIRECT("Q"&amp;($J482+4)),"")</f>
        <v/>
      </c>
      <c r="G482" s="298" t="str">
        <f aca="true">IF(ISNUMBER($J482),INDIRECT("R"&amp;($J482+4)),"")</f>
        <v/>
      </c>
      <c r="H482" s="298" t="str">
        <f aca="true">IF(ISNUMBER($J482),INDIRECT("S"&amp;($J482+4)),"")</f>
        <v/>
      </c>
      <c r="J482" s="292" t="str">
        <f aca="true">IF(478&lt;=$K$1,MATCH(477.5,INDIRECT("$K$4:$K$1374"),1),"")</f>
        <v/>
      </c>
      <c r="K482" s="292" t="n">
        <f aca="false">$K$388+COUNTIF($Q$389:Q482,"&gt;0")</f>
        <v>0</v>
      </c>
      <c r="L482" s="292" t="str">
        <f aca="false">"Автомобильные держатели"</f>
        <v>Автомобильные держатели</v>
      </c>
      <c r="M482" s="292" t="str">
        <f aca="false">IF(ISBLANK('Автомобильные держатели'!$A$30),"",'Автомобильные держатели'!$A$30)</f>
        <v>BH119 Refined автомобильный держатель (панель приборов)</v>
      </c>
      <c r="N482" s="292" t="str">
        <f aca="false">IF(ISBLANK('Автомобильные держатели'!$D$30),"",'Автомобильные держатели'!$D$30)</f>
        <v>6941991114458</v>
      </c>
      <c r="O482" s="292" t="str">
        <f aca="false">IF(ISBLANK('Автомобильные держатели'!$E$30),"",'Автомобильные держатели'!$E$30)</f>
        <v>черный металлик</v>
      </c>
      <c r="P482" s="292" t="str">
        <f aca="false">"ед."</f>
        <v>ед.</v>
      </c>
      <c r="Q482" s="292" t="n">
        <f aca="false">N('Автомобильные держатели'!$G$30)</f>
        <v>0</v>
      </c>
      <c r="R482" s="299" t="n">
        <f aca="false">IF(ISBLANK('Автомобильные держатели'!$F$30),"",'Автомобильные держатели'!$F$30)</f>
        <v>238.12</v>
      </c>
      <c r="S482" s="292" t="str">
        <f aca="false">IF(ISBLANK('Автомобильные держатели'!$H$30),"",'Автомобильные держатели'!$H$30)</f>
        <v/>
      </c>
    </row>
    <row r="483" customFormat="false" ht="66" hidden="false" customHeight="true" outlineLevel="0" collapsed="false">
      <c r="A483" s="291" t="str">
        <f aca="true">IF(ISNUMBER($J483),INDIRECT("L"&amp;($J483+4)),"")</f>
        <v/>
      </c>
      <c r="B483" s="291" t="str">
        <f aca="true">IF(ISNUMBER($J483),INDIRECT("M"&amp;($J483+4)),"")</f>
        <v/>
      </c>
      <c r="C483" s="296" t="str">
        <f aca="true">IF(ISNUMBER($J483),INDIRECT("N"&amp;($J483+4)),"")</f>
        <v/>
      </c>
      <c r="D483" s="291" t="str">
        <f aca="true">IF(ISNUMBER($J483),INDIRECT("O"&amp;($J483+4)),"")</f>
        <v/>
      </c>
      <c r="E483" s="291" t="str">
        <f aca="true">IF(ISNUMBER($J483),INDIRECT("P"&amp;($J483+4)),"")</f>
        <v/>
      </c>
      <c r="F483" s="300" t="str">
        <f aca="true">IF(ISNUMBER($J483),INDIRECT("Q"&amp;($J483+4)),"")</f>
        <v/>
      </c>
      <c r="G483" s="298" t="str">
        <f aca="true">IF(ISNUMBER($J483),INDIRECT("R"&amp;($J483+4)),"")</f>
        <v/>
      </c>
      <c r="H483" s="298" t="str">
        <f aca="true">IF(ISNUMBER($J483),INDIRECT("S"&amp;($J483+4)),"")</f>
        <v/>
      </c>
      <c r="J483" s="292" t="str">
        <f aca="true">IF(479&lt;=$K$1,MATCH(478.5,INDIRECT("$K$4:$K$1374"),1),"")</f>
        <v/>
      </c>
      <c r="K483" s="292" t="n">
        <f aca="false">$K$388+COUNTIF($Q$389:Q483,"&gt;0")</f>
        <v>0</v>
      </c>
      <c r="L483" s="292" t="str">
        <f aca="false">"Автомобильные держатели"</f>
        <v>Автомобильные держатели</v>
      </c>
      <c r="M483" s="292" t="str">
        <f aca="false">IF(ISBLANK('Автомобильные держатели'!$A$31),"",'Автомобильные держатели'!$A$31)</f>
        <v>BH118 Refined автомобильный держатель (air outlet)</v>
      </c>
      <c r="N483" s="292" t="str">
        <f aca="false">IF(ISBLANK('Автомобильные держатели'!$D$31),"",'Автомобильные держатели'!$D$31)</f>
        <v>6941991114441</v>
      </c>
      <c r="O483" s="292" t="str">
        <f aca="false">IF(ISBLANK('Автомобильные держатели'!$E$31),"",'Автомобильные держатели'!$E$31)</f>
        <v>черный металлик</v>
      </c>
      <c r="P483" s="292" t="str">
        <f aca="false">"ед."</f>
        <v>ед.</v>
      </c>
      <c r="Q483" s="292" t="n">
        <f aca="false">N('Автомобильные держатели'!$G$31)</f>
        <v>0</v>
      </c>
      <c r="R483" s="299" t="n">
        <f aca="false">IF(ISBLANK('Автомобильные держатели'!$F$31),"",'Автомобильные держатели'!$F$31)</f>
        <v>228.33</v>
      </c>
      <c r="S483" s="292" t="str">
        <f aca="false">IF(ISBLANK('Автомобильные держатели'!$H$31),"",'Автомобильные держатели'!$H$31)</f>
        <v/>
      </c>
    </row>
    <row r="484" customFormat="false" ht="66" hidden="false" customHeight="true" outlineLevel="0" collapsed="false">
      <c r="A484" s="291" t="str">
        <f aca="true">IF(ISNUMBER($J484),INDIRECT("L"&amp;($J484+4)),"")</f>
        <v/>
      </c>
      <c r="B484" s="291" t="str">
        <f aca="true">IF(ISNUMBER($J484),INDIRECT("M"&amp;($J484+4)),"")</f>
        <v/>
      </c>
      <c r="C484" s="296" t="str">
        <f aca="true">IF(ISNUMBER($J484),INDIRECT("N"&amp;($J484+4)),"")</f>
        <v/>
      </c>
      <c r="D484" s="291" t="str">
        <f aca="true">IF(ISNUMBER($J484),INDIRECT("O"&amp;($J484+4)),"")</f>
        <v/>
      </c>
      <c r="E484" s="291" t="str">
        <f aca="true">IF(ISNUMBER($J484),INDIRECT("P"&amp;($J484+4)),"")</f>
        <v/>
      </c>
      <c r="F484" s="300" t="str">
        <f aca="true">IF(ISNUMBER($J484),INDIRECT("Q"&amp;($J484+4)),"")</f>
        <v/>
      </c>
      <c r="G484" s="298" t="str">
        <f aca="true">IF(ISNUMBER($J484),INDIRECT("R"&amp;($J484+4)),"")</f>
        <v/>
      </c>
      <c r="H484" s="298" t="str">
        <f aca="true">IF(ISNUMBER($J484),INDIRECT("S"&amp;($J484+4)),"")</f>
        <v/>
      </c>
      <c r="J484" s="292" t="str">
        <f aca="true">IF(480&lt;=$K$1,MATCH(479.5,INDIRECT("$K$4:$K$1374"),1),"")</f>
        <v/>
      </c>
      <c r="K484" s="292" t="n">
        <f aca="false">$K$388+COUNTIF($Q$389:Q484,"&gt;0")</f>
        <v>0</v>
      </c>
      <c r="L484" s="292" t="str">
        <f aca="false">"Автомобильные держатели"</f>
        <v>Автомобильные держатели</v>
      </c>
      <c r="M484" s="292" t="str">
        <f aca="false">IF(ISBLANK('Автомобильные держатели'!$A$32),"",'Автомобильные держатели'!$A$32)</f>
        <v>BH105 Crown универсальный держатель для мотоцикла</v>
      </c>
      <c r="N484" s="292" t="str">
        <f aca="false">IF(ISBLANK('Автомобильные держатели'!$D$32),"",'Автомобильные держатели'!$D$32)</f>
        <v>6941991108600</v>
      </c>
      <c r="O484" s="292" t="str">
        <f aca="false">IF(ISBLANK('Автомобильные держатели'!$E$32),"",'Автомобильные держатели'!$E$32)</f>
        <v>черный</v>
      </c>
      <c r="P484" s="292" t="str">
        <f aca="false">"ед."</f>
        <v>ед.</v>
      </c>
      <c r="Q484" s="292" t="n">
        <f aca="false">N('Автомобильные держатели'!$G$32)</f>
        <v>0</v>
      </c>
      <c r="R484" s="299" t="n">
        <f aca="false">IF(ISBLANK('Автомобильные держатели'!$F$32),"",'Автомобильные держатели'!$F$32)</f>
        <v>236.49</v>
      </c>
      <c r="S484" s="292" t="str">
        <f aca="false">IF(ISBLANK('Автомобильные держатели'!$H$32),"",'Автомобильные держатели'!$H$32)</f>
        <v/>
      </c>
    </row>
    <row r="485" customFormat="false" ht="66" hidden="false" customHeight="true" outlineLevel="0" collapsed="false">
      <c r="A485" s="291" t="str">
        <f aca="true">IF(ISNUMBER($J485),INDIRECT("L"&amp;($J485+4)),"")</f>
        <v/>
      </c>
      <c r="B485" s="291" t="str">
        <f aca="true">IF(ISNUMBER($J485),INDIRECT("M"&amp;($J485+4)),"")</f>
        <v/>
      </c>
      <c r="C485" s="296" t="str">
        <f aca="true">IF(ISNUMBER($J485),INDIRECT("N"&amp;($J485+4)),"")</f>
        <v/>
      </c>
      <c r="D485" s="291" t="str">
        <f aca="true">IF(ISNUMBER($J485),INDIRECT("O"&amp;($J485+4)),"")</f>
        <v/>
      </c>
      <c r="E485" s="291" t="str">
        <f aca="true">IF(ISNUMBER($J485),INDIRECT("P"&amp;($J485+4)),"")</f>
        <v/>
      </c>
      <c r="F485" s="300" t="str">
        <f aca="true">IF(ISNUMBER($J485),INDIRECT("Q"&amp;($J485+4)),"")</f>
        <v/>
      </c>
      <c r="G485" s="298" t="str">
        <f aca="true">IF(ISNUMBER($J485),INDIRECT("R"&amp;($J485+4)),"")</f>
        <v/>
      </c>
      <c r="H485" s="298" t="str">
        <f aca="true">IF(ISNUMBER($J485),INDIRECT("S"&amp;($J485+4)),"")</f>
        <v/>
      </c>
      <c r="J485" s="292" t="str">
        <f aca="true">IF(481&lt;=$K$1,MATCH(480.5,INDIRECT("$K$4:$K$1374"),1),"")</f>
        <v/>
      </c>
      <c r="K485" s="292" t="n">
        <f aca="false">$K$388+COUNTIF($Q$389:Q485,"&gt;0")</f>
        <v>0</v>
      </c>
      <c r="L485" s="292" t="str">
        <f aca="false">"Автомобильные держатели"</f>
        <v>Автомобильные держатели</v>
      </c>
      <c r="M485" s="292" t="str">
        <f aca="false">IF(ISBLANK('Автомобильные держатели'!$A$33),"",'Автомобильные держатели'!$A$33)</f>
        <v>BH103 Cloud магнитный автомобильный держатель(панель приборов)</v>
      </c>
      <c r="N485" s="292" t="str">
        <f aca="false">IF(ISBLANK('Автомобильные держатели'!$D$33),"",'Автомобильные держатели'!$D$33)</f>
        <v>6941991108037</v>
      </c>
      <c r="O485" s="292" t="str">
        <f aca="false">IF(ISBLANK('Автомобильные держатели'!$E$33),"",'Автомобильные держатели'!$E$33)</f>
        <v>черный</v>
      </c>
      <c r="P485" s="292" t="str">
        <f aca="false">"ед."</f>
        <v>ед.</v>
      </c>
      <c r="Q485" s="292" t="n">
        <f aca="false">N('Автомобильные держатели'!$G$33)</f>
        <v>0</v>
      </c>
      <c r="R485" s="299" t="n">
        <f aca="false">IF(ISBLANK('Автомобильные держатели'!$F$33),"",'Автомобильные держатели'!$F$33)</f>
        <v>97.86</v>
      </c>
      <c r="S485" s="292" t="str">
        <f aca="false">IF(ISBLANK('Автомобильные держатели'!$H$33),"",'Автомобильные держатели'!$H$33)</f>
        <v/>
      </c>
    </row>
    <row r="486" customFormat="false" ht="66" hidden="false" customHeight="true" outlineLevel="0" collapsed="false">
      <c r="A486" s="291" t="str">
        <f aca="true">IF(ISNUMBER($J486),INDIRECT("L"&amp;($J486+4)),"")</f>
        <v/>
      </c>
      <c r="B486" s="291" t="str">
        <f aca="true">IF(ISNUMBER($J486),INDIRECT("M"&amp;($J486+4)),"")</f>
        <v/>
      </c>
      <c r="C486" s="296" t="str">
        <f aca="true">IF(ISNUMBER($J486),INDIRECT("N"&amp;($J486+4)),"")</f>
        <v/>
      </c>
      <c r="D486" s="291" t="str">
        <f aca="true">IF(ISNUMBER($J486),INDIRECT("O"&amp;($J486+4)),"")</f>
        <v/>
      </c>
      <c r="E486" s="291" t="str">
        <f aca="true">IF(ISNUMBER($J486),INDIRECT("P"&amp;($J486+4)),"")</f>
        <v/>
      </c>
      <c r="F486" s="300" t="str">
        <f aca="true">IF(ISNUMBER($J486),INDIRECT("Q"&amp;($J486+4)),"")</f>
        <v/>
      </c>
      <c r="G486" s="298" t="str">
        <f aca="true">IF(ISNUMBER($J486),INDIRECT("R"&amp;($J486+4)),"")</f>
        <v/>
      </c>
      <c r="H486" s="298" t="str">
        <f aca="true">IF(ISNUMBER($J486),INDIRECT("S"&amp;($J486+4)),"")</f>
        <v/>
      </c>
      <c r="J486" s="292" t="str">
        <f aca="true">IF(482&lt;=$K$1,MATCH(481.5,INDIRECT("$K$4:$K$1374"),1),"")</f>
        <v/>
      </c>
      <c r="K486" s="292" t="n">
        <f aca="false">$K$388+COUNTIF($Q$389:Q486,"&gt;0")</f>
        <v>0</v>
      </c>
      <c r="L486" s="292" t="str">
        <f aca="false">"Автомобильные держатели"</f>
        <v>Автомобильные держатели</v>
      </c>
      <c r="M486" s="292" t="str">
        <f aca="false">IF(ISBLANK('Автомобильные держатели'!$A$34),"",'Автомобильные держатели'!$A$34)</f>
        <v>BH102 Cloud магнитный автомобильный держатель(воздуховод)</v>
      </c>
      <c r="N486" s="292" t="str">
        <f aca="false">IF(ISBLANK('Автомобильные держатели'!$D$34),"",'Автомобильные держатели'!$D$34)</f>
        <v>6941991108020</v>
      </c>
      <c r="O486" s="292" t="str">
        <f aca="false">IF(ISBLANK('Автомобильные держатели'!$E$34),"",'Автомобильные держатели'!$E$34)</f>
        <v>черный</v>
      </c>
      <c r="P486" s="292" t="str">
        <f aca="false">"ед."</f>
        <v>ед.</v>
      </c>
      <c r="Q486" s="292" t="n">
        <f aca="false">N('Автомобильные держатели'!$G$34)</f>
        <v>0</v>
      </c>
      <c r="R486" s="299" t="n">
        <f aca="false">IF(ISBLANK('Автомобильные держатели'!$F$34),"",'Автомобильные держатели'!$F$34)</f>
        <v>106.01</v>
      </c>
      <c r="S486" s="292" t="str">
        <f aca="false">IF(ISBLANK('Автомобильные держатели'!$H$34),"",'Автомобильные держатели'!$H$34)</f>
        <v/>
      </c>
    </row>
    <row r="487" customFormat="false" ht="66" hidden="false" customHeight="true" outlineLevel="0" collapsed="false">
      <c r="A487" s="291" t="str">
        <f aca="true">IF(ISNUMBER($J487),INDIRECT("L"&amp;($J487+4)),"")</f>
        <v/>
      </c>
      <c r="B487" s="291" t="str">
        <f aca="true">IF(ISNUMBER($J487),INDIRECT("M"&amp;($J487+4)),"")</f>
        <v/>
      </c>
      <c r="C487" s="296" t="str">
        <f aca="true">IF(ISNUMBER($J487),INDIRECT("N"&amp;($J487+4)),"")</f>
        <v/>
      </c>
      <c r="D487" s="291" t="str">
        <f aca="true">IF(ISNUMBER($J487),INDIRECT("O"&amp;($J487+4)),"")</f>
        <v/>
      </c>
      <c r="E487" s="291" t="str">
        <f aca="true">IF(ISNUMBER($J487),INDIRECT("P"&amp;($J487+4)),"")</f>
        <v/>
      </c>
      <c r="F487" s="300" t="str">
        <f aca="true">IF(ISNUMBER($J487),INDIRECT("Q"&amp;($J487+4)),"")</f>
        <v/>
      </c>
      <c r="G487" s="298" t="str">
        <f aca="true">IF(ISNUMBER($J487),INDIRECT("R"&amp;($J487+4)),"")</f>
        <v/>
      </c>
      <c r="H487" s="298" t="str">
        <f aca="true">IF(ISNUMBER($J487),INDIRECT("S"&amp;($J487+4)),"")</f>
        <v/>
      </c>
      <c r="J487" s="292" t="str">
        <f aca="true">IF(483&lt;=$K$1,MATCH(482.5,INDIRECT("$K$4:$K$1374"),1),"")</f>
        <v/>
      </c>
      <c r="K487" s="292" t="n">
        <f aca="false">$K$388+COUNTIF($Q$389:Q487,"&gt;0")</f>
        <v>0</v>
      </c>
      <c r="L487" s="292" t="str">
        <f aca="false">"Автомобильные держатели"</f>
        <v>Автомобильные держатели</v>
      </c>
      <c r="M487" s="292" t="str">
        <f aca="false">IF(ISBLANK('Автомобильные держатели'!$A$35),"",'Автомобильные держатели'!$A$35)</f>
        <v>BH97 NT Ice магнитный автомобильный держатель (приборная панель)</v>
      </c>
      <c r="N487" s="292" t="str">
        <f aca="false">IF(ISBLANK('Автомобильные держатели'!$D$35),"",'Автомобильные держатели'!$D$35)</f>
        <v>6941991105418</v>
      </c>
      <c r="O487" s="292" t="str">
        <f aca="false">IF(ISBLANK('Автомобильные держатели'!$E$35),"",'Автомобильные держатели'!$E$35)</f>
        <v>черный/серый</v>
      </c>
      <c r="P487" s="292" t="str">
        <f aca="false">"ед."</f>
        <v>ед.</v>
      </c>
      <c r="Q487" s="292" t="n">
        <f aca="false">N('Автомобильные держатели'!$G$35)</f>
        <v>0</v>
      </c>
      <c r="R487" s="299" t="n">
        <f aca="false">IF(ISBLANK('Автомобильные держатели'!$F$35),"",'Автомобильные держатели'!$F$35)</f>
        <v>260.95</v>
      </c>
      <c r="S487" s="292" t="str">
        <f aca="false">IF(ISBLANK('Автомобильные держатели'!$H$35),"",'Автомобильные держатели'!$H$35)</f>
        <v/>
      </c>
    </row>
    <row r="488" customFormat="false" ht="66" hidden="false" customHeight="true" outlineLevel="0" collapsed="false">
      <c r="A488" s="291" t="str">
        <f aca="true">IF(ISNUMBER($J488),INDIRECT("L"&amp;($J488+4)),"")</f>
        <v/>
      </c>
      <c r="B488" s="291" t="str">
        <f aca="true">IF(ISNUMBER($J488),INDIRECT("M"&amp;($J488+4)),"")</f>
        <v/>
      </c>
      <c r="C488" s="296" t="str">
        <f aca="true">IF(ISNUMBER($J488),INDIRECT("N"&amp;($J488+4)),"")</f>
        <v/>
      </c>
      <c r="D488" s="291" t="str">
        <f aca="true">IF(ISNUMBER($J488),INDIRECT("O"&amp;($J488+4)),"")</f>
        <v/>
      </c>
      <c r="E488" s="291" t="str">
        <f aca="true">IF(ISNUMBER($J488),INDIRECT("P"&amp;($J488+4)),"")</f>
        <v/>
      </c>
      <c r="F488" s="300" t="str">
        <f aca="true">IF(ISNUMBER($J488),INDIRECT("Q"&amp;($J488+4)),"")</f>
        <v/>
      </c>
      <c r="G488" s="298" t="str">
        <f aca="true">IF(ISNUMBER($J488),INDIRECT("R"&amp;($J488+4)),"")</f>
        <v/>
      </c>
      <c r="H488" s="298" t="str">
        <f aca="true">IF(ISNUMBER($J488),INDIRECT("S"&amp;($J488+4)),"")</f>
        <v/>
      </c>
      <c r="J488" s="292" t="str">
        <f aca="true">IF(484&lt;=$K$1,MATCH(483.5,INDIRECT("$K$4:$K$1374"),1),"")</f>
        <v/>
      </c>
      <c r="K488" s="292" t="n">
        <f aca="false">$K$388+COUNTIF($Q$389:Q488,"&gt;0")</f>
        <v>0</v>
      </c>
      <c r="L488" s="292" t="str">
        <f aca="false">"Автомобильные держатели"</f>
        <v>Автомобильные держатели</v>
      </c>
      <c r="M488" s="292" t="str">
        <f aca="false">IF(ISBLANK('Автомобильные держатели'!$A$36),"",'Автомобильные держатели'!$A$36)</f>
        <v>BH96 NT Ice магнитный автомобильный держатель (воздуховод)</v>
      </c>
      <c r="N488" s="292" t="str">
        <f aca="false">IF(ISBLANK('Автомобильные держатели'!$D$36),"",'Автомобильные держатели'!$D$36)</f>
        <v>6941991105401</v>
      </c>
      <c r="O488" s="292" t="str">
        <f aca="false">IF(ISBLANK('Автомобильные держатели'!$E$36),"",'Автомобильные держатели'!$E$36)</f>
        <v>черный/серый</v>
      </c>
      <c r="P488" s="292" t="str">
        <f aca="false">"ед."</f>
        <v>ед.</v>
      </c>
      <c r="Q488" s="292" t="n">
        <f aca="false">N('Автомобильные держатели'!$G$36)</f>
        <v>0</v>
      </c>
      <c r="R488" s="299" t="n">
        <f aca="false">IF(ISBLANK('Автомобильные держатели'!$F$36),"",'Автомобильные держатели'!$F$36)</f>
        <v>228.33</v>
      </c>
      <c r="S488" s="292" t="str">
        <f aca="false">IF(ISBLANK('Автомобильные держатели'!$H$36),"",'Автомобильные держатели'!$H$36)</f>
        <v/>
      </c>
    </row>
    <row r="489" customFormat="false" ht="66" hidden="false" customHeight="true" outlineLevel="0" collapsed="false">
      <c r="A489" s="291" t="str">
        <f aca="true">IF(ISNUMBER($J489),INDIRECT("L"&amp;($J489+4)),"")</f>
        <v/>
      </c>
      <c r="B489" s="291" t="str">
        <f aca="true">IF(ISNUMBER($J489),INDIRECT("M"&amp;($J489+4)),"")</f>
        <v/>
      </c>
      <c r="C489" s="296" t="str">
        <f aca="true">IF(ISNUMBER($J489),INDIRECT("N"&amp;($J489+4)),"")</f>
        <v/>
      </c>
      <c r="D489" s="291" t="str">
        <f aca="true">IF(ISNUMBER($J489),INDIRECT("O"&amp;($J489+4)),"")</f>
        <v/>
      </c>
      <c r="E489" s="291" t="str">
        <f aca="true">IF(ISNUMBER($J489),INDIRECT("P"&amp;($J489+4)),"")</f>
        <v/>
      </c>
      <c r="F489" s="300" t="str">
        <f aca="true">IF(ISNUMBER($J489),INDIRECT("Q"&amp;($J489+4)),"")</f>
        <v/>
      </c>
      <c r="G489" s="298" t="str">
        <f aca="true">IF(ISNUMBER($J489),INDIRECT("R"&amp;($J489+4)),"")</f>
        <v/>
      </c>
      <c r="H489" s="298" t="str">
        <f aca="true">IF(ISNUMBER($J489),INDIRECT("S"&amp;($J489+4)),"")</f>
        <v/>
      </c>
      <c r="J489" s="292" t="str">
        <f aca="true">IF(485&lt;=$K$1,MATCH(484.5,INDIRECT("$K$4:$K$1374"),1),"")</f>
        <v/>
      </c>
      <c r="K489" s="292" t="n">
        <f aca="false">$K$388+COUNTIF($Q$389:Q489,"&gt;0")</f>
        <v>0</v>
      </c>
      <c r="L489" s="292" t="str">
        <f aca="false">"Автомобильные держатели"</f>
        <v>Автомобильные держатели</v>
      </c>
      <c r="M489" s="292" t="str">
        <f aca="false">IF(ISBLANK('Автомобильные держатели'!$A$37),"",'Автомобильные держатели'!$A$37)</f>
        <v>BH93 Grand автомобильный держатель (панель приборов)</v>
      </c>
      <c r="N489" s="292" t="str">
        <f aca="false">IF(ISBLANK('Автомобильные держатели'!$D$37),"",'Автомобильные держатели'!$D$37)</f>
        <v>6941991103698</v>
      </c>
      <c r="O489" s="292" t="str">
        <f aca="false">IF(ISBLANK('Автомобильные держатели'!$E$37),"",'Автомобильные держатели'!$E$37)</f>
        <v>черный</v>
      </c>
      <c r="P489" s="292" t="str">
        <f aca="false">"ед."</f>
        <v>ед.</v>
      </c>
      <c r="Q489" s="292" t="n">
        <f aca="false">N('Автомобильные держатели'!$G$37)</f>
        <v>0</v>
      </c>
      <c r="R489" s="299" t="n">
        <f aca="false">IF(ISBLANK('Автомобильные держатели'!$F$37),"",'Автомобильные держатели'!$F$37)</f>
        <v>187.56</v>
      </c>
      <c r="S489" s="292" t="str">
        <f aca="false">IF(ISBLANK('Автомобильные держатели'!$H$37),"",'Автомобильные держатели'!$H$37)</f>
        <v/>
      </c>
    </row>
    <row r="490" customFormat="false" ht="66" hidden="false" customHeight="true" outlineLevel="0" collapsed="false">
      <c r="A490" s="291" t="str">
        <f aca="true">IF(ISNUMBER($J490),INDIRECT("L"&amp;($J490+4)),"")</f>
        <v/>
      </c>
      <c r="B490" s="291" t="str">
        <f aca="true">IF(ISNUMBER($J490),INDIRECT("M"&amp;($J490+4)),"")</f>
        <v/>
      </c>
      <c r="C490" s="296" t="str">
        <f aca="true">IF(ISNUMBER($J490),INDIRECT("N"&amp;($J490+4)),"")</f>
        <v/>
      </c>
      <c r="D490" s="291" t="str">
        <f aca="true">IF(ISNUMBER($J490),INDIRECT("O"&amp;($J490+4)),"")</f>
        <v/>
      </c>
      <c r="E490" s="291" t="str">
        <f aca="true">IF(ISNUMBER($J490),INDIRECT("P"&amp;($J490+4)),"")</f>
        <v/>
      </c>
      <c r="F490" s="300" t="str">
        <f aca="true">IF(ISNUMBER($J490),INDIRECT("Q"&amp;($J490+4)),"")</f>
        <v/>
      </c>
      <c r="G490" s="298" t="str">
        <f aca="true">IF(ISNUMBER($J490),INDIRECT("R"&amp;($J490+4)),"")</f>
        <v/>
      </c>
      <c r="H490" s="298" t="str">
        <f aca="true">IF(ISNUMBER($J490),INDIRECT("S"&amp;($J490+4)),"")</f>
        <v/>
      </c>
      <c r="J490" s="292" t="str">
        <f aca="true">IF(486&lt;=$K$1,MATCH(485.5,INDIRECT("$K$4:$K$1374"),1),"")</f>
        <v/>
      </c>
      <c r="K490" s="292" t="n">
        <f aca="false">$K$388+COUNTIF($Q$389:Q490,"&gt;0")</f>
        <v>0</v>
      </c>
      <c r="L490" s="292" t="str">
        <f aca="false">"Автомобильные держатели"</f>
        <v>Автомобильные держатели</v>
      </c>
      <c r="M490" s="292" t="str">
        <f aca="false">IF(ISBLANK('Автомобильные держатели'!$A$38),"",'Автомобильные держатели'!$A$38)</f>
        <v>BH92 Grand автомобильный держатель (воздуховод)</v>
      </c>
      <c r="N490" s="292" t="str">
        <f aca="false">IF(ISBLANK('Автомобильные держатели'!$D$38),"",'Автомобильные держатели'!$D$38)</f>
        <v>6941991103681</v>
      </c>
      <c r="O490" s="292" t="str">
        <f aca="false">IF(ISBLANK('Автомобильные держатели'!$E$38),"",'Автомобильные держатели'!$E$38)</f>
        <v>черный</v>
      </c>
      <c r="P490" s="292" t="str">
        <f aca="false">"ед."</f>
        <v>ед.</v>
      </c>
      <c r="Q490" s="292" t="n">
        <f aca="false">N('Автомобильные держатели'!$G$38)</f>
        <v>0</v>
      </c>
      <c r="R490" s="299" t="n">
        <f aca="false">IF(ISBLANK('Автомобильные держатели'!$F$38),"",'Автомобильные держатели'!$F$38)</f>
        <v>127.21</v>
      </c>
      <c r="S490" s="292" t="str">
        <f aca="false">IF(ISBLANK('Автомобильные держатели'!$H$38),"",'Автомобильные держатели'!$H$38)</f>
        <v/>
      </c>
    </row>
    <row r="491" customFormat="false" ht="66" hidden="false" customHeight="true" outlineLevel="0" collapsed="false">
      <c r="A491" s="291" t="str">
        <f aca="true">IF(ISNUMBER($J491),INDIRECT("L"&amp;($J491+4)),"")</f>
        <v/>
      </c>
      <c r="B491" s="291" t="str">
        <f aca="true">IF(ISNUMBER($J491),INDIRECT("M"&amp;($J491+4)),"")</f>
        <v/>
      </c>
      <c r="C491" s="296" t="str">
        <f aca="true">IF(ISNUMBER($J491),INDIRECT("N"&amp;($J491+4)),"")</f>
        <v/>
      </c>
      <c r="D491" s="291" t="str">
        <f aca="true">IF(ISNUMBER($J491),INDIRECT("O"&amp;($J491+4)),"")</f>
        <v/>
      </c>
      <c r="E491" s="291" t="str">
        <f aca="true">IF(ISNUMBER($J491),INDIRECT("P"&amp;($J491+4)),"")</f>
        <v/>
      </c>
      <c r="F491" s="300" t="str">
        <f aca="true">IF(ISNUMBER($J491),INDIRECT("Q"&amp;($J491+4)),"")</f>
        <v/>
      </c>
      <c r="G491" s="298" t="str">
        <f aca="true">IF(ISNUMBER($J491),INDIRECT("R"&amp;($J491+4)),"")</f>
        <v/>
      </c>
      <c r="H491" s="298" t="str">
        <f aca="true">IF(ISNUMBER($J491),INDIRECT("S"&amp;($J491+4)),"")</f>
        <v/>
      </c>
      <c r="J491" s="292" t="str">
        <f aca="true">IF(487&lt;=$K$1,MATCH(486.5,INDIRECT("$K$4:$K$1374"),1),"")</f>
        <v/>
      </c>
      <c r="K491" s="292" t="n">
        <f aca="false">$K$388+COUNTIF($Q$389:Q491,"&gt;0")</f>
        <v>0</v>
      </c>
      <c r="L491" s="292" t="str">
        <f aca="false">"Автомобильные держатели"</f>
        <v>Автомобильные держатели</v>
      </c>
      <c r="M491" s="292" t="str">
        <f aca="false">IF(ISBLANK('Автомобильные держатели'!$A$39),"",'Автомобильные держатели'!$A$39)</f>
        <v>BH85 Experience  автомобильный держатель (приборная панель)</v>
      </c>
      <c r="N491" s="292" t="str">
        <f aca="false">IF(ISBLANK('Автомобильные держатели'!$D$39),"",'Автомобильные держатели'!$D$39)</f>
        <v>6941991100246</v>
      </c>
      <c r="O491" s="292" t="str">
        <f aca="false">IF(ISBLANK('Автомобильные держатели'!$E$39),"",'Автомобильные держатели'!$E$39)</f>
        <v>черный</v>
      </c>
      <c r="P491" s="292" t="str">
        <f aca="false">"ед."</f>
        <v>ед.</v>
      </c>
      <c r="Q491" s="292" t="n">
        <f aca="false">N('Автомобильные держатели'!$G$39)</f>
        <v>0</v>
      </c>
      <c r="R491" s="299" t="n">
        <f aca="false">IF(ISBLANK('Автомобильные держатели'!$F$39),"",'Автомобильные держатели'!$F$39)</f>
        <v>220.18</v>
      </c>
      <c r="S491" s="292" t="str">
        <f aca="false">IF(ISBLANK('Автомобильные держатели'!$H$39),"",'Автомобильные держатели'!$H$39)</f>
        <v/>
      </c>
    </row>
    <row r="492" customFormat="false" ht="66" hidden="false" customHeight="true" outlineLevel="0" collapsed="false">
      <c r="A492" s="291" t="str">
        <f aca="true">IF(ISNUMBER($J492),INDIRECT("L"&amp;($J492+4)),"")</f>
        <v/>
      </c>
      <c r="B492" s="291" t="str">
        <f aca="true">IF(ISNUMBER($J492),INDIRECT("M"&amp;($J492+4)),"")</f>
        <v/>
      </c>
      <c r="C492" s="296" t="str">
        <f aca="true">IF(ISNUMBER($J492),INDIRECT("N"&amp;($J492+4)),"")</f>
        <v/>
      </c>
      <c r="D492" s="291" t="str">
        <f aca="true">IF(ISNUMBER($J492),INDIRECT("O"&amp;($J492+4)),"")</f>
        <v/>
      </c>
      <c r="E492" s="291" t="str">
        <f aca="true">IF(ISNUMBER($J492),INDIRECT("P"&amp;($J492+4)),"")</f>
        <v/>
      </c>
      <c r="F492" s="300" t="str">
        <f aca="true">IF(ISNUMBER($J492),INDIRECT("Q"&amp;($J492+4)),"")</f>
        <v/>
      </c>
      <c r="G492" s="298" t="str">
        <f aca="true">IF(ISNUMBER($J492),INDIRECT("R"&amp;($J492+4)),"")</f>
        <v/>
      </c>
      <c r="H492" s="298" t="str">
        <f aca="true">IF(ISNUMBER($J492),INDIRECT("S"&amp;($J492+4)),"")</f>
        <v/>
      </c>
      <c r="J492" s="292" t="str">
        <f aca="true">IF(488&lt;=$K$1,MATCH(487.5,INDIRECT("$K$4:$K$1374"),1),"")</f>
        <v/>
      </c>
      <c r="K492" s="292" t="n">
        <f aca="false">$K$388+COUNTIF($Q$389:Q492,"&gt;0")</f>
        <v>0</v>
      </c>
      <c r="L492" s="292" t="str">
        <f aca="false">"Автомобильные держатели"</f>
        <v>Автомобильные держатели</v>
      </c>
      <c r="M492" s="292" t="str">
        <f aca="false">IF(ISBLANK('Автомобильные держатели'!$A$40),"",'Автомобильные держатели'!$A$40)</f>
        <v>BH74 Rock гравитационный автомобильный держатель для воздуховода</v>
      </c>
      <c r="N492" s="292" t="str">
        <f aca="false">IF(ISBLANK('Автомобильные держатели'!$D$40),"",'Автомобильные держатели'!$D$40)</f>
        <v>6974443386844</v>
      </c>
      <c r="O492" s="292" t="str">
        <f aca="false">IF(ISBLANK('Автомобильные держатели'!$E$40),"",'Автомобильные держатели'!$E$40)</f>
        <v>черный</v>
      </c>
      <c r="P492" s="292" t="str">
        <f aca="false">"ед."</f>
        <v>ед.</v>
      </c>
      <c r="Q492" s="292" t="n">
        <f aca="false">N('Автомобильные держатели'!$G$40)</f>
        <v>0</v>
      </c>
      <c r="R492" s="299" t="n">
        <f aca="false">IF(ISBLANK('Автомобильные держатели'!$F$40),"",'Автомобильные держатели'!$F$40)</f>
        <v>130.48</v>
      </c>
      <c r="S492" s="292" t="str">
        <f aca="false">IF(ISBLANK('Автомобильные держатели'!$H$40),"",'Автомобильные держатели'!$H$40)</f>
        <v/>
      </c>
    </row>
    <row r="493" customFormat="false" ht="66" hidden="false" customHeight="true" outlineLevel="0" collapsed="false">
      <c r="A493" s="291" t="str">
        <f aca="true">IF(ISNUMBER($J493),INDIRECT("L"&amp;($J493+4)),"")</f>
        <v/>
      </c>
      <c r="B493" s="291" t="str">
        <f aca="true">IF(ISNUMBER($J493),INDIRECT("M"&amp;($J493+4)),"")</f>
        <v/>
      </c>
      <c r="C493" s="296" t="str">
        <f aca="true">IF(ISNUMBER($J493),INDIRECT("N"&amp;($J493+4)),"")</f>
        <v/>
      </c>
      <c r="D493" s="291" t="str">
        <f aca="true">IF(ISNUMBER($J493),INDIRECT("O"&amp;($J493+4)),"")</f>
        <v/>
      </c>
      <c r="E493" s="291" t="str">
        <f aca="true">IF(ISNUMBER($J493),INDIRECT("P"&amp;($J493+4)),"")</f>
        <v/>
      </c>
      <c r="F493" s="300" t="str">
        <f aca="true">IF(ISNUMBER($J493),INDIRECT("Q"&amp;($J493+4)),"")</f>
        <v/>
      </c>
      <c r="G493" s="298" t="str">
        <f aca="true">IF(ISNUMBER($J493),INDIRECT("R"&amp;($J493+4)),"")</f>
        <v/>
      </c>
      <c r="H493" s="298" t="str">
        <f aca="true">IF(ISNUMBER($J493),INDIRECT("S"&amp;($J493+4)),"")</f>
        <v/>
      </c>
      <c r="J493" s="292" t="str">
        <f aca="true">IF(489&lt;=$K$1,MATCH(488.5,INDIRECT("$K$4:$K$1374"),1),"")</f>
        <v/>
      </c>
      <c r="K493" s="292" t="n">
        <f aca="false">$K$388+COUNTIF($Q$389:Q493,"&gt;0")</f>
        <v>0</v>
      </c>
      <c r="L493" s="292" t="str">
        <f aca="false">"Автомобильные держатели"</f>
        <v>Автомобильные держатели</v>
      </c>
      <c r="M493" s="292" t="str">
        <f aca="false">IF(ISBLANK('Автомобильные держатели'!$A$41),"",'Автомобильные держатели'!$A$41)</f>
        <v>BH73 Charm автомобильный держатель для панели приборов</v>
      </c>
      <c r="N493" s="292" t="str">
        <f aca="false">IF(ISBLANK('Автомобильные держатели'!$D$41),"",'Автомобильные держатели'!$D$41)</f>
        <v>6974443386318</v>
      </c>
      <c r="O493" s="292" t="str">
        <f aca="false">IF(ISBLANK('Автомобильные держатели'!$E$41),"",'Автомобильные держатели'!$E$41)</f>
        <v>черный</v>
      </c>
      <c r="P493" s="292" t="str">
        <f aca="false">"ед."</f>
        <v>ед.</v>
      </c>
      <c r="Q493" s="292" t="n">
        <f aca="false">N('Автомобильные держатели'!$G$41)</f>
        <v>0</v>
      </c>
      <c r="R493" s="299" t="n">
        <f aca="false">IF(ISBLANK('Автомобильные держатели'!$F$41),"",'Автомобильные держатели'!$F$41)</f>
        <v>277.26</v>
      </c>
      <c r="S493" s="292" t="str">
        <f aca="false">IF(ISBLANK('Автомобильные держатели'!$H$41),"",'Автомобильные держатели'!$H$41)</f>
        <v/>
      </c>
    </row>
    <row r="494" customFormat="false" ht="66" hidden="false" customHeight="true" outlineLevel="0" collapsed="false">
      <c r="A494" s="291" t="str">
        <f aca="true">IF(ISNUMBER($J494),INDIRECT("L"&amp;($J494+4)),"")</f>
        <v/>
      </c>
      <c r="B494" s="291" t="str">
        <f aca="true">IF(ISNUMBER($J494),INDIRECT("M"&amp;($J494+4)),"")</f>
        <v/>
      </c>
      <c r="C494" s="296" t="str">
        <f aca="true">IF(ISNUMBER($J494),INDIRECT("N"&amp;($J494+4)),"")</f>
        <v/>
      </c>
      <c r="D494" s="291" t="str">
        <f aca="true">IF(ISNUMBER($J494),INDIRECT("O"&amp;($J494+4)),"")</f>
        <v/>
      </c>
      <c r="E494" s="291" t="str">
        <f aca="true">IF(ISNUMBER($J494),INDIRECT("P"&amp;($J494+4)),"")</f>
        <v/>
      </c>
      <c r="F494" s="300" t="str">
        <f aca="true">IF(ISNUMBER($J494),INDIRECT("Q"&amp;($J494+4)),"")</f>
        <v/>
      </c>
      <c r="G494" s="298" t="str">
        <f aca="true">IF(ISNUMBER($J494),INDIRECT("R"&amp;($J494+4)),"")</f>
        <v/>
      </c>
      <c r="H494" s="298" t="str">
        <f aca="true">IF(ISNUMBER($J494),INDIRECT("S"&amp;($J494+4)),"")</f>
        <v/>
      </c>
      <c r="J494" s="292" t="str">
        <f aca="true">IF(490&lt;=$K$1,MATCH(489.5,INDIRECT("$K$4:$K$1374"),1),"")</f>
        <v/>
      </c>
      <c r="K494" s="292" t="n">
        <f aca="false">$K$388+COUNTIF($Q$389:Q494,"&gt;0")</f>
        <v>0</v>
      </c>
      <c r="L494" s="292" t="str">
        <f aca="false">"Автомобильные держатели"</f>
        <v>Автомобильные держатели</v>
      </c>
      <c r="M494" s="292" t="str">
        <f aca="false">IF(ISBLANK('Автомобильные держатели'!$A$42),"",'Автомобильные держатели'!$A$42)</f>
        <v>BH69 автомобильный держатель для воздуховода</v>
      </c>
      <c r="N494" s="292" t="str">
        <f aca="false">IF(ISBLANK('Автомобильные держатели'!$D$42),"",'Автомобильные держатели'!$D$42)</f>
        <v>6974443384413</v>
      </c>
      <c r="O494" s="292" t="str">
        <f aca="false">IF(ISBLANK('Автомобильные держатели'!$E$42),"",'Автомобильные держатели'!$E$42)</f>
        <v>черный</v>
      </c>
      <c r="P494" s="292" t="str">
        <f aca="false">"ед."</f>
        <v>ед.</v>
      </c>
      <c r="Q494" s="292" t="n">
        <f aca="false">N('Автомобильные держатели'!$G$42)</f>
        <v>0</v>
      </c>
      <c r="R494" s="299" t="n">
        <f aca="false">IF(ISBLANK('Автомобильные держатели'!$F$42),"",'Автомобильные держатели'!$F$42)</f>
        <v>212.02</v>
      </c>
      <c r="S494" s="292" t="str">
        <f aca="false">IF(ISBLANK('Автомобильные держатели'!$H$42),"",'Автомобильные держатели'!$H$42)</f>
        <v/>
      </c>
    </row>
    <row r="495" customFormat="false" ht="66" hidden="false" customHeight="true" outlineLevel="0" collapsed="false">
      <c r="A495" s="291" t="str">
        <f aca="true">IF(ISNUMBER($J495),INDIRECT("L"&amp;($J495+4)),"")</f>
        <v/>
      </c>
      <c r="B495" s="291" t="str">
        <f aca="true">IF(ISNUMBER($J495),INDIRECT("M"&amp;($J495+4)),"")</f>
        <v/>
      </c>
      <c r="C495" s="296" t="str">
        <f aca="true">IF(ISNUMBER($J495),INDIRECT("N"&amp;($J495+4)),"")</f>
        <v/>
      </c>
      <c r="D495" s="291" t="str">
        <f aca="true">IF(ISNUMBER($J495),INDIRECT("O"&amp;($J495+4)),"")</f>
        <v/>
      </c>
      <c r="E495" s="291" t="str">
        <f aca="true">IF(ISNUMBER($J495),INDIRECT("P"&amp;($J495+4)),"")</f>
        <v/>
      </c>
      <c r="F495" s="300" t="str">
        <f aca="true">IF(ISNUMBER($J495),INDIRECT("Q"&amp;($J495+4)),"")</f>
        <v/>
      </c>
      <c r="G495" s="298" t="str">
        <f aca="true">IF(ISNUMBER($J495),INDIRECT("R"&amp;($J495+4)),"")</f>
        <v/>
      </c>
      <c r="H495" s="298" t="str">
        <f aca="true">IF(ISNUMBER($J495),INDIRECT("S"&amp;($J495+4)),"")</f>
        <v/>
      </c>
      <c r="J495" s="292" t="str">
        <f aca="true">IF(491&lt;=$K$1,MATCH(490.5,INDIRECT("$K$4:$K$1374"),1),"")</f>
        <v/>
      </c>
      <c r="K495" s="292" t="n">
        <f aca="false">$K$388+COUNTIF($Q$389:Q495,"&gt;0")</f>
        <v>0</v>
      </c>
      <c r="L495" s="292" t="str">
        <f aca="false">"Автомобильные держатели"</f>
        <v>Автомобильные держатели</v>
      </c>
      <c r="M495" s="292" t="str">
        <f aca="false">IF(ISBLANK('Автомобильные держатели'!$A$43),"",'Автомобильные держатели'!$A$43)</f>
        <v>BH60 Dainty автомобильный держатель для панели приборов</v>
      </c>
      <c r="N495" s="292" t="str">
        <f aca="false">IF(ISBLANK('Автомобильные держатели'!$D$43),"",'Автомобильные держатели'!$D$43)</f>
        <v>6974443382754</v>
      </c>
      <c r="O495" s="292" t="str">
        <f aca="false">IF(ISBLANK('Автомобильные держатели'!$E$43),"",'Автомобильные держатели'!$E$43)</f>
        <v>черный</v>
      </c>
      <c r="P495" s="292" t="str">
        <f aca="false">"ед."</f>
        <v>ед.</v>
      </c>
      <c r="Q495" s="292" t="n">
        <f aca="false">N('Автомобильные держатели'!$G$43)</f>
        <v>0</v>
      </c>
      <c r="R495" s="299" t="n">
        <f aca="false">IF(ISBLANK('Автомобильные держатели'!$F$43),"",'Автомобильные держатели'!$F$43)</f>
        <v>220.18</v>
      </c>
      <c r="S495" s="292" t="str">
        <f aca="false">IF(ISBLANK('Автомобильные держатели'!$H$43),"",'Автомобильные держатели'!$H$43)</f>
        <v/>
      </c>
    </row>
    <row r="496" customFormat="false" ht="66" hidden="false" customHeight="true" outlineLevel="0" collapsed="false">
      <c r="A496" s="291" t="str">
        <f aca="true">IF(ISNUMBER($J496),INDIRECT("L"&amp;($J496+4)),"")</f>
        <v/>
      </c>
      <c r="B496" s="291" t="str">
        <f aca="true">IF(ISNUMBER($J496),INDIRECT("M"&amp;($J496+4)),"")</f>
        <v/>
      </c>
      <c r="C496" s="296" t="str">
        <f aca="true">IF(ISNUMBER($J496),INDIRECT("N"&amp;($J496+4)),"")</f>
        <v/>
      </c>
      <c r="D496" s="291" t="str">
        <f aca="true">IF(ISNUMBER($J496),INDIRECT("O"&amp;($J496+4)),"")</f>
        <v/>
      </c>
      <c r="E496" s="291" t="str">
        <f aca="true">IF(ISNUMBER($J496),INDIRECT("P"&amp;($J496+4)),"")</f>
        <v/>
      </c>
      <c r="F496" s="300" t="str">
        <f aca="true">IF(ISNUMBER($J496),INDIRECT("Q"&amp;($J496+4)),"")</f>
        <v/>
      </c>
      <c r="G496" s="298" t="str">
        <f aca="true">IF(ISNUMBER($J496),INDIRECT("R"&amp;($J496+4)),"")</f>
        <v/>
      </c>
      <c r="H496" s="298" t="str">
        <f aca="true">IF(ISNUMBER($J496),INDIRECT("S"&amp;($J496+4)),"")</f>
        <v/>
      </c>
      <c r="J496" s="292" t="str">
        <f aca="true">IF(492&lt;=$K$1,MATCH(491.5,INDIRECT("$K$4:$K$1374"),1),"")</f>
        <v/>
      </c>
      <c r="K496" s="292" t="n">
        <f aca="false">$K$388+COUNTIF($Q$389:Q496,"&gt;0")</f>
        <v>0</v>
      </c>
      <c r="L496" s="292" t="str">
        <f aca="false">"Автомобильные держатели"</f>
        <v>Автомобильные держатели</v>
      </c>
      <c r="M496" s="292" t="str">
        <f aca="false">IF(ISBLANK('Автомобильные держатели'!$A$44),"",'Автомобильные держатели'!$A$44)</f>
        <v>BH54 Racer автомобильный держатель для ветрового стекла</v>
      </c>
      <c r="N496" s="292" t="str">
        <f aca="false">IF(ISBLANK('Автомобильные держатели'!$D$44),"",'Автомобильные держатели'!$D$44)</f>
        <v>6931474752895</v>
      </c>
      <c r="O496" s="292" t="str">
        <f aca="false">IF(ISBLANK('Автомобильные держатели'!$E$44),"",'Автомобильные держатели'!$E$44)</f>
        <v>черный серый</v>
      </c>
      <c r="P496" s="292" t="str">
        <f aca="false">"ед."</f>
        <v>ед.</v>
      </c>
      <c r="Q496" s="292" t="n">
        <f aca="false">N('Автомобильные держатели'!$G$44)</f>
        <v>0</v>
      </c>
      <c r="R496" s="299" t="n">
        <f aca="false">IF(ISBLANK('Автомобильные держатели'!$F$44),"",'Автомобильные держатели'!$F$44)</f>
        <v>326.19</v>
      </c>
      <c r="S496" s="292" t="str">
        <f aca="false">IF(ISBLANK('Автомобильные держатели'!$H$44),"",'Автомобильные держатели'!$H$44)</f>
        <v/>
      </c>
    </row>
    <row r="497" customFormat="false" ht="66" hidden="false" customHeight="true" outlineLevel="0" collapsed="false">
      <c r="A497" s="291" t="str">
        <f aca="true">IF(ISNUMBER($J497),INDIRECT("L"&amp;($J497+4)),"")</f>
        <v/>
      </c>
      <c r="B497" s="291" t="str">
        <f aca="true">IF(ISNUMBER($J497),INDIRECT("M"&amp;($J497+4)),"")</f>
        <v/>
      </c>
      <c r="C497" s="296" t="str">
        <f aca="true">IF(ISNUMBER($J497),INDIRECT("N"&amp;($J497+4)),"")</f>
        <v/>
      </c>
      <c r="D497" s="291" t="str">
        <f aca="true">IF(ISNUMBER($J497),INDIRECT("O"&amp;($J497+4)),"")</f>
        <v/>
      </c>
      <c r="E497" s="291" t="str">
        <f aca="true">IF(ISNUMBER($J497),INDIRECT("P"&amp;($J497+4)),"")</f>
        <v/>
      </c>
      <c r="F497" s="300" t="str">
        <f aca="true">IF(ISNUMBER($J497),INDIRECT("Q"&amp;($J497+4)),"")</f>
        <v/>
      </c>
      <c r="G497" s="298" t="str">
        <f aca="true">IF(ISNUMBER($J497),INDIRECT("R"&amp;($J497+4)),"")</f>
        <v/>
      </c>
      <c r="H497" s="298" t="str">
        <f aca="true">IF(ISNUMBER($J497),INDIRECT("S"&amp;($J497+4)),"")</f>
        <v/>
      </c>
      <c r="J497" s="292" t="str">
        <f aca="true">IF(493&lt;=$K$1,MATCH(492.5,INDIRECT("$K$4:$K$1374"),1),"")</f>
        <v/>
      </c>
      <c r="K497" s="292" t="n">
        <f aca="false">$K$388+COUNTIF($Q$389:Q497,"&gt;0")</f>
        <v>0</v>
      </c>
      <c r="L497" s="292" t="str">
        <f aca="false">"Автомобильные держатели"</f>
        <v>Автомобильные держатели</v>
      </c>
      <c r="M497" s="292" t="str">
        <f aca="false">IF(ISBLANK('Автомобильные держатели'!$A$45),"",'Автомобильные держатели'!$A$45)</f>
        <v>BH53 Windy автомобильный держатель для панели приборов</v>
      </c>
      <c r="N497" s="292" t="str">
        <f aca="false">IF(ISBLANK('Автомобильные держатели'!$D$45),"",'Автомобильные держатели'!$D$45)</f>
        <v>6931474751867</v>
      </c>
      <c r="O497" s="292" t="str">
        <f aca="false">IF(ISBLANK('Автомобильные держатели'!$E$45),"",'Автомобильные держатели'!$E$45)</f>
        <v>черный / серый</v>
      </c>
      <c r="P497" s="292" t="str">
        <f aca="false">"ед."</f>
        <v>ед.</v>
      </c>
      <c r="Q497" s="292" t="n">
        <f aca="false">N('Автомобильные держатели'!$G$45)</f>
        <v>0</v>
      </c>
      <c r="R497" s="299" t="n">
        <f aca="false">IF(ISBLANK('Автомобильные держатели'!$F$45),"",'Автомобильные держатели'!$F$45)</f>
        <v>244.64</v>
      </c>
      <c r="S497" s="292" t="str">
        <f aca="false">IF(ISBLANK('Автомобильные держатели'!$H$45),"",'Автомобильные держатели'!$H$45)</f>
        <v/>
      </c>
    </row>
    <row r="498" customFormat="false" ht="66" hidden="false" customHeight="true" outlineLevel="0" collapsed="false">
      <c r="A498" s="291" t="str">
        <f aca="true">IF(ISNUMBER($J498),INDIRECT("L"&amp;($J498+4)),"")</f>
        <v/>
      </c>
      <c r="B498" s="291" t="str">
        <f aca="true">IF(ISNUMBER($J498),INDIRECT("M"&amp;($J498+4)),"")</f>
        <v/>
      </c>
      <c r="C498" s="296" t="str">
        <f aca="true">IF(ISNUMBER($J498),INDIRECT("N"&amp;($J498+4)),"")</f>
        <v/>
      </c>
      <c r="D498" s="291" t="str">
        <f aca="true">IF(ISNUMBER($J498),INDIRECT("O"&amp;($J498+4)),"")</f>
        <v/>
      </c>
      <c r="E498" s="291" t="str">
        <f aca="true">IF(ISNUMBER($J498),INDIRECT("P"&amp;($J498+4)),"")</f>
        <v/>
      </c>
      <c r="F498" s="300" t="str">
        <f aca="true">IF(ISNUMBER($J498),INDIRECT("Q"&amp;($J498+4)),"")</f>
        <v/>
      </c>
      <c r="G498" s="298" t="str">
        <f aca="true">IF(ISNUMBER($J498),INDIRECT("R"&amp;($J498+4)),"")</f>
        <v/>
      </c>
      <c r="H498" s="298" t="str">
        <f aca="true">IF(ISNUMBER($J498),INDIRECT("S"&amp;($J498+4)),"")</f>
        <v/>
      </c>
      <c r="J498" s="292" t="str">
        <f aca="true">IF(494&lt;=$K$1,MATCH(493.5,INDIRECT("$K$4:$K$1374"),1),"")</f>
        <v/>
      </c>
      <c r="K498" s="292" t="n">
        <f aca="false">$K$388+COUNTIF($Q$389:Q498,"&gt;0")</f>
        <v>0</v>
      </c>
      <c r="L498" s="292" t="str">
        <f aca="false">"Автомобильные держатели"</f>
        <v>Автомобильные держатели</v>
      </c>
      <c r="M498" s="292" t="str">
        <f aca="false">IF(ISBLANK('Автомобильные держатели'!$A$46),"",'Автомобильные держатели'!$A$46)</f>
        <v>BH40 Kyle магнитный автомобильный держатель для воздуховода</v>
      </c>
      <c r="N498" s="292" t="str">
        <f aca="false">IF(ISBLANK('Автомобильные держатели'!$D$46),"",'Автомобильные держатели'!$D$46)</f>
        <v>6931474740243</v>
      </c>
      <c r="O498" s="292" t="str">
        <f aca="false">IF(ISBLANK('Автомобильные держатели'!$E$46),"",'Автомобильные держатели'!$E$46)</f>
        <v>черный</v>
      </c>
      <c r="P498" s="292" t="str">
        <f aca="false">"ед."</f>
        <v>ед.</v>
      </c>
      <c r="Q498" s="292" t="n">
        <f aca="false">N('Автомобильные держатели'!$G$46)</f>
        <v>0</v>
      </c>
      <c r="R498" s="299" t="n">
        <f aca="false">IF(ISBLANK('Автомобильные держатели'!$F$46),"",'Автомобильные держатели'!$F$46)</f>
        <v>163.09</v>
      </c>
      <c r="S498" s="292" t="str">
        <f aca="false">IF(ISBLANK('Автомобильные держатели'!$H$46),"",'Автомобильные держатели'!$H$46)</f>
        <v/>
      </c>
    </row>
    <row r="499" customFormat="false" ht="66" hidden="false" customHeight="true" outlineLevel="0" collapsed="false">
      <c r="A499" s="291" t="str">
        <f aca="true">IF(ISNUMBER($J499),INDIRECT("L"&amp;($J499+4)),"")</f>
        <v/>
      </c>
      <c r="B499" s="291" t="str">
        <f aca="true">IF(ISNUMBER($J499),INDIRECT("M"&amp;($J499+4)),"")</f>
        <v/>
      </c>
      <c r="C499" s="296" t="str">
        <f aca="true">IF(ISNUMBER($J499),INDIRECT("N"&amp;($J499+4)),"")</f>
        <v/>
      </c>
      <c r="D499" s="291" t="str">
        <f aca="true">IF(ISNUMBER($J499),INDIRECT("O"&amp;($J499+4)),"")</f>
        <v/>
      </c>
      <c r="E499" s="291" t="str">
        <f aca="true">IF(ISNUMBER($J499),INDIRECT("P"&amp;($J499+4)),"")</f>
        <v/>
      </c>
      <c r="F499" s="300" t="str">
        <f aca="true">IF(ISNUMBER($J499),INDIRECT("Q"&amp;($J499+4)),"")</f>
        <v/>
      </c>
      <c r="G499" s="298" t="str">
        <f aca="true">IF(ISNUMBER($J499),INDIRECT("R"&amp;($J499+4)),"")</f>
        <v/>
      </c>
      <c r="H499" s="298" t="str">
        <f aca="true">IF(ISNUMBER($J499),INDIRECT("S"&amp;($J499+4)),"")</f>
        <v/>
      </c>
      <c r="J499" s="292" t="str">
        <f aca="true">IF(495&lt;=$K$1,MATCH(494.5,INDIRECT("$K$4:$K$1374"),1),"")</f>
        <v/>
      </c>
      <c r="K499" s="292" t="n">
        <f aca="false">$K$388+COUNTIF($Q$389:Q499,"&gt;0")</f>
        <v>0</v>
      </c>
      <c r="L499" s="292" t="str">
        <f aca="false">"Автомобильные держатели"</f>
        <v>Автомобильные держатели</v>
      </c>
      <c r="M499" s="292" t="str">
        <f aca="false">IF(ISBLANK('Автомобильные держатели'!$A$47),"",'Автомобильные держатели'!$A$47)</f>
        <v>BH39 Amazing bay автомобильный держатель телефона для приборной панели</v>
      </c>
      <c r="N499" s="292" t="str">
        <f aca="false">IF(ISBLANK('Автомобильные держатели'!$D$47),"",'Автомобильные держатели'!$D$47)</f>
        <v>6931474742506</v>
      </c>
      <c r="O499" s="292" t="str">
        <f aca="false">IF(ISBLANK('Автомобильные держатели'!$E$47),"",'Автомобильные держатели'!$E$47)</f>
        <v>черный</v>
      </c>
      <c r="P499" s="292" t="str">
        <f aca="false">"ед."</f>
        <v>ед.</v>
      </c>
      <c r="Q499" s="292" t="n">
        <f aca="false">N('Автомобильные держатели'!$G$47)</f>
        <v>0</v>
      </c>
      <c r="R499" s="299" t="n">
        <f aca="false">IF(ISBLANK('Автомобильные держатели'!$F$47),"",'Автомобильные держатели'!$F$47)</f>
        <v>228.33</v>
      </c>
      <c r="S499" s="292" t="str">
        <f aca="false">IF(ISBLANK('Автомобильные держатели'!$H$47),"",'Автомобильные держатели'!$H$47)</f>
        <v/>
      </c>
    </row>
    <row r="500" customFormat="false" ht="66" hidden="false" customHeight="true" outlineLevel="0" collapsed="false">
      <c r="A500" s="291" t="str">
        <f aca="true">IF(ISNUMBER($J500),INDIRECT("L"&amp;($J500+4)),"")</f>
        <v/>
      </c>
      <c r="B500" s="291" t="str">
        <f aca="true">IF(ISNUMBER($J500),INDIRECT("M"&amp;($J500+4)),"")</f>
        <v/>
      </c>
      <c r="C500" s="296" t="str">
        <f aca="true">IF(ISNUMBER($J500),INDIRECT("N"&amp;($J500+4)),"")</f>
        <v/>
      </c>
      <c r="D500" s="291" t="str">
        <f aca="true">IF(ISNUMBER($J500),INDIRECT("O"&amp;($J500+4)),"")</f>
        <v/>
      </c>
      <c r="E500" s="291" t="str">
        <f aca="true">IF(ISNUMBER($J500),INDIRECT("P"&amp;($J500+4)),"")</f>
        <v/>
      </c>
      <c r="F500" s="300" t="str">
        <f aca="true">IF(ISNUMBER($J500),INDIRECT("Q"&amp;($J500+4)),"")</f>
        <v/>
      </c>
      <c r="G500" s="298" t="str">
        <f aca="true">IF(ISNUMBER($J500),INDIRECT("R"&amp;($J500+4)),"")</f>
        <v/>
      </c>
      <c r="H500" s="298" t="str">
        <f aca="true">IF(ISNUMBER($J500),INDIRECT("S"&amp;($J500+4)),"")</f>
        <v/>
      </c>
      <c r="J500" s="292" t="str">
        <f aca="true">IF(496&lt;=$K$1,MATCH(495.5,INDIRECT("$K$4:$K$1374"),1),"")</f>
        <v/>
      </c>
      <c r="K500" s="292" t="n">
        <f aca="false">$K$388+COUNTIF($Q$389:Q500,"&gt;0")</f>
        <v>0</v>
      </c>
      <c r="L500" s="292" t="str">
        <f aca="false">"Автомобильные держатели"</f>
        <v>Автомобильные держатели</v>
      </c>
      <c r="M500" s="292" t="str">
        <f aca="false">IF(ISBLANK('Автомобильные держатели'!$A$48),"",'Автомобильные держатели'!$A$48)</f>
        <v>BH38 Magic bay автомобильный держатель телефона для приборной панели</v>
      </c>
      <c r="N500" s="292" t="str">
        <f aca="false">IF(ISBLANK('Автомобильные держатели'!$D$48),"",'Автомобильные держатели'!$D$48)</f>
        <v>6931474742490</v>
      </c>
      <c r="O500" s="292" t="str">
        <f aca="false">IF(ISBLANK('Автомобильные держатели'!$E$48),"",'Автомобильные держатели'!$E$48)</f>
        <v>черный</v>
      </c>
      <c r="P500" s="292" t="str">
        <f aca="false">"ед."</f>
        <v>ед.</v>
      </c>
      <c r="Q500" s="292" t="n">
        <f aca="false">N('Автомобильные держатели'!$G$48)</f>
        <v>0</v>
      </c>
      <c r="R500" s="299" t="n">
        <f aca="false">IF(ISBLANK('Автомобильные держатели'!$F$48),"",'Автомобильные держатели'!$F$48)</f>
        <v>228.33</v>
      </c>
      <c r="S500" s="292" t="str">
        <f aca="false">IF(ISBLANK('Автомобильные держатели'!$H$48),"",'Автомобильные держатели'!$H$48)</f>
        <v/>
      </c>
    </row>
    <row r="501" customFormat="false" ht="66" hidden="false" customHeight="true" outlineLevel="0" collapsed="false">
      <c r="A501" s="291" t="str">
        <f aca="true">IF(ISNUMBER($J501),INDIRECT("L"&amp;($J501+4)),"")</f>
        <v/>
      </c>
      <c r="B501" s="291" t="str">
        <f aca="true">IF(ISNUMBER($J501),INDIRECT("M"&amp;($J501+4)),"")</f>
        <v/>
      </c>
      <c r="C501" s="296" t="str">
        <f aca="true">IF(ISNUMBER($J501),INDIRECT("N"&amp;($J501+4)),"")</f>
        <v/>
      </c>
      <c r="D501" s="291" t="str">
        <f aca="true">IF(ISNUMBER($J501),INDIRECT("O"&amp;($J501+4)),"")</f>
        <v/>
      </c>
      <c r="E501" s="291" t="str">
        <f aca="true">IF(ISNUMBER($J501),INDIRECT("P"&amp;($J501+4)),"")</f>
        <v/>
      </c>
      <c r="F501" s="300" t="str">
        <f aca="true">IF(ISNUMBER($J501),INDIRECT("Q"&amp;($J501+4)),"")</f>
        <v/>
      </c>
      <c r="G501" s="298" t="str">
        <f aca="true">IF(ISNUMBER($J501),INDIRECT("R"&amp;($J501+4)),"")</f>
        <v/>
      </c>
      <c r="H501" s="298" t="str">
        <f aca="true">IF(ISNUMBER($J501),INDIRECT("S"&amp;($J501+4)),"")</f>
        <v/>
      </c>
      <c r="J501" s="292" t="str">
        <f aca="true">IF(497&lt;=$K$1,MATCH(496.5,INDIRECT("$K$4:$K$1374"),1),"")</f>
        <v/>
      </c>
      <c r="K501" s="292" t="n">
        <f aca="false">$K$388+COUNTIF($Q$389:Q501,"&gt;0")</f>
        <v>0</v>
      </c>
      <c r="L501" s="292" t="str">
        <f aca="false">"Автомобильные держатели"</f>
        <v>Автомобильные держатели</v>
      </c>
      <c r="M501" s="292" t="str">
        <f aca="false">IF(ISBLANK('Автомобильные держатели'!$A$49),"",'Автомобильные держатели'!$A$49)</f>
        <v>BH37 Route автомобильный держатель на присоске</v>
      </c>
      <c r="N501" s="292" t="str">
        <f aca="false">IF(ISBLANK('Автомобильные держатели'!$D$49),"",'Автомобильные держатели'!$D$49)</f>
        <v>6931474738486</v>
      </c>
      <c r="O501" s="292" t="str">
        <f aca="false">IF(ISBLANK('Автомобильные держатели'!$E$49),"",'Автомобильные держатели'!$E$49)</f>
        <v>черный</v>
      </c>
      <c r="P501" s="292" t="str">
        <f aca="false">"ед."</f>
        <v>ед.</v>
      </c>
      <c r="Q501" s="292" t="n">
        <f aca="false">N('Автомобильные держатели'!$G$49)</f>
        <v>0</v>
      </c>
      <c r="R501" s="299" t="n">
        <f aca="false">IF(ISBLANK('Автомобильные держатели'!$F$49),"",'Автомобильные держатели'!$F$49)</f>
        <v>244.64</v>
      </c>
      <c r="S501" s="292" t="str">
        <f aca="false">IF(ISBLANK('Автомобильные держатели'!$H$49),"",'Автомобильные держатели'!$H$49)</f>
        <v/>
      </c>
    </row>
    <row r="502" customFormat="false" ht="66" hidden="false" customHeight="true" outlineLevel="0" collapsed="false">
      <c r="A502" s="291" t="str">
        <f aca="true">IF(ISNUMBER($J502),INDIRECT("L"&amp;($J502+4)),"")</f>
        <v/>
      </c>
      <c r="B502" s="291" t="str">
        <f aca="true">IF(ISNUMBER($J502),INDIRECT("M"&amp;($J502+4)),"")</f>
        <v/>
      </c>
      <c r="C502" s="296" t="str">
        <f aca="true">IF(ISNUMBER($J502),INDIRECT("N"&amp;($J502+4)),"")</f>
        <v/>
      </c>
      <c r="D502" s="291" t="str">
        <f aca="true">IF(ISNUMBER($J502),INDIRECT("O"&amp;($J502+4)),"")</f>
        <v/>
      </c>
      <c r="E502" s="291" t="str">
        <f aca="true">IF(ISNUMBER($J502),INDIRECT("P"&amp;($J502+4)),"")</f>
        <v/>
      </c>
      <c r="F502" s="300" t="str">
        <f aca="true">IF(ISNUMBER($J502),INDIRECT("Q"&amp;($J502+4)),"")</f>
        <v/>
      </c>
      <c r="G502" s="298" t="str">
        <f aca="true">IF(ISNUMBER($J502),INDIRECT("R"&amp;($J502+4)),"")</f>
        <v/>
      </c>
      <c r="H502" s="298" t="str">
        <f aca="true">IF(ISNUMBER($J502),INDIRECT("S"&amp;($J502+4)),"")</f>
        <v/>
      </c>
      <c r="J502" s="292" t="str">
        <f aca="true">IF(498&lt;=$K$1,MATCH(497.5,INDIRECT("$K$4:$K$1374"),1),"")</f>
        <v/>
      </c>
      <c r="K502" s="292" t="n">
        <f aca="false">$K$388+COUNTIF($Q$389:Q502,"&gt;0")</f>
        <v>0</v>
      </c>
      <c r="L502" s="292" t="str">
        <f aca="false">"Автомобильные держатели"</f>
        <v>Автомобильные держатели</v>
      </c>
      <c r="M502" s="292" t="str">
        <f aca="false">IF(ISBLANK('Автомобильные держатели'!$A$50),"",'Автомобильные держатели'!$A$50)</f>
        <v>BH19 Eddie автомобильный держатель для воздуховода</v>
      </c>
      <c r="N502" s="292" t="str">
        <f aca="false">IF(ISBLANK('Автомобильные держатели'!$D$50),"",'Автомобильные держатели'!$D$50)</f>
        <v>6931474721204</v>
      </c>
      <c r="O502" s="292" t="str">
        <f aca="false">IF(ISBLANK('Автомобильные держатели'!$E$50),"",'Автомобильные держатели'!$E$50)</f>
        <v>черный</v>
      </c>
      <c r="P502" s="292" t="str">
        <f aca="false">"ед."</f>
        <v>ед.</v>
      </c>
      <c r="Q502" s="292" t="n">
        <f aca="false">N('Автомобильные держатели'!$G$50)</f>
        <v>0</v>
      </c>
      <c r="R502" s="299" t="n">
        <f aca="false">IF(ISBLANK('Автомобильные держатели'!$F$50),"",'Автомобильные держатели'!$F$50)</f>
        <v>125.58</v>
      </c>
      <c r="S502" s="292" t="str">
        <f aca="false">IF(ISBLANK('Автомобильные держатели'!$H$50),"",'Автомобильные держатели'!$H$50)</f>
        <v/>
      </c>
    </row>
    <row r="503" customFormat="false" ht="66" hidden="false" customHeight="true" outlineLevel="0" collapsed="false">
      <c r="A503" s="291" t="str">
        <f aca="true">IF(ISNUMBER($J503),INDIRECT("L"&amp;($J503+4)),"")</f>
        <v/>
      </c>
      <c r="B503" s="291" t="str">
        <f aca="true">IF(ISNUMBER($J503),INDIRECT("M"&amp;($J503+4)),"")</f>
        <v/>
      </c>
      <c r="C503" s="296" t="str">
        <f aca="true">IF(ISNUMBER($J503),INDIRECT("N"&amp;($J503+4)),"")</f>
        <v/>
      </c>
      <c r="D503" s="291" t="str">
        <f aca="true">IF(ISNUMBER($J503),INDIRECT("O"&amp;($J503+4)),"")</f>
        <v/>
      </c>
      <c r="E503" s="291" t="str">
        <f aca="true">IF(ISNUMBER($J503),INDIRECT("P"&amp;($J503+4)),"")</f>
        <v/>
      </c>
      <c r="F503" s="300" t="str">
        <f aca="true">IF(ISNUMBER($J503),INDIRECT("Q"&amp;($J503+4)),"")</f>
        <v/>
      </c>
      <c r="G503" s="298" t="str">
        <f aca="true">IF(ISNUMBER($J503),INDIRECT("R"&amp;($J503+4)),"")</f>
        <v/>
      </c>
      <c r="H503" s="298" t="str">
        <f aca="true">IF(ISNUMBER($J503),INDIRECT("S"&amp;($J503+4)),"")</f>
        <v/>
      </c>
      <c r="J503" s="292" t="str">
        <f aca="true">IF(499&lt;=$K$1,MATCH(498.5,INDIRECT("$K$4:$K$1374"),1),"")</f>
        <v/>
      </c>
      <c r="K503" s="292" t="n">
        <f aca="false">$K$388+COUNTIF($Q$389:Q503,"&gt;0")</f>
        <v>0</v>
      </c>
      <c r="L503" s="292" t="str">
        <f aca="false">"Автомобильные держатели"</f>
        <v>Автомобильные держатели</v>
      </c>
      <c r="M503" s="292" t="str">
        <f aca="false">IF(ISBLANK('Автомобильные держатели'!$A$51),"",'Автомобильные держатели'!$A$51)</f>
        <v>BH18 Journey автомобильный держатель для ветрового стекла</v>
      </c>
      <c r="N503" s="292" t="str">
        <f aca="false">IF(ISBLANK('Автомобильные держатели'!$D$51),"",'Автомобильные держатели'!$D$51)</f>
        <v>6931474711021</v>
      </c>
      <c r="O503" s="292" t="str">
        <f aca="false">IF(ISBLANK('Автомобильные держатели'!$E$51),"",'Автомобильные держатели'!$E$51)</f>
        <v>черный＆красный</v>
      </c>
      <c r="P503" s="292" t="str">
        <f aca="false">"ед."</f>
        <v>ед.</v>
      </c>
      <c r="Q503" s="292" t="n">
        <f aca="false">N('Автомобильные держатели'!$G$51)</f>
        <v>0</v>
      </c>
      <c r="R503" s="299" t="n">
        <f aca="false">IF(ISBLANK('Автомобильные держатели'!$F$51),"",'Автомобильные держатели'!$F$51)</f>
        <v>318.03</v>
      </c>
      <c r="S503" s="292" t="str">
        <f aca="false">IF(ISBLANK('Автомобильные держатели'!$H$51),"",'Автомобильные держатели'!$H$51)</f>
        <v/>
      </c>
    </row>
    <row r="504" customFormat="false" ht="66" hidden="false" customHeight="true" outlineLevel="0" collapsed="false">
      <c r="A504" s="291" t="str">
        <f aca="true">IF(ISNUMBER($J504),INDIRECT("L"&amp;($J504+4)),"")</f>
        <v/>
      </c>
      <c r="B504" s="291" t="str">
        <f aca="true">IF(ISNUMBER($J504),INDIRECT("M"&amp;($J504+4)),"")</f>
        <v/>
      </c>
      <c r="C504" s="296" t="str">
        <f aca="true">IF(ISNUMBER($J504),INDIRECT("N"&amp;($J504+4)),"")</f>
        <v/>
      </c>
      <c r="D504" s="291" t="str">
        <f aca="true">IF(ISNUMBER($J504),INDIRECT("O"&amp;($J504+4)),"")</f>
        <v/>
      </c>
      <c r="E504" s="291" t="str">
        <f aca="true">IF(ISNUMBER($J504),INDIRECT("P"&amp;($J504+4)),"")</f>
        <v/>
      </c>
      <c r="F504" s="300" t="str">
        <f aca="true">IF(ISNUMBER($J504),INDIRECT("Q"&amp;($J504+4)),"")</f>
        <v/>
      </c>
      <c r="G504" s="298" t="str">
        <f aca="true">IF(ISNUMBER($J504),INDIRECT("R"&amp;($J504+4)),"")</f>
        <v/>
      </c>
      <c r="H504" s="298" t="str">
        <f aca="true">IF(ISNUMBER($J504),INDIRECT("S"&amp;($J504+4)),"")</f>
        <v/>
      </c>
      <c r="J504" s="292" t="str">
        <f aca="true">IF(500&lt;=$K$1,MATCH(499.5,INDIRECT("$K$4:$K$1374"),1),"")</f>
        <v/>
      </c>
      <c r="K504" s="292" t="n">
        <f aca="false">$K$388+COUNTIF($Q$389:Q504,"&gt;0")</f>
        <v>0</v>
      </c>
      <c r="L504" s="292" t="str">
        <f aca="false">"Автомобильные держатели"</f>
        <v>Автомобильные держатели</v>
      </c>
      <c r="M504" s="292" t="str">
        <f aca="false">IF(ISBLANK('Автомобильные держатели'!$A$52),"",'Автомобильные держатели'!$A$52)</f>
        <v>BH8 магнитный автомобильный держатель для воздуховода</v>
      </c>
      <c r="N504" s="292" t="str">
        <f aca="false">IF(ISBLANK('Автомобильные держатели'!$D$52),"",'Автомобильные держатели'!$D$52)</f>
        <v>6931474702005</v>
      </c>
      <c r="O504" s="292" t="str">
        <f aca="false">IF(ISBLANK('Автомобильные держатели'!$E$52),"",'Автомобильные держатели'!$E$52)</f>
        <v>черный</v>
      </c>
      <c r="P504" s="292" t="str">
        <f aca="false">"ед."</f>
        <v>ед.</v>
      </c>
      <c r="Q504" s="292" t="n">
        <f aca="false">N('Автомобильные держатели'!$G$52)</f>
        <v>0</v>
      </c>
      <c r="R504" s="299" t="n">
        <f aca="false">IF(ISBLANK('Автомобильные держатели'!$F$52),"",'Автомобильные держатели'!$F$52)</f>
        <v>114.17</v>
      </c>
      <c r="S504" s="292" t="str">
        <f aca="false">IF(ISBLANK('Автомобильные держатели'!$H$52),"",'Автомобильные держатели'!$H$52)</f>
        <v/>
      </c>
    </row>
    <row r="505" customFormat="false" ht="66" hidden="false" customHeight="true" outlineLevel="0" collapsed="false">
      <c r="A505" s="291" t="str">
        <f aca="true">IF(ISNUMBER($J505),INDIRECT("L"&amp;($J505+4)),"")</f>
        <v/>
      </c>
      <c r="B505" s="291" t="str">
        <f aca="true">IF(ISNUMBER($J505),INDIRECT("M"&amp;($J505+4)),"")</f>
        <v/>
      </c>
      <c r="C505" s="296" t="str">
        <f aca="true">IF(ISNUMBER($J505),INDIRECT("N"&amp;($J505+4)),"")</f>
        <v/>
      </c>
      <c r="D505" s="291" t="str">
        <f aca="true">IF(ISNUMBER($J505),INDIRECT("O"&amp;($J505+4)),"")</f>
        <v/>
      </c>
      <c r="E505" s="291" t="str">
        <f aca="true">IF(ISNUMBER($J505),INDIRECT("P"&amp;($J505+4)),"")</f>
        <v/>
      </c>
      <c r="F505" s="300" t="str">
        <f aca="true">IF(ISNUMBER($J505),INDIRECT("Q"&amp;($J505+4)),"")</f>
        <v/>
      </c>
      <c r="G505" s="298" t="str">
        <f aca="true">IF(ISNUMBER($J505),INDIRECT("R"&amp;($J505+4)),"")</f>
        <v/>
      </c>
      <c r="H505" s="298" t="str">
        <f aca="true">IF(ISNUMBER($J505),INDIRECT("S"&amp;($J505+4)),"")</f>
        <v/>
      </c>
      <c r="J505" s="292" t="str">
        <f aca="true">IF(501&lt;=$K$1,MATCH(500.5,INDIRECT("$K$4:$K$1374"),1),"")</f>
        <v/>
      </c>
      <c r="K505" s="292" t="n">
        <f aca="false">$K$388+COUNTIF($Q$389:Q505,"&gt;0")</f>
        <v>0</v>
      </c>
      <c r="L505" s="292" t="str">
        <f aca="false">"Автомобильные держатели"</f>
        <v>Автомобильные держатели</v>
      </c>
      <c r="M505" s="292" t="str">
        <f aca="false">IF(ISBLANK('Автомобильные держатели'!$A$53),"",'Автомобильные держатели'!$A$53)</f>
        <v>BH7 Plane магнитный автомобильный держатель</v>
      </c>
      <c r="N505" s="292" t="str">
        <f aca="false">IF(ISBLANK('Автомобильные держатели'!$D$53),"",'Автомобильные держатели'!$D$53)</f>
        <v>6931474701985</v>
      </c>
      <c r="O505" s="292" t="str">
        <f aca="false">IF(ISBLANK('Автомобильные держатели'!$E$53),"",'Автомобильные держатели'!$E$53)</f>
        <v>черный</v>
      </c>
      <c r="P505" s="292" t="str">
        <f aca="false">"ед."</f>
        <v>ед.</v>
      </c>
      <c r="Q505" s="292" t="n">
        <f aca="false">N('Автомобильные держатели'!$G$53)</f>
        <v>0</v>
      </c>
      <c r="R505" s="299" t="n">
        <f aca="false">IF(ISBLANK('Автомобильные держатели'!$F$53),"",'Автомобильные держатели'!$F$53)</f>
        <v>106.01</v>
      </c>
      <c r="S505" s="292" t="str">
        <f aca="false">IF(ISBLANK('Автомобильные держатели'!$H$53),"",'Автомобильные держатели'!$H$53)</f>
        <v/>
      </c>
    </row>
    <row r="506" customFormat="false" ht="66" hidden="false" customHeight="true" outlineLevel="0" collapsed="false">
      <c r="A506" s="291" t="str">
        <f aca="true">IF(ISNUMBER($J506),INDIRECT("L"&amp;($J506+4)),"")</f>
        <v/>
      </c>
      <c r="B506" s="291" t="str">
        <f aca="true">IF(ISNUMBER($J506),INDIRECT("M"&amp;($J506+4)),"")</f>
        <v/>
      </c>
      <c r="C506" s="296" t="str">
        <f aca="true">IF(ISNUMBER($J506),INDIRECT("N"&amp;($J506+4)),"")</f>
        <v/>
      </c>
      <c r="D506" s="291" t="str">
        <f aca="true">IF(ISNUMBER($J506),INDIRECT("O"&amp;($J506+4)),"")</f>
        <v/>
      </c>
      <c r="E506" s="291" t="str">
        <f aca="true">IF(ISNUMBER($J506),INDIRECT("P"&amp;($J506+4)),"")</f>
        <v/>
      </c>
      <c r="F506" s="300" t="str">
        <f aca="true">IF(ISNUMBER($J506),INDIRECT("Q"&amp;($J506+4)),"")</f>
        <v/>
      </c>
      <c r="G506" s="298" t="str">
        <f aca="true">IF(ISNUMBER($J506),INDIRECT("R"&amp;($J506+4)),"")</f>
        <v/>
      </c>
      <c r="H506" s="298" t="str">
        <f aca="true">IF(ISNUMBER($J506),INDIRECT("S"&amp;($J506+4)),"")</f>
        <v/>
      </c>
      <c r="J506" s="292" t="str">
        <f aca="true">IF(502&lt;=$K$1,MATCH(501.5,INDIRECT("$K$4:$K$1374"),1),"")</f>
        <v/>
      </c>
      <c r="K506" s="292" t="n">
        <f aca="false">$K$388+COUNTIF($Q$389:Q506,"&gt;0")</f>
        <v>0</v>
      </c>
      <c r="L506" s="292" t="str">
        <f aca="false">"Автозарядки и аксессуары"</f>
        <v>Автозарядки и аксессуары</v>
      </c>
      <c r="M506" s="292" t="str">
        <f aca="false">IF(ISBLANK('Автозарядки и аксессуары'!$A$5),"",'Автозарядки и аксессуары'!$A$5)</f>
        <v>FC5 car parking sign</v>
      </c>
      <c r="N506" s="292" t="str">
        <f aca="false">IF(ISBLANK('Автозарядки и аксессуары'!$D$5),"",'Автозарядки и аксессуары'!$D$5)</f>
        <v>6941991129612</v>
      </c>
      <c r="O506" s="292" t="str">
        <f aca="false">IF(ISBLANK('Автозарядки и аксессуары'!$E$5),"",'Автозарядки и аксессуары'!$E$5)</f>
        <v>черный</v>
      </c>
      <c r="P506" s="292" t="str">
        <f aca="false">"ед."</f>
        <v>ед.</v>
      </c>
      <c r="Q506" s="292" t="n">
        <f aca="false">N('Автозарядки и аксессуары'!$G$5)</f>
        <v>0</v>
      </c>
      <c r="R506" s="299" t="n">
        <f aca="false">IF(ISBLANK('Автозарядки и аксессуары'!$F$5),"",'Автозарядки и аксессуары'!$F$5)</f>
        <v>73.39</v>
      </c>
      <c r="S506" s="292" t="str">
        <f aca="false">IF(ISBLANK('Автозарядки и аксессуары'!$H$5),"",'Автозарядки и аксессуары'!$H$5)</f>
        <v/>
      </c>
    </row>
    <row r="507" customFormat="false" ht="66" hidden="false" customHeight="true" outlineLevel="0" collapsed="false">
      <c r="A507" s="291" t="str">
        <f aca="true">IF(ISNUMBER($J507),INDIRECT("L"&amp;($J507+4)),"")</f>
        <v/>
      </c>
      <c r="B507" s="291" t="str">
        <f aca="true">IF(ISNUMBER($J507),INDIRECT("M"&amp;($J507+4)),"")</f>
        <v/>
      </c>
      <c r="C507" s="296" t="str">
        <f aca="true">IF(ISNUMBER($J507),INDIRECT("N"&amp;($J507+4)),"")</f>
        <v/>
      </c>
      <c r="D507" s="291" t="str">
        <f aca="true">IF(ISNUMBER($J507),INDIRECT("O"&amp;($J507+4)),"")</f>
        <v/>
      </c>
      <c r="E507" s="291" t="str">
        <f aca="true">IF(ISNUMBER($J507),INDIRECT("P"&amp;($J507+4)),"")</f>
        <v/>
      </c>
      <c r="F507" s="300" t="str">
        <f aca="true">IF(ISNUMBER($J507),INDIRECT("Q"&amp;($J507+4)),"")</f>
        <v/>
      </c>
      <c r="G507" s="298" t="str">
        <f aca="true">IF(ISNUMBER($J507),INDIRECT("R"&amp;($J507+4)),"")</f>
        <v/>
      </c>
      <c r="H507" s="298" t="str">
        <f aca="true">IF(ISNUMBER($J507),INDIRECT("S"&amp;($J507+4)),"")</f>
        <v/>
      </c>
      <c r="J507" s="292" t="str">
        <f aca="true">IF(503&lt;=$K$1,MATCH(502.5,INDIRECT("$K$4:$K$1374"),1),"")</f>
        <v/>
      </c>
      <c r="K507" s="292" t="n">
        <f aca="false">$K$388+COUNTIF($Q$389:Q507,"&gt;0")</f>
        <v>0</v>
      </c>
      <c r="L507" s="292" t="str">
        <f aca="false">"Автозарядки и аксессуары"</f>
        <v>Автозарядки и аксессуары</v>
      </c>
      <c r="M507" s="292" t="str">
        <f aca="false">IF(ISBLANK('Автозарядки и аксессуары'!$A$6),"",'Автозарядки и аксессуары'!$A$6)</f>
        <v>FC3 Ronny парковочная табличка</v>
      </c>
      <c r="N507" s="292" t="str">
        <f aca="false">IF(ISBLANK('Автозарядки и аксессуары'!$D$6),"",'Автозарядки и аксессуары'!$D$6)</f>
        <v>6941991118760</v>
      </c>
      <c r="O507" s="292" t="str">
        <f aca="false">IF(ISBLANK('Автозарядки и аксессуары'!$E$6),"",'Автозарядки и аксессуары'!$E$6)</f>
        <v>чёрный металлик</v>
      </c>
      <c r="P507" s="292" t="str">
        <f aca="false">"ед."</f>
        <v>ед.</v>
      </c>
      <c r="Q507" s="292" t="n">
        <f aca="false">N('Автозарядки и аксессуары'!$G$6)</f>
        <v>0</v>
      </c>
      <c r="R507" s="299" t="n">
        <f aca="false">IF(ISBLANK('Автозарядки и аксессуары'!$F$6),"",'Автозарядки и аксессуары'!$F$6)</f>
        <v>101.12</v>
      </c>
      <c r="S507" s="292" t="str">
        <f aca="false">IF(ISBLANK('Автозарядки и аксессуары'!$H$6),"",'Автозарядки и аксессуары'!$H$6)</f>
        <v/>
      </c>
    </row>
    <row r="508" customFormat="false" ht="66" hidden="false" customHeight="true" outlineLevel="0" collapsed="false">
      <c r="A508" s="291" t="str">
        <f aca="true">IF(ISNUMBER($J508),INDIRECT("L"&amp;($J508+4)),"")</f>
        <v/>
      </c>
      <c r="B508" s="291" t="str">
        <f aca="true">IF(ISNUMBER($J508),INDIRECT("M"&amp;($J508+4)),"")</f>
        <v/>
      </c>
      <c r="C508" s="296" t="str">
        <f aca="true">IF(ISNUMBER($J508),INDIRECT("N"&amp;($J508+4)),"")</f>
        <v/>
      </c>
      <c r="D508" s="291" t="str">
        <f aca="true">IF(ISNUMBER($J508),INDIRECT("O"&amp;($J508+4)),"")</f>
        <v/>
      </c>
      <c r="E508" s="291" t="str">
        <f aca="true">IF(ISNUMBER($J508),INDIRECT("P"&amp;($J508+4)),"")</f>
        <v/>
      </c>
      <c r="F508" s="300" t="str">
        <f aca="true">IF(ISNUMBER($J508),INDIRECT("Q"&amp;($J508+4)),"")</f>
        <v/>
      </c>
      <c r="G508" s="298" t="str">
        <f aca="true">IF(ISNUMBER($J508),INDIRECT("R"&amp;($J508+4)),"")</f>
        <v/>
      </c>
      <c r="H508" s="298" t="str">
        <f aca="true">IF(ISNUMBER($J508),INDIRECT("S"&amp;($J508+4)),"")</f>
        <v/>
      </c>
      <c r="J508" s="292" t="str">
        <f aca="true">IF(504&lt;=$K$1,MATCH(503.5,INDIRECT("$K$4:$K$1374"),1),"")</f>
        <v/>
      </c>
      <c r="K508" s="292" t="n">
        <f aca="false">$K$388+COUNTIF($Q$389:Q508,"&gt;0")</f>
        <v>0</v>
      </c>
      <c r="L508" s="292" t="str">
        <f aca="false">"Автозарядки и аксессуары"</f>
        <v>Автозарядки и аксессуары</v>
      </c>
      <c r="M508" s="292" t="str">
        <f aca="false">IF(ISBLANK('Автозарядки и аксессуары'!$A$9),"",'Автозарядки и аксессуары'!$A$9)</f>
        <v>BZ35 Leader 30W(2C2A) автомобильное зарядное устройство</v>
      </c>
      <c r="N508" s="292" t="str">
        <f aca="false">IF(ISBLANK('Автозарядки и аксессуары'!$D$9),"",'Автозарядки и аксессуары'!$D$9)</f>
        <v>6941991127762</v>
      </c>
      <c r="O508" s="292" t="str">
        <f aca="false">IF(ISBLANK('Автозарядки и аксессуары'!$E$9),"",'Автозарядки и аксессуары'!$E$9)</f>
        <v>черный</v>
      </c>
      <c r="P508" s="292" t="str">
        <f aca="false">"ед."</f>
        <v>ед.</v>
      </c>
      <c r="Q508" s="292" t="n">
        <f aca="false">N('Автозарядки и аксессуары'!$G$9)</f>
        <v>0</v>
      </c>
      <c r="R508" s="299" t="n">
        <f aca="false">IF(ISBLANK('Автозарядки и аксессуары'!$F$9),"",'Автозарядки и аксессуары'!$F$9)</f>
        <v>228.33</v>
      </c>
      <c r="S508" s="292" t="str">
        <f aca="false">IF(ISBLANK('Автозарядки и аксессуары'!$H$9),"",'Автозарядки и аксессуары'!$H$9)</f>
        <v/>
      </c>
    </row>
    <row r="509" customFormat="false" ht="66" hidden="false" customHeight="true" outlineLevel="0" collapsed="false">
      <c r="A509" s="291" t="str">
        <f aca="true">IF(ISNUMBER($J509),INDIRECT("L"&amp;($J509+4)),"")</f>
        <v/>
      </c>
      <c r="B509" s="291" t="str">
        <f aca="true">IF(ISNUMBER($J509),INDIRECT("M"&amp;($J509+4)),"")</f>
        <v/>
      </c>
      <c r="C509" s="296" t="str">
        <f aca="true">IF(ISNUMBER($J509),INDIRECT("N"&amp;($J509+4)),"")</f>
        <v/>
      </c>
      <c r="D509" s="291" t="str">
        <f aca="true">IF(ISNUMBER($J509),INDIRECT("O"&amp;($J509+4)),"")</f>
        <v/>
      </c>
      <c r="E509" s="291" t="str">
        <f aca="true">IF(ISNUMBER($J509),INDIRECT("P"&amp;($J509+4)),"")</f>
        <v/>
      </c>
      <c r="F509" s="300" t="str">
        <f aca="true">IF(ISNUMBER($J509),INDIRECT("Q"&amp;($J509+4)),"")</f>
        <v/>
      </c>
      <c r="G509" s="298" t="str">
        <f aca="true">IF(ISNUMBER($J509),INDIRECT("R"&amp;($J509+4)),"")</f>
        <v/>
      </c>
      <c r="H509" s="298" t="str">
        <f aca="true">IF(ISNUMBER($J509),INDIRECT("S"&amp;($J509+4)),"")</f>
        <v/>
      </c>
      <c r="J509" s="292" t="str">
        <f aca="true">IF(505&lt;=$K$1,MATCH(504.5,INDIRECT("$K$4:$K$1374"),1),"")</f>
        <v/>
      </c>
      <c r="K509" s="292" t="n">
        <f aca="false">$K$388+COUNTIF($Q$389:Q509,"&gt;0")</f>
        <v>0</v>
      </c>
      <c r="L509" s="292" t="str">
        <f aca="false">"Автозарядки и аксессуары"</f>
        <v>Автозарядки и аксессуары</v>
      </c>
      <c r="M509" s="292" t="str">
        <f aca="false">IF(ISBLANK('Автозарядки и аксессуары'!$A$10),"",'Автозарядки и аксессуары'!$A$10)</f>
        <v>BZ35 Leader 30W(2C2A) автомобильное зарядное устройство набор (iP)</v>
      </c>
      <c r="N509" s="292" t="str">
        <f aca="false">IF(ISBLANK('Автозарядки и аксессуары'!$D$10),"",'Автозарядки и аксессуары'!$D$10)</f>
        <v>6941991127779</v>
      </c>
      <c r="O509" s="292" t="str">
        <f aca="false">IF(ISBLANK('Автозарядки и аксессуары'!$E$10),"",'Автозарядки и аксессуары'!$E$10)</f>
        <v>черный</v>
      </c>
      <c r="P509" s="292" t="str">
        <f aca="false">"ед."</f>
        <v>ед.</v>
      </c>
      <c r="Q509" s="292" t="n">
        <f aca="false">N('Автозарядки и аксессуары'!$G$10)</f>
        <v>0</v>
      </c>
      <c r="R509" s="299" t="n">
        <f aca="false">IF(ISBLANK('Автозарядки и аксессуары'!$F$10),"",'Автозарядки и аксессуары'!$F$10)</f>
        <v>274</v>
      </c>
      <c r="S509" s="292" t="str">
        <f aca="false">IF(ISBLANK('Автозарядки и аксессуары'!$H$10),"",'Автозарядки и аксессуары'!$H$10)</f>
        <v/>
      </c>
    </row>
    <row r="510" customFormat="false" ht="66" hidden="false" customHeight="true" outlineLevel="0" collapsed="false">
      <c r="A510" s="291" t="str">
        <f aca="true">IF(ISNUMBER($J510),INDIRECT("L"&amp;($J510+4)),"")</f>
        <v/>
      </c>
      <c r="B510" s="291" t="str">
        <f aca="true">IF(ISNUMBER($J510),INDIRECT("M"&amp;($J510+4)),"")</f>
        <v/>
      </c>
      <c r="C510" s="296" t="str">
        <f aca="true">IF(ISNUMBER($J510),INDIRECT("N"&amp;($J510+4)),"")</f>
        <v/>
      </c>
      <c r="D510" s="291" t="str">
        <f aca="true">IF(ISNUMBER($J510),INDIRECT("O"&amp;($J510+4)),"")</f>
        <v/>
      </c>
      <c r="E510" s="291" t="str">
        <f aca="true">IF(ISNUMBER($J510),INDIRECT("P"&amp;($J510+4)),"")</f>
        <v/>
      </c>
      <c r="F510" s="300" t="str">
        <f aca="true">IF(ISNUMBER($J510),INDIRECT("Q"&amp;($J510+4)),"")</f>
        <v/>
      </c>
      <c r="G510" s="298" t="str">
        <f aca="true">IF(ISNUMBER($J510),INDIRECT("R"&amp;($J510+4)),"")</f>
        <v/>
      </c>
      <c r="H510" s="298" t="str">
        <f aca="true">IF(ISNUMBER($J510),INDIRECT("S"&amp;($J510+4)),"")</f>
        <v/>
      </c>
      <c r="J510" s="292" t="str">
        <f aca="true">IF(506&lt;=$K$1,MATCH(505.5,INDIRECT("$K$4:$K$1374"),1),"")</f>
        <v/>
      </c>
      <c r="K510" s="292" t="n">
        <f aca="false">$K$388+COUNTIF($Q$389:Q510,"&gt;0")</f>
        <v>0</v>
      </c>
      <c r="L510" s="292" t="str">
        <f aca="false">"Автозарядки и аксессуары"</f>
        <v>Автозарядки и аксессуары</v>
      </c>
      <c r="M510" s="292" t="str">
        <f aca="false">IF(ISBLANK('Автозарядки и аксессуары'!$A$11),"",'Автозарядки и аксессуары'!$A$11)</f>
        <v>BZ34 CloudQC3.0 автомобильное зарядное устройство</v>
      </c>
      <c r="N510" s="292" t="str">
        <f aca="false">IF(ISBLANK('Автозарядки и аксессуары'!$D$11),"",'Автозарядки и аксессуары'!$D$11)</f>
        <v>6941991122255</v>
      </c>
      <c r="O510" s="292" t="str">
        <f aca="false">IF(ISBLANK('Автозарядки и аксессуары'!$E$11),"",'Автозарядки и аксессуары'!$E$11)</f>
        <v>черный</v>
      </c>
      <c r="P510" s="292" t="str">
        <f aca="false">"ед."</f>
        <v>ед.</v>
      </c>
      <c r="Q510" s="292" t="n">
        <f aca="false">N('Автозарядки и аксессуары'!$G$11)</f>
        <v>0</v>
      </c>
      <c r="R510" s="299" t="n">
        <f aca="false">IF(ISBLANK('Автозарядки и аксессуары'!$F$11),"",'Автозарядки и аксессуары'!$F$11)</f>
        <v>101.12</v>
      </c>
      <c r="S510" s="292" t="str">
        <f aca="false">IF(ISBLANK('Автозарядки и аксессуары'!$H$11),"",'Автозарядки и аксессуары'!$H$11)</f>
        <v/>
      </c>
    </row>
    <row r="511" customFormat="false" ht="66" hidden="false" customHeight="true" outlineLevel="0" collapsed="false">
      <c r="A511" s="291" t="str">
        <f aca="true">IF(ISNUMBER($J511),INDIRECT("L"&amp;($J511+4)),"")</f>
        <v/>
      </c>
      <c r="B511" s="291" t="str">
        <f aca="true">IF(ISNUMBER($J511),INDIRECT("M"&amp;($J511+4)),"")</f>
        <v/>
      </c>
      <c r="C511" s="296" t="str">
        <f aca="true">IF(ISNUMBER($J511),INDIRECT("N"&amp;($J511+4)),"")</f>
        <v/>
      </c>
      <c r="D511" s="291" t="str">
        <f aca="true">IF(ISNUMBER($J511),INDIRECT("O"&amp;($J511+4)),"")</f>
        <v/>
      </c>
      <c r="E511" s="291" t="str">
        <f aca="true">IF(ISNUMBER($J511),INDIRECT("P"&amp;($J511+4)),"")</f>
        <v/>
      </c>
      <c r="F511" s="300" t="str">
        <f aca="true">IF(ISNUMBER($J511),INDIRECT("Q"&amp;($J511+4)),"")</f>
        <v/>
      </c>
      <c r="G511" s="298" t="str">
        <f aca="true">IF(ISNUMBER($J511),INDIRECT("R"&amp;($J511+4)),"")</f>
        <v/>
      </c>
      <c r="H511" s="298" t="str">
        <f aca="true">IF(ISNUMBER($J511),INDIRECT("S"&amp;($J511+4)),"")</f>
        <v/>
      </c>
      <c r="J511" s="292" t="str">
        <f aca="true">IF(507&lt;=$K$1,MATCH(506.5,INDIRECT("$K$4:$K$1374"),1),"")</f>
        <v/>
      </c>
      <c r="K511" s="292" t="n">
        <f aca="false">$K$388+COUNTIF($Q$389:Q511,"&gt;0")</f>
        <v>0</v>
      </c>
      <c r="L511" s="292" t="str">
        <f aca="false">"Автозарядки и аксессуары"</f>
        <v>Автозарядки и аксессуары</v>
      </c>
      <c r="M511" s="292" t="str">
        <f aca="false">IF(ISBLANK('Автозарядки и аксессуары'!$A$11),"",'Автозарядки и аксессуары'!$A$11)</f>
        <v>BZ34 CloudQC3.0 автомобильное зарядное устройство</v>
      </c>
      <c r="N511" s="292" t="str">
        <f aca="false">IF(ISBLANK('Автозарядки и аксессуары'!$D$12),"",'Автозарядки и аксессуары'!$D$12)</f>
        <v>6941991122262</v>
      </c>
      <c r="O511" s="292" t="str">
        <f aca="false">IF(ISBLANK('Автозарядки и аксессуары'!$E$12),"",'Автозарядки и аксессуары'!$E$12)</f>
        <v>белый</v>
      </c>
      <c r="P511" s="292" t="str">
        <f aca="false">"ед."</f>
        <v>ед.</v>
      </c>
      <c r="Q511" s="292" t="n">
        <f aca="false">N('Автозарядки и аксессуары'!$G$12)</f>
        <v>0</v>
      </c>
      <c r="R511" s="299" t="n">
        <f aca="false">IF(ISBLANK('Автозарядки и аксессуары'!$F$12),"",'Автозарядки и аксессуары'!$F$12)</f>
        <v>101.12</v>
      </c>
      <c r="S511" s="292" t="str">
        <f aca="false">IF(ISBLANK('Автозарядки и аксессуары'!$H$12),"",'Автозарядки и аксессуары'!$H$12)</f>
        <v/>
      </c>
    </row>
    <row r="512" customFormat="false" ht="66" hidden="false" customHeight="true" outlineLevel="0" collapsed="false">
      <c r="A512" s="291" t="str">
        <f aca="true">IF(ISNUMBER($J512),INDIRECT("L"&amp;($J512+4)),"")</f>
        <v/>
      </c>
      <c r="B512" s="291" t="str">
        <f aca="true">IF(ISNUMBER($J512),INDIRECT("M"&amp;($J512+4)),"")</f>
        <v/>
      </c>
      <c r="C512" s="296" t="str">
        <f aca="true">IF(ISNUMBER($J512),INDIRECT("N"&amp;($J512+4)),"")</f>
        <v/>
      </c>
      <c r="D512" s="291" t="str">
        <f aca="true">IF(ISNUMBER($J512),INDIRECT("O"&amp;($J512+4)),"")</f>
        <v/>
      </c>
      <c r="E512" s="291" t="str">
        <f aca="true">IF(ISNUMBER($J512),INDIRECT("P"&amp;($J512+4)),"")</f>
        <v/>
      </c>
      <c r="F512" s="300" t="str">
        <f aca="true">IF(ISNUMBER($J512),INDIRECT("Q"&amp;($J512+4)),"")</f>
        <v/>
      </c>
      <c r="G512" s="298" t="str">
        <f aca="true">IF(ISNUMBER($J512),INDIRECT("R"&amp;($J512+4)),"")</f>
        <v/>
      </c>
      <c r="H512" s="298" t="str">
        <f aca="true">IF(ISNUMBER($J512),INDIRECT("S"&amp;($J512+4)),"")</f>
        <v/>
      </c>
      <c r="J512" s="292" t="str">
        <f aca="true">IF(508&lt;=$K$1,MATCH(507.5,INDIRECT("$K$4:$K$1374"),1),"")</f>
        <v/>
      </c>
      <c r="K512" s="292" t="n">
        <f aca="false">$K$388+COUNTIF($Q$389:Q512,"&gt;0")</f>
        <v>0</v>
      </c>
      <c r="L512" s="292" t="str">
        <f aca="false">"Автозарядки и аксессуары"</f>
        <v>Автозарядки и аксессуары</v>
      </c>
      <c r="M512" s="292" t="str">
        <f aca="false">IF(ISBLANK('Автозарядки и аксессуары'!$A$13),"",'Автозарядки и аксессуары'!$A$13)</f>
        <v>BZ34 CloudQC3.0 автомобильное зарядное устройство набор (Micro)</v>
      </c>
      <c r="N512" s="292" t="str">
        <f aca="false">IF(ISBLANK('Автозарядки и аксессуары'!$D$13),"",'Автозарядки и аксессуары'!$D$13)</f>
        <v>6941991122279</v>
      </c>
      <c r="O512" s="292" t="str">
        <f aca="false">IF(ISBLANK('Автозарядки и аксессуары'!$E$13),"",'Автозарядки и аксессуары'!$E$13)</f>
        <v>черный</v>
      </c>
      <c r="P512" s="292" t="str">
        <f aca="false">"ед."</f>
        <v>ед.</v>
      </c>
      <c r="Q512" s="292" t="n">
        <f aca="false">N('Автозарядки и аксессуары'!$G$13)</f>
        <v>0</v>
      </c>
      <c r="R512" s="299" t="n">
        <f aca="false">IF(ISBLANK('Автозарядки и аксессуары'!$F$13),"",'Автозарядки и аксессуары'!$F$13)</f>
        <v>122.32</v>
      </c>
      <c r="S512" s="292" t="str">
        <f aca="false">IF(ISBLANK('Автозарядки и аксессуары'!$H$13),"",'Автозарядки и аксессуары'!$H$13)</f>
        <v/>
      </c>
    </row>
    <row r="513" customFormat="false" ht="66" hidden="false" customHeight="true" outlineLevel="0" collapsed="false">
      <c r="A513" s="291" t="str">
        <f aca="true">IF(ISNUMBER($J513),INDIRECT("L"&amp;($J513+4)),"")</f>
        <v/>
      </c>
      <c r="B513" s="291" t="str">
        <f aca="true">IF(ISNUMBER($J513),INDIRECT("M"&amp;($J513+4)),"")</f>
        <v/>
      </c>
      <c r="C513" s="296" t="str">
        <f aca="true">IF(ISNUMBER($J513),INDIRECT("N"&amp;($J513+4)),"")</f>
        <v/>
      </c>
      <c r="D513" s="291" t="str">
        <f aca="true">IF(ISNUMBER($J513),INDIRECT("O"&amp;($J513+4)),"")</f>
        <v/>
      </c>
      <c r="E513" s="291" t="str">
        <f aca="true">IF(ISNUMBER($J513),INDIRECT("P"&amp;($J513+4)),"")</f>
        <v/>
      </c>
      <c r="F513" s="300" t="str">
        <f aca="true">IF(ISNUMBER($J513),INDIRECT("Q"&amp;($J513+4)),"")</f>
        <v/>
      </c>
      <c r="G513" s="298" t="str">
        <f aca="true">IF(ISNUMBER($J513),INDIRECT("R"&amp;($J513+4)),"")</f>
        <v/>
      </c>
      <c r="H513" s="298" t="str">
        <f aca="true">IF(ISNUMBER($J513),INDIRECT("S"&amp;($J513+4)),"")</f>
        <v/>
      </c>
      <c r="J513" s="292" t="str">
        <f aca="true">IF(509&lt;=$K$1,MATCH(508.5,INDIRECT("$K$4:$K$1374"),1),"")</f>
        <v/>
      </c>
      <c r="K513" s="292" t="n">
        <f aca="false">$K$388+COUNTIF($Q$389:Q513,"&gt;0")</f>
        <v>0</v>
      </c>
      <c r="L513" s="292" t="str">
        <f aca="false">"Автозарядки и аксессуары"</f>
        <v>Автозарядки и аксессуары</v>
      </c>
      <c r="M513" s="292" t="str">
        <f aca="false">IF(ISBLANK('Автозарядки и аксессуары'!$A$13),"",'Автозарядки и аксессуары'!$A$13)</f>
        <v>BZ34 CloudQC3.0 автомобильное зарядное устройство набор (Micro)</v>
      </c>
      <c r="N513" s="292" t="str">
        <f aca="false">IF(ISBLANK('Автозарядки и аксессуары'!$D$14),"",'Автозарядки и аксессуары'!$D$14)</f>
        <v>6941991122286</v>
      </c>
      <c r="O513" s="292" t="str">
        <f aca="false">IF(ISBLANK('Автозарядки и аксессуары'!$E$14),"",'Автозарядки и аксессуары'!$E$14)</f>
        <v>белый</v>
      </c>
      <c r="P513" s="292" t="str">
        <f aca="false">"ед."</f>
        <v>ед.</v>
      </c>
      <c r="Q513" s="292" t="n">
        <f aca="false">N('Автозарядки и аксессуары'!$G$14)</f>
        <v>0</v>
      </c>
      <c r="R513" s="299" t="n">
        <f aca="false">IF(ISBLANK('Автозарядки и аксессуары'!$F$14),"",'Автозарядки и аксессуары'!$F$14)</f>
        <v>122.32</v>
      </c>
      <c r="S513" s="292" t="str">
        <f aca="false">IF(ISBLANK('Автозарядки и аксессуары'!$H$14),"",'Автозарядки и аксессуары'!$H$14)</f>
        <v/>
      </c>
    </row>
    <row r="514" customFormat="false" ht="66" hidden="false" customHeight="true" outlineLevel="0" collapsed="false">
      <c r="A514" s="291" t="str">
        <f aca="true">IF(ISNUMBER($J514),INDIRECT("L"&amp;($J514+4)),"")</f>
        <v/>
      </c>
      <c r="B514" s="291" t="str">
        <f aca="true">IF(ISNUMBER($J514),INDIRECT("M"&amp;($J514+4)),"")</f>
        <v/>
      </c>
      <c r="C514" s="296" t="str">
        <f aca="true">IF(ISNUMBER($J514),INDIRECT("N"&amp;($J514+4)),"")</f>
        <v/>
      </c>
      <c r="D514" s="291" t="str">
        <f aca="true">IF(ISNUMBER($J514),INDIRECT("O"&amp;($J514+4)),"")</f>
        <v/>
      </c>
      <c r="E514" s="291" t="str">
        <f aca="true">IF(ISNUMBER($J514),INDIRECT("P"&amp;($J514+4)),"")</f>
        <v/>
      </c>
      <c r="F514" s="300" t="str">
        <f aca="true">IF(ISNUMBER($J514),INDIRECT("Q"&amp;($J514+4)),"")</f>
        <v/>
      </c>
      <c r="G514" s="298" t="str">
        <f aca="true">IF(ISNUMBER($J514),INDIRECT("R"&amp;($J514+4)),"")</f>
        <v/>
      </c>
      <c r="H514" s="298" t="str">
        <f aca="true">IF(ISNUMBER($J514),INDIRECT("S"&amp;($J514+4)),"")</f>
        <v/>
      </c>
      <c r="J514" s="292" t="str">
        <f aca="true">IF(510&lt;=$K$1,MATCH(509.5,INDIRECT("$K$4:$K$1374"),1),"")</f>
        <v/>
      </c>
      <c r="K514" s="292" t="n">
        <f aca="false">$K$388+COUNTIF($Q$389:Q514,"&gt;0")</f>
        <v>0</v>
      </c>
      <c r="L514" s="292" t="str">
        <f aca="false">"Автозарядки и аксессуары"</f>
        <v>Автозарядки и аксессуары</v>
      </c>
      <c r="M514" s="292" t="str">
        <f aca="false">IF(ISBLANK('Автозарядки и аксессуары'!$A$15),"",'Автозарядки и аксессуары'!$A$15)</f>
        <v>BZ34 CloudQC3.0 автомобильное зарядное устройство набор (Type-C)</v>
      </c>
      <c r="N514" s="292" t="str">
        <f aca="false">IF(ISBLANK('Автозарядки и аксессуары'!$D$15),"",'Автозарядки и аксессуары'!$D$15)</f>
        <v>6941991122293</v>
      </c>
      <c r="O514" s="292" t="str">
        <f aca="false">IF(ISBLANK('Автозарядки и аксессуары'!$E$15),"",'Автозарядки и аксессуары'!$E$15)</f>
        <v>черный</v>
      </c>
      <c r="P514" s="292" t="str">
        <f aca="false">"ед."</f>
        <v>ед.</v>
      </c>
      <c r="Q514" s="292" t="n">
        <f aca="false">N('Автозарядки и аксессуары'!$G$15)</f>
        <v>0</v>
      </c>
      <c r="R514" s="299" t="n">
        <f aca="false">IF(ISBLANK('Автозарядки и аксессуары'!$F$15),"",'Автозарядки и аксессуары'!$F$15)</f>
        <v>127.21</v>
      </c>
      <c r="S514" s="292" t="str">
        <f aca="false">IF(ISBLANK('Автозарядки и аксессуары'!$H$15),"",'Автозарядки и аксессуары'!$H$15)</f>
        <v/>
      </c>
    </row>
    <row r="515" customFormat="false" ht="66" hidden="false" customHeight="true" outlineLevel="0" collapsed="false">
      <c r="A515" s="291" t="str">
        <f aca="true">IF(ISNUMBER($J515),INDIRECT("L"&amp;($J515+4)),"")</f>
        <v/>
      </c>
      <c r="B515" s="291" t="str">
        <f aca="true">IF(ISNUMBER($J515),INDIRECT("M"&amp;($J515+4)),"")</f>
        <v/>
      </c>
      <c r="C515" s="296" t="str">
        <f aca="true">IF(ISNUMBER($J515),INDIRECT("N"&amp;($J515+4)),"")</f>
        <v/>
      </c>
      <c r="D515" s="291" t="str">
        <f aca="true">IF(ISNUMBER($J515),INDIRECT("O"&amp;($J515+4)),"")</f>
        <v/>
      </c>
      <c r="E515" s="291" t="str">
        <f aca="true">IF(ISNUMBER($J515),INDIRECT("P"&amp;($J515+4)),"")</f>
        <v/>
      </c>
      <c r="F515" s="300" t="str">
        <f aca="true">IF(ISNUMBER($J515),INDIRECT("Q"&amp;($J515+4)),"")</f>
        <v/>
      </c>
      <c r="G515" s="298" t="str">
        <f aca="true">IF(ISNUMBER($J515),INDIRECT("R"&amp;($J515+4)),"")</f>
        <v/>
      </c>
      <c r="H515" s="298" t="str">
        <f aca="true">IF(ISNUMBER($J515),INDIRECT("S"&amp;($J515+4)),"")</f>
        <v/>
      </c>
      <c r="J515" s="292" t="str">
        <f aca="true">IF(511&lt;=$K$1,MATCH(510.5,INDIRECT("$K$4:$K$1374"),1),"")</f>
        <v/>
      </c>
      <c r="K515" s="292" t="n">
        <f aca="false">$K$388+COUNTIF($Q$389:Q515,"&gt;0")</f>
        <v>0</v>
      </c>
      <c r="L515" s="292" t="str">
        <f aca="false">"Автозарядки и аксессуары"</f>
        <v>Автозарядки и аксессуары</v>
      </c>
      <c r="M515" s="292" t="str">
        <f aca="false">IF(ISBLANK('Автозарядки и аксессуары'!$A$15),"",'Автозарядки и аксессуары'!$A$15)</f>
        <v>BZ34 CloudQC3.0 автомобильное зарядное устройство набор (Type-C)</v>
      </c>
      <c r="N515" s="292" t="str">
        <f aca="false">IF(ISBLANK('Автозарядки и аксессуары'!$D$16),"",'Автозарядки и аксессуары'!$D$16)</f>
        <v>6941991122309</v>
      </c>
      <c r="O515" s="292" t="str">
        <f aca="false">IF(ISBLANK('Автозарядки и аксессуары'!$E$16),"",'Автозарядки и аксессуары'!$E$16)</f>
        <v>белый</v>
      </c>
      <c r="P515" s="292" t="str">
        <f aca="false">"ед."</f>
        <v>ед.</v>
      </c>
      <c r="Q515" s="292" t="n">
        <f aca="false">N('Автозарядки и аксессуары'!$G$16)</f>
        <v>0</v>
      </c>
      <c r="R515" s="299" t="n">
        <f aca="false">IF(ISBLANK('Автозарядки и аксессуары'!$F$16),"",'Автозарядки и аксессуары'!$F$16)</f>
        <v>127.21</v>
      </c>
      <c r="S515" s="292" t="str">
        <f aca="false">IF(ISBLANK('Автозарядки и аксессуары'!$H$16),"",'Автозарядки и аксессуары'!$H$16)</f>
        <v/>
      </c>
    </row>
    <row r="516" customFormat="false" ht="66" hidden="false" customHeight="true" outlineLevel="0" collapsed="false">
      <c r="A516" s="291" t="str">
        <f aca="true">IF(ISNUMBER($J516),INDIRECT("L"&amp;($J516+4)),"")</f>
        <v/>
      </c>
      <c r="B516" s="291" t="str">
        <f aca="true">IF(ISNUMBER($J516),INDIRECT("M"&amp;($J516+4)),"")</f>
        <v/>
      </c>
      <c r="C516" s="296" t="str">
        <f aca="true">IF(ISNUMBER($J516),INDIRECT("N"&amp;($J516+4)),"")</f>
        <v/>
      </c>
      <c r="D516" s="291" t="str">
        <f aca="true">IF(ISNUMBER($J516),INDIRECT("O"&amp;($J516+4)),"")</f>
        <v/>
      </c>
      <c r="E516" s="291" t="str">
        <f aca="true">IF(ISNUMBER($J516),INDIRECT("P"&amp;($J516+4)),"")</f>
        <v/>
      </c>
      <c r="F516" s="300" t="str">
        <f aca="true">IF(ISNUMBER($J516),INDIRECT("Q"&amp;($J516+4)),"")</f>
        <v/>
      </c>
      <c r="G516" s="298" t="str">
        <f aca="true">IF(ISNUMBER($J516),INDIRECT("R"&amp;($J516+4)),"")</f>
        <v/>
      </c>
      <c r="H516" s="298" t="str">
        <f aca="true">IF(ISNUMBER($J516),INDIRECT("S"&amp;($J516+4)),"")</f>
        <v/>
      </c>
      <c r="J516" s="292" t="str">
        <f aca="true">IF(512&lt;=$K$1,MATCH(511.5,INDIRECT("$K$4:$K$1374"),1),"")</f>
        <v/>
      </c>
      <c r="K516" s="292" t="n">
        <f aca="false">$K$388+COUNTIF($Q$389:Q516,"&gt;0")</f>
        <v>0</v>
      </c>
      <c r="L516" s="292" t="str">
        <f aca="false">"Автозарядки и аксессуары"</f>
        <v>Автозарядки и аксессуары</v>
      </c>
      <c r="M516" s="292" t="str">
        <f aca="false">IF(ISBLANK('Автозарядки и аксессуары'!$A$17),"",'Автозарядки и аксессуары'!$A$17)</f>
        <v>BZ34A Cloud PD20W автомобильное зарядное устройство</v>
      </c>
      <c r="N516" s="292" t="str">
        <f aca="false">IF(ISBLANK('Автозарядки и аксессуары'!$D$17),"",'Автозарядки и аксессуары'!$D$17)</f>
        <v>6941991122316</v>
      </c>
      <c r="O516" s="292" t="str">
        <f aca="false">IF(ISBLANK('Автозарядки и аксессуары'!$E$17),"",'Автозарядки и аксессуары'!$E$17)</f>
        <v>черный</v>
      </c>
      <c r="P516" s="292" t="str">
        <f aca="false">"ед."</f>
        <v>ед.</v>
      </c>
      <c r="Q516" s="292" t="n">
        <f aca="false">N('Автозарядки и аксессуары'!$G$17)</f>
        <v>0</v>
      </c>
      <c r="R516" s="299" t="n">
        <f aca="false">IF(ISBLANK('Автозарядки и аксессуары'!$F$17),"",'Автозарядки и аксессуары'!$F$17)</f>
        <v>104.38</v>
      </c>
      <c r="S516" s="292" t="str">
        <f aca="false">IF(ISBLANK('Автозарядки и аксессуары'!$H$17),"",'Автозарядки и аксессуары'!$H$17)</f>
        <v/>
      </c>
    </row>
    <row r="517" customFormat="false" ht="66" hidden="false" customHeight="true" outlineLevel="0" collapsed="false">
      <c r="A517" s="291" t="str">
        <f aca="true">IF(ISNUMBER($J517),INDIRECT("L"&amp;($J517+4)),"")</f>
        <v/>
      </c>
      <c r="B517" s="291" t="str">
        <f aca="true">IF(ISNUMBER($J517),INDIRECT("M"&amp;($J517+4)),"")</f>
        <v/>
      </c>
      <c r="C517" s="296" t="str">
        <f aca="true">IF(ISNUMBER($J517),INDIRECT("N"&amp;($J517+4)),"")</f>
        <v/>
      </c>
      <c r="D517" s="291" t="str">
        <f aca="true">IF(ISNUMBER($J517),INDIRECT("O"&amp;($J517+4)),"")</f>
        <v/>
      </c>
      <c r="E517" s="291" t="str">
        <f aca="true">IF(ISNUMBER($J517),INDIRECT("P"&amp;($J517+4)),"")</f>
        <v/>
      </c>
      <c r="F517" s="300" t="str">
        <f aca="true">IF(ISNUMBER($J517),INDIRECT("Q"&amp;($J517+4)),"")</f>
        <v/>
      </c>
      <c r="G517" s="298" t="str">
        <f aca="true">IF(ISNUMBER($J517),INDIRECT("R"&amp;($J517+4)),"")</f>
        <v/>
      </c>
      <c r="H517" s="298" t="str">
        <f aca="true">IF(ISNUMBER($J517),INDIRECT("S"&amp;($J517+4)),"")</f>
        <v/>
      </c>
      <c r="J517" s="292" t="str">
        <f aca="true">IF(513&lt;=$K$1,MATCH(512.5,INDIRECT("$K$4:$K$1374"),1),"")</f>
        <v/>
      </c>
      <c r="K517" s="292" t="n">
        <f aca="false">$K$516+COUNTIF($Q$517:Q517,"&gt;0")</f>
        <v>0</v>
      </c>
      <c r="L517" s="292" t="str">
        <f aca="false">"Автозарядки и аксессуары"</f>
        <v>Автозарядки и аксессуары</v>
      </c>
      <c r="M517" s="292" t="str">
        <f aca="false">IF(ISBLANK('Автозарядки и аксессуары'!$A$17),"",'Автозарядки и аксессуары'!$A$17)</f>
        <v>BZ34A Cloud PD20W автомобильное зарядное устройство</v>
      </c>
      <c r="N517" s="292" t="str">
        <f aca="false">IF(ISBLANK('Автозарядки и аксессуары'!$D$18),"",'Автозарядки и аксессуары'!$D$18)</f>
        <v>6941991122323</v>
      </c>
      <c r="O517" s="292" t="str">
        <f aca="false">IF(ISBLANK('Автозарядки и аксессуары'!$E$18),"",'Автозарядки и аксессуары'!$E$18)</f>
        <v>белый</v>
      </c>
      <c r="P517" s="292" t="str">
        <f aca="false">"ед."</f>
        <v>ед.</v>
      </c>
      <c r="Q517" s="292" t="n">
        <f aca="false">N('Автозарядки и аксессуары'!$G$18)</f>
        <v>0</v>
      </c>
      <c r="R517" s="299" t="n">
        <f aca="false">IF(ISBLANK('Автозарядки и аксессуары'!$F$18),"",'Автозарядки и аксессуары'!$F$18)</f>
        <v>104.38</v>
      </c>
      <c r="S517" s="292" t="str">
        <f aca="false">IF(ISBLANK('Автозарядки и аксессуары'!$H$18),"",'Автозарядки и аксессуары'!$H$18)</f>
        <v/>
      </c>
    </row>
    <row r="518" customFormat="false" ht="66" hidden="false" customHeight="true" outlineLevel="0" collapsed="false">
      <c r="A518" s="291" t="str">
        <f aca="true">IF(ISNUMBER($J518),INDIRECT("L"&amp;($J518+4)),"")</f>
        <v/>
      </c>
      <c r="B518" s="291" t="str">
        <f aca="true">IF(ISNUMBER($J518),INDIRECT("M"&amp;($J518+4)),"")</f>
        <v/>
      </c>
      <c r="C518" s="296" t="str">
        <f aca="true">IF(ISNUMBER($J518),INDIRECT("N"&amp;($J518+4)),"")</f>
        <v/>
      </c>
      <c r="D518" s="291" t="str">
        <f aca="true">IF(ISNUMBER($J518),INDIRECT("O"&amp;($J518+4)),"")</f>
        <v/>
      </c>
      <c r="E518" s="291" t="str">
        <f aca="true">IF(ISNUMBER($J518),INDIRECT("P"&amp;($J518+4)),"")</f>
        <v/>
      </c>
      <c r="F518" s="300" t="str">
        <f aca="true">IF(ISNUMBER($J518),INDIRECT("Q"&amp;($J518+4)),"")</f>
        <v/>
      </c>
      <c r="G518" s="298" t="str">
        <f aca="true">IF(ISNUMBER($J518),INDIRECT("R"&amp;($J518+4)),"")</f>
        <v/>
      </c>
      <c r="H518" s="298" t="str">
        <f aca="true">IF(ISNUMBER($J518),INDIRECT("S"&amp;($J518+4)),"")</f>
        <v/>
      </c>
      <c r="J518" s="292" t="str">
        <f aca="true">IF(514&lt;=$K$1,MATCH(513.5,INDIRECT("$K$4:$K$1374"),1),"")</f>
        <v/>
      </c>
      <c r="K518" s="292" t="n">
        <f aca="false">$K$516+COUNTIF($Q$517:Q518,"&gt;0")</f>
        <v>0</v>
      </c>
      <c r="L518" s="292" t="str">
        <f aca="false">"Автозарядки и аксессуары"</f>
        <v>Автозарядки и аксессуары</v>
      </c>
      <c r="M518" s="292" t="str">
        <f aca="false">IF(ISBLANK('Автозарядки и аксессуары'!$A$19),"",'Автозарядки и аксессуары'!$A$19)</f>
        <v>BZ34A Cloud PD20W автомобильное зарядное устройство набор (C на iP)</v>
      </c>
      <c r="N518" s="292" t="str">
        <f aca="false">IF(ISBLANK('Автозарядки и аксессуары'!$D$19),"",'Автозарядки и аксессуары'!$D$19)</f>
        <v>6941991122330</v>
      </c>
      <c r="O518" s="292" t="str">
        <f aca="false">IF(ISBLANK('Автозарядки и аксессуары'!$E$19),"",'Автозарядки и аксессуары'!$E$19)</f>
        <v>черный</v>
      </c>
      <c r="P518" s="292" t="str">
        <f aca="false">"ед."</f>
        <v>ед.</v>
      </c>
      <c r="Q518" s="292" t="n">
        <f aca="false">N('Автозарядки и аксессуары'!$G$19)</f>
        <v>0</v>
      </c>
      <c r="R518" s="299" t="n">
        <f aca="false">IF(ISBLANK('Автозарядки и аксессуары'!$F$19),"",'Автозарядки и аксессуары'!$F$19)</f>
        <v>163.09</v>
      </c>
      <c r="S518" s="292" t="str">
        <f aca="false">IF(ISBLANK('Автозарядки и аксессуары'!$H$19),"",'Автозарядки и аксессуары'!$H$19)</f>
        <v/>
      </c>
    </row>
    <row r="519" customFormat="false" ht="66" hidden="false" customHeight="true" outlineLevel="0" collapsed="false">
      <c r="A519" s="291" t="str">
        <f aca="true">IF(ISNUMBER($J519),INDIRECT("L"&amp;($J519+4)),"")</f>
        <v/>
      </c>
      <c r="B519" s="291" t="str">
        <f aca="true">IF(ISNUMBER($J519),INDIRECT("M"&amp;($J519+4)),"")</f>
        <v/>
      </c>
      <c r="C519" s="296" t="str">
        <f aca="true">IF(ISNUMBER($J519),INDIRECT("N"&amp;($J519+4)),"")</f>
        <v/>
      </c>
      <c r="D519" s="291" t="str">
        <f aca="true">IF(ISNUMBER($J519),INDIRECT("O"&amp;($J519+4)),"")</f>
        <v/>
      </c>
      <c r="E519" s="291" t="str">
        <f aca="true">IF(ISNUMBER($J519),INDIRECT("P"&amp;($J519+4)),"")</f>
        <v/>
      </c>
      <c r="F519" s="300" t="str">
        <f aca="true">IF(ISNUMBER($J519),INDIRECT("Q"&amp;($J519+4)),"")</f>
        <v/>
      </c>
      <c r="G519" s="298" t="str">
        <f aca="true">IF(ISNUMBER($J519),INDIRECT("R"&amp;($J519+4)),"")</f>
        <v/>
      </c>
      <c r="H519" s="298" t="str">
        <f aca="true">IF(ISNUMBER($J519),INDIRECT("S"&amp;($J519+4)),"")</f>
        <v/>
      </c>
      <c r="J519" s="292" t="str">
        <f aca="true">IF(515&lt;=$K$1,MATCH(514.5,INDIRECT("$K$4:$K$1374"),1),"")</f>
        <v/>
      </c>
      <c r="K519" s="292" t="n">
        <f aca="false">$K$516+COUNTIF($Q$517:Q519,"&gt;0")</f>
        <v>0</v>
      </c>
      <c r="L519" s="292" t="str">
        <f aca="false">"Автозарядки и аксессуары"</f>
        <v>Автозарядки и аксессуары</v>
      </c>
      <c r="M519" s="292" t="str">
        <f aca="false">IF(ISBLANK('Автозарядки и аксессуары'!$A$20),"",'Автозарядки и аксессуары'!$A$20)</f>
        <v>BZ34A Cloud PD20W автомобильное зарядное устройство набор (C на C)</v>
      </c>
      <c r="N519" s="292" t="str">
        <f aca="false">IF(ISBLANK('Автозарядки и аксессуары'!$D$20),"",'Автозарядки и аксессуары'!$D$20)</f>
        <v>6941991122354</v>
      </c>
      <c r="O519" s="292" t="str">
        <f aca="false">IF(ISBLANK('Автозарядки и аксессуары'!$E$20),"",'Автозарядки и аксессуары'!$E$20)</f>
        <v>черный</v>
      </c>
      <c r="P519" s="292" t="str">
        <f aca="false">"ед."</f>
        <v>ед.</v>
      </c>
      <c r="Q519" s="292" t="n">
        <f aca="false">N('Автозарядки и аксессуары'!$G$20)</f>
        <v>0</v>
      </c>
      <c r="R519" s="299" t="n">
        <f aca="false">IF(ISBLANK('Автозарядки и аксессуары'!$F$20),"",'Автозарядки и аксессуары'!$F$20)</f>
        <v>141.89</v>
      </c>
      <c r="S519" s="292" t="str">
        <f aca="false">IF(ISBLANK('Автозарядки и аксессуары'!$H$20),"",'Автозарядки и аксессуары'!$H$20)</f>
        <v/>
      </c>
    </row>
    <row r="520" customFormat="false" ht="66" hidden="false" customHeight="true" outlineLevel="0" collapsed="false">
      <c r="A520" s="291" t="str">
        <f aca="true">IF(ISNUMBER($J520),INDIRECT("L"&amp;($J520+4)),"")</f>
        <v/>
      </c>
      <c r="B520" s="291" t="str">
        <f aca="true">IF(ISNUMBER($J520),INDIRECT("M"&amp;($J520+4)),"")</f>
        <v/>
      </c>
      <c r="C520" s="296" t="str">
        <f aca="true">IF(ISNUMBER($J520),INDIRECT("N"&amp;($J520+4)),"")</f>
        <v/>
      </c>
      <c r="D520" s="291" t="str">
        <f aca="true">IF(ISNUMBER($J520),INDIRECT("O"&amp;($J520+4)),"")</f>
        <v/>
      </c>
      <c r="E520" s="291" t="str">
        <f aca="true">IF(ISNUMBER($J520),INDIRECT("P"&amp;($J520+4)),"")</f>
        <v/>
      </c>
      <c r="F520" s="300" t="str">
        <f aca="true">IF(ISNUMBER($J520),INDIRECT("Q"&amp;($J520+4)),"")</f>
        <v/>
      </c>
      <c r="G520" s="298" t="str">
        <f aca="true">IF(ISNUMBER($J520),INDIRECT("R"&amp;($J520+4)),"")</f>
        <v/>
      </c>
      <c r="H520" s="298" t="str">
        <f aca="true">IF(ISNUMBER($J520),INDIRECT("S"&amp;($J520+4)),"")</f>
        <v/>
      </c>
      <c r="J520" s="292" t="str">
        <f aca="true">IF(516&lt;=$K$1,MATCH(515.5,INDIRECT("$K$4:$K$1374"),1),"")</f>
        <v/>
      </c>
      <c r="K520" s="292" t="n">
        <f aca="false">$K$516+COUNTIF($Q$517:Q520,"&gt;0")</f>
        <v>0</v>
      </c>
      <c r="L520" s="292" t="str">
        <f aca="false">"Автозарядки и аксессуары"</f>
        <v>Автозарядки и аксессуары</v>
      </c>
      <c r="M520" s="292" t="str">
        <f aca="false">IF(ISBLANK('Автозарядки и аксессуары'!$A$21),"",'Автозарядки и аксессуары'!$A$21)</f>
        <v>BZ34B Cloud PD38W(1C1A) автомобильное зарядное устройство</v>
      </c>
      <c r="N520" s="292" t="str">
        <f aca="false">IF(ISBLANK('Автозарядки и аксессуары'!$D$21),"",'Автозарядки и аксессуары'!$D$21)</f>
        <v>6941991122378</v>
      </c>
      <c r="O520" s="292" t="str">
        <f aca="false">IF(ISBLANK('Автозарядки и аксессуары'!$E$21),"",'Автозарядки и аксессуары'!$E$21)</f>
        <v>черный</v>
      </c>
      <c r="P520" s="292" t="str">
        <f aca="false">"ед."</f>
        <v>ед.</v>
      </c>
      <c r="Q520" s="292" t="n">
        <f aca="false">N('Автозарядки и аксессуары'!$G$21)</f>
        <v>0</v>
      </c>
      <c r="R520" s="299" t="n">
        <f aca="false">IF(ISBLANK('Автозарядки и аксессуары'!$F$21),"",'Автозарядки и аксессуары'!$F$21)</f>
        <v>127.21</v>
      </c>
      <c r="S520" s="292" t="str">
        <f aca="false">IF(ISBLANK('Автозарядки и аксессуары'!$H$21),"",'Автозарядки и аксессуары'!$H$21)</f>
        <v/>
      </c>
    </row>
    <row r="521" customFormat="false" ht="66" hidden="false" customHeight="true" outlineLevel="0" collapsed="false">
      <c r="A521" s="291" t="str">
        <f aca="true">IF(ISNUMBER($J521),INDIRECT("L"&amp;($J521+4)),"")</f>
        <v/>
      </c>
      <c r="B521" s="291" t="str">
        <f aca="true">IF(ISNUMBER($J521),INDIRECT("M"&amp;($J521+4)),"")</f>
        <v/>
      </c>
      <c r="C521" s="296" t="str">
        <f aca="true">IF(ISNUMBER($J521),INDIRECT("N"&amp;($J521+4)),"")</f>
        <v/>
      </c>
      <c r="D521" s="291" t="str">
        <f aca="true">IF(ISNUMBER($J521),INDIRECT("O"&amp;($J521+4)),"")</f>
        <v/>
      </c>
      <c r="E521" s="291" t="str">
        <f aca="true">IF(ISNUMBER($J521),INDIRECT("P"&amp;($J521+4)),"")</f>
        <v/>
      </c>
      <c r="F521" s="300" t="str">
        <f aca="true">IF(ISNUMBER($J521),INDIRECT("Q"&amp;($J521+4)),"")</f>
        <v/>
      </c>
      <c r="G521" s="298" t="str">
        <f aca="true">IF(ISNUMBER($J521),INDIRECT("R"&amp;($J521+4)),"")</f>
        <v/>
      </c>
      <c r="H521" s="298" t="str">
        <f aca="true">IF(ISNUMBER($J521),INDIRECT("S"&amp;($J521+4)),"")</f>
        <v/>
      </c>
      <c r="J521" s="292" t="str">
        <f aca="true">IF(517&lt;=$K$1,MATCH(516.5,INDIRECT("$K$4:$K$1374"),1),"")</f>
        <v/>
      </c>
      <c r="K521" s="292" t="n">
        <f aca="false">$K$516+COUNTIF($Q$517:Q521,"&gt;0")</f>
        <v>0</v>
      </c>
      <c r="L521" s="292" t="str">
        <f aca="false">"Автозарядки и аксессуары"</f>
        <v>Автозарядки и аксессуары</v>
      </c>
      <c r="M521" s="292" t="str">
        <f aca="false">IF(ISBLANK('Автозарядки и аксессуары'!$A$21),"",'Автозарядки и аксессуары'!$A$21)</f>
        <v>BZ34B Cloud PD38W(1C1A) автомобильное зарядное устройство</v>
      </c>
      <c r="N521" s="292" t="str">
        <f aca="false">IF(ISBLANK('Автозарядки и аксессуары'!$D$22),"",'Автозарядки и аксессуары'!$D$22)</f>
        <v>6941991122385</v>
      </c>
      <c r="O521" s="292" t="str">
        <f aca="false">IF(ISBLANK('Автозарядки и аксессуары'!$E$22),"",'Автозарядки и аксессуары'!$E$22)</f>
        <v>белый</v>
      </c>
      <c r="P521" s="292" t="str">
        <f aca="false">"ед."</f>
        <v>ед.</v>
      </c>
      <c r="Q521" s="292" t="n">
        <f aca="false">N('Автозарядки и аксессуары'!$G$22)</f>
        <v>0</v>
      </c>
      <c r="R521" s="299" t="n">
        <f aca="false">IF(ISBLANK('Автозарядки и аксессуары'!$F$22),"",'Автозарядки и аксессуары'!$F$22)</f>
        <v>127.21</v>
      </c>
      <c r="S521" s="292" t="str">
        <f aca="false">IF(ISBLANK('Автозарядки и аксессуары'!$H$22),"",'Автозарядки и аксессуары'!$H$22)</f>
        <v/>
      </c>
    </row>
    <row r="522" customFormat="false" ht="66" hidden="false" customHeight="true" outlineLevel="0" collapsed="false">
      <c r="A522" s="291" t="str">
        <f aca="true">IF(ISNUMBER($J522),INDIRECT("L"&amp;($J522+4)),"")</f>
        <v/>
      </c>
      <c r="B522" s="291" t="str">
        <f aca="true">IF(ISNUMBER($J522),INDIRECT("M"&amp;($J522+4)),"")</f>
        <v/>
      </c>
      <c r="C522" s="296" t="str">
        <f aca="true">IF(ISNUMBER($J522),INDIRECT("N"&amp;($J522+4)),"")</f>
        <v/>
      </c>
      <c r="D522" s="291" t="str">
        <f aca="true">IF(ISNUMBER($J522),INDIRECT("O"&amp;($J522+4)),"")</f>
        <v/>
      </c>
      <c r="E522" s="291" t="str">
        <f aca="true">IF(ISNUMBER($J522),INDIRECT("P"&amp;($J522+4)),"")</f>
        <v/>
      </c>
      <c r="F522" s="300" t="str">
        <f aca="true">IF(ISNUMBER($J522),INDIRECT("Q"&amp;($J522+4)),"")</f>
        <v/>
      </c>
      <c r="G522" s="298" t="str">
        <f aca="true">IF(ISNUMBER($J522),INDIRECT("R"&amp;($J522+4)),"")</f>
        <v/>
      </c>
      <c r="H522" s="298" t="str">
        <f aca="true">IF(ISNUMBER($J522),INDIRECT("S"&amp;($J522+4)),"")</f>
        <v/>
      </c>
      <c r="J522" s="292" t="str">
        <f aca="true">IF(518&lt;=$K$1,MATCH(517.5,INDIRECT("$K$4:$K$1374"),1),"")</f>
        <v/>
      </c>
      <c r="K522" s="292" t="n">
        <f aca="false">$K$516+COUNTIF($Q$517:Q522,"&gt;0")</f>
        <v>0</v>
      </c>
      <c r="L522" s="292" t="str">
        <f aca="false">"Автозарядки и аксессуары"</f>
        <v>Автозарядки и аксессуары</v>
      </c>
      <c r="M522" s="292" t="str">
        <f aca="false">IF(ISBLANK('Автозарядки и аксессуары'!$A$23),"",'Автозарядки и аксессуары'!$A$23)</f>
        <v>BZ34B Cloud PD38W(1C1A) автомобильное зарядное устройство набор (C на iP)</v>
      </c>
      <c r="N522" s="292" t="str">
        <f aca="false">IF(ISBLANK('Автозарядки и аксессуары'!$D$23),"",'Автозарядки и аксессуары'!$D$23)</f>
        <v>6941991122392</v>
      </c>
      <c r="O522" s="292" t="str">
        <f aca="false">IF(ISBLANK('Автозарядки и аксессуары'!$E$23),"",'Автозарядки и аксессуары'!$E$23)</f>
        <v>черный</v>
      </c>
      <c r="P522" s="292" t="str">
        <f aca="false">"ед."</f>
        <v>ед.</v>
      </c>
      <c r="Q522" s="292" t="n">
        <f aca="false">N('Автозарядки и аксессуары'!$G$23)</f>
        <v>0</v>
      </c>
      <c r="R522" s="299" t="n">
        <f aca="false">IF(ISBLANK('Автозарядки и аксессуары'!$F$23),"",'Автозарядки и аксессуары'!$F$23)</f>
        <v>185.93</v>
      </c>
      <c r="S522" s="292" t="str">
        <f aca="false">IF(ISBLANK('Автозарядки и аксессуары'!$H$23),"",'Автозарядки и аксессуары'!$H$23)</f>
        <v/>
      </c>
    </row>
    <row r="523" customFormat="false" ht="66" hidden="false" customHeight="true" outlineLevel="0" collapsed="false">
      <c r="A523" s="291" t="str">
        <f aca="true">IF(ISNUMBER($J523),INDIRECT("L"&amp;($J523+4)),"")</f>
        <v/>
      </c>
      <c r="B523" s="291" t="str">
        <f aca="true">IF(ISNUMBER($J523),INDIRECT("M"&amp;($J523+4)),"")</f>
        <v/>
      </c>
      <c r="C523" s="296" t="str">
        <f aca="true">IF(ISNUMBER($J523),INDIRECT("N"&amp;($J523+4)),"")</f>
        <v/>
      </c>
      <c r="D523" s="291" t="str">
        <f aca="true">IF(ISNUMBER($J523),INDIRECT("O"&amp;($J523+4)),"")</f>
        <v/>
      </c>
      <c r="E523" s="291" t="str">
        <f aca="true">IF(ISNUMBER($J523),INDIRECT("P"&amp;($J523+4)),"")</f>
        <v/>
      </c>
      <c r="F523" s="300" t="str">
        <f aca="true">IF(ISNUMBER($J523),INDIRECT("Q"&amp;($J523+4)),"")</f>
        <v/>
      </c>
      <c r="G523" s="298" t="str">
        <f aca="true">IF(ISNUMBER($J523),INDIRECT("R"&amp;($J523+4)),"")</f>
        <v/>
      </c>
      <c r="H523" s="298" t="str">
        <f aca="true">IF(ISNUMBER($J523),INDIRECT("S"&amp;($J523+4)),"")</f>
        <v/>
      </c>
      <c r="J523" s="292" t="str">
        <f aca="true">IF(519&lt;=$K$1,MATCH(518.5,INDIRECT("$K$4:$K$1374"),1),"")</f>
        <v/>
      </c>
      <c r="K523" s="292" t="n">
        <f aca="false">$K$516+COUNTIF($Q$517:Q523,"&gt;0")</f>
        <v>0</v>
      </c>
      <c r="L523" s="292" t="str">
        <f aca="false">"Автозарядки и аксессуары"</f>
        <v>Автозарядки и аксессуары</v>
      </c>
      <c r="M523" s="292" t="str">
        <f aca="false">IF(ISBLANK('Автозарядки и аксессуары'!$A$23),"",'Автозарядки и аксессуары'!$A$23)</f>
        <v>BZ34B Cloud PD38W(1C1A) автомобильное зарядное устройство набор (C на iP)</v>
      </c>
      <c r="N523" s="292" t="str">
        <f aca="false">IF(ISBLANK('Автозарядки и аксессуары'!$D$24),"",'Автозарядки и аксессуары'!$D$24)</f>
        <v>6941991122408</v>
      </c>
      <c r="O523" s="292" t="str">
        <f aca="false">IF(ISBLANK('Автозарядки и аксессуары'!$E$24),"",'Автозарядки и аксессуары'!$E$24)</f>
        <v>белый</v>
      </c>
      <c r="P523" s="292" t="str">
        <f aca="false">"ед."</f>
        <v>ед.</v>
      </c>
      <c r="Q523" s="292" t="n">
        <f aca="false">N('Автозарядки и аксессуары'!$G$24)</f>
        <v>0</v>
      </c>
      <c r="R523" s="299" t="n">
        <f aca="false">IF(ISBLANK('Автозарядки и аксессуары'!$F$24),"",'Автозарядки и аксессуары'!$F$24)</f>
        <v>185.93</v>
      </c>
      <c r="S523" s="292" t="str">
        <f aca="false">IF(ISBLANK('Автозарядки и аксессуары'!$H$24),"",'Автозарядки и аксессуары'!$H$24)</f>
        <v/>
      </c>
    </row>
    <row r="524" customFormat="false" ht="66" hidden="false" customHeight="true" outlineLevel="0" collapsed="false">
      <c r="A524" s="291" t="str">
        <f aca="true">IF(ISNUMBER($J524),INDIRECT("L"&amp;($J524+4)),"")</f>
        <v/>
      </c>
      <c r="B524" s="291" t="str">
        <f aca="true">IF(ISNUMBER($J524),INDIRECT("M"&amp;($J524+4)),"")</f>
        <v/>
      </c>
      <c r="C524" s="296" t="str">
        <f aca="true">IF(ISNUMBER($J524),INDIRECT("N"&amp;($J524+4)),"")</f>
        <v/>
      </c>
      <c r="D524" s="291" t="str">
        <f aca="true">IF(ISNUMBER($J524),INDIRECT("O"&amp;($J524+4)),"")</f>
        <v/>
      </c>
      <c r="E524" s="291" t="str">
        <f aca="true">IF(ISNUMBER($J524),INDIRECT("P"&amp;($J524+4)),"")</f>
        <v/>
      </c>
      <c r="F524" s="300" t="str">
        <f aca="true">IF(ISNUMBER($J524),INDIRECT("Q"&amp;($J524+4)),"")</f>
        <v/>
      </c>
      <c r="G524" s="298" t="str">
        <f aca="true">IF(ISNUMBER($J524),INDIRECT("R"&amp;($J524+4)),"")</f>
        <v/>
      </c>
      <c r="H524" s="298" t="str">
        <f aca="true">IF(ISNUMBER($J524),INDIRECT("S"&amp;($J524+4)),"")</f>
        <v/>
      </c>
      <c r="J524" s="292" t="str">
        <f aca="true">IF(520&lt;=$K$1,MATCH(519.5,INDIRECT("$K$4:$K$1374"),1),"")</f>
        <v/>
      </c>
      <c r="K524" s="292" t="n">
        <f aca="false">$K$516+COUNTIF($Q$517:Q524,"&gt;0")</f>
        <v>0</v>
      </c>
      <c r="L524" s="292" t="str">
        <f aca="false">"Автозарядки и аксессуары"</f>
        <v>Автозарядки и аксессуары</v>
      </c>
      <c r="M524" s="292" t="str">
        <f aca="false">IF(ISBLANK('Автозарядки и аксессуары'!$A$25),"",'Автозарядки и аксессуары'!$A$25)</f>
        <v>BZ34B Cloud PD38W(1C1A) автомобильное зарядное устройство набор (C на C)</v>
      </c>
      <c r="N524" s="292" t="str">
        <f aca="false">IF(ISBLANK('Автозарядки и аксессуары'!$D$25),"",'Автозарядки и аксессуары'!$D$25)</f>
        <v>6941991122415</v>
      </c>
      <c r="O524" s="292" t="str">
        <f aca="false">IF(ISBLANK('Автозарядки и аксессуары'!$E$25),"",'Автозарядки и аксессуары'!$E$25)</f>
        <v>черный</v>
      </c>
      <c r="P524" s="292" t="str">
        <f aca="false">"ед."</f>
        <v>ед.</v>
      </c>
      <c r="Q524" s="292" t="n">
        <f aca="false">N('Автозарядки и аксессуары'!$G$25)</f>
        <v>0</v>
      </c>
      <c r="R524" s="299" t="n">
        <f aca="false">IF(ISBLANK('Автозарядки и аксессуары'!$F$25),"",'Автозарядки и аксессуары'!$F$25)</f>
        <v>164.73</v>
      </c>
      <c r="S524" s="292" t="str">
        <f aca="false">IF(ISBLANK('Автозарядки и аксессуары'!$H$25),"",'Автозарядки и аксессуары'!$H$25)</f>
        <v/>
      </c>
    </row>
    <row r="525" customFormat="false" ht="66" hidden="false" customHeight="true" outlineLevel="0" collapsed="false">
      <c r="A525" s="291" t="str">
        <f aca="true">IF(ISNUMBER($J525),INDIRECT("L"&amp;($J525+4)),"")</f>
        <v/>
      </c>
      <c r="B525" s="291" t="str">
        <f aca="true">IF(ISNUMBER($J525),INDIRECT("M"&amp;($J525+4)),"")</f>
        <v/>
      </c>
      <c r="C525" s="296" t="str">
        <f aca="true">IF(ISNUMBER($J525),INDIRECT("N"&amp;($J525+4)),"")</f>
        <v/>
      </c>
      <c r="D525" s="291" t="str">
        <f aca="true">IF(ISNUMBER($J525),INDIRECT("O"&amp;($J525+4)),"")</f>
        <v/>
      </c>
      <c r="E525" s="291" t="str">
        <f aca="true">IF(ISNUMBER($J525),INDIRECT("P"&amp;($J525+4)),"")</f>
        <v/>
      </c>
      <c r="F525" s="300" t="str">
        <f aca="true">IF(ISNUMBER($J525),INDIRECT("Q"&amp;($J525+4)),"")</f>
        <v/>
      </c>
      <c r="G525" s="298" t="str">
        <f aca="true">IF(ISNUMBER($J525),INDIRECT("R"&amp;($J525+4)),"")</f>
        <v/>
      </c>
      <c r="H525" s="298" t="str">
        <f aca="true">IF(ISNUMBER($J525),INDIRECT("S"&amp;($J525+4)),"")</f>
        <v/>
      </c>
      <c r="J525" s="292" t="str">
        <f aca="true">IF(521&lt;=$K$1,MATCH(520.5,INDIRECT("$K$4:$K$1374"),1),"")</f>
        <v/>
      </c>
      <c r="K525" s="292" t="n">
        <f aca="false">$K$516+COUNTIF($Q$517:Q525,"&gt;0")</f>
        <v>0</v>
      </c>
      <c r="L525" s="292" t="str">
        <f aca="false">"Автозарядки и аксессуары"</f>
        <v>Автозарядки и аксессуары</v>
      </c>
      <c r="M525" s="292" t="str">
        <f aca="false">IF(ISBLANK('Автозарядки и аксессуары'!$A$25),"",'Автозарядки и аксессуары'!$A$25)</f>
        <v>BZ34B Cloud PD38W(1C1A) автомобильное зарядное устройство набор (C на C)</v>
      </c>
      <c r="N525" s="292" t="str">
        <f aca="false">IF(ISBLANK('Автозарядки и аксессуары'!$D$26),"",'Автозарядки и аксессуары'!$D$26)</f>
        <v>6941991122422</v>
      </c>
      <c r="O525" s="292" t="str">
        <f aca="false">IF(ISBLANK('Автозарядки и аксессуары'!$E$26),"",'Автозарядки и аксессуары'!$E$26)</f>
        <v>белый</v>
      </c>
      <c r="P525" s="292" t="str">
        <f aca="false">"ед."</f>
        <v>ед.</v>
      </c>
      <c r="Q525" s="292" t="n">
        <f aca="false">N('Автозарядки и аксессуары'!$G$26)</f>
        <v>0</v>
      </c>
      <c r="R525" s="299" t="n">
        <f aca="false">IF(ISBLANK('Автозарядки и аксессуары'!$F$26),"",'Автозарядки и аксессуары'!$F$26)</f>
        <v>164.73</v>
      </c>
      <c r="S525" s="292" t="str">
        <f aca="false">IF(ISBLANK('Автозарядки и аксессуары'!$H$26),"",'Автозарядки и аксессуары'!$H$26)</f>
        <v/>
      </c>
    </row>
    <row r="526" customFormat="false" ht="66" hidden="false" customHeight="true" outlineLevel="0" collapsed="false">
      <c r="A526" s="291" t="str">
        <f aca="true">IF(ISNUMBER($J526),INDIRECT("L"&amp;($J526+4)),"")</f>
        <v/>
      </c>
      <c r="B526" s="291" t="str">
        <f aca="true">IF(ISNUMBER($J526),INDIRECT("M"&amp;($J526+4)),"")</f>
        <v/>
      </c>
      <c r="C526" s="296" t="str">
        <f aca="true">IF(ISNUMBER($J526),INDIRECT("N"&amp;($J526+4)),"")</f>
        <v/>
      </c>
      <c r="D526" s="291" t="str">
        <f aca="true">IF(ISNUMBER($J526),INDIRECT("O"&amp;($J526+4)),"")</f>
        <v/>
      </c>
      <c r="E526" s="291" t="str">
        <f aca="true">IF(ISNUMBER($J526),INDIRECT("P"&amp;($J526+4)),"")</f>
        <v/>
      </c>
      <c r="F526" s="300" t="str">
        <f aca="true">IF(ISNUMBER($J526),INDIRECT("Q"&amp;($J526+4)),"")</f>
        <v/>
      </c>
      <c r="G526" s="298" t="str">
        <f aca="true">IF(ISNUMBER($J526),INDIRECT("R"&amp;($J526+4)),"")</f>
        <v/>
      </c>
      <c r="H526" s="298" t="str">
        <f aca="true">IF(ISNUMBER($J526),INDIRECT("S"&amp;($J526+4)),"")</f>
        <v/>
      </c>
      <c r="J526" s="292" t="str">
        <f aca="true">IF(522&lt;=$K$1,MATCH(521.5,INDIRECT("$K$4:$K$1374"),1),"")</f>
        <v/>
      </c>
      <c r="K526" s="292" t="n">
        <f aca="false">$K$516+COUNTIF($Q$517:Q526,"&gt;0")</f>
        <v>0</v>
      </c>
      <c r="L526" s="292" t="str">
        <f aca="false">"Автозарядки и аксессуары"</f>
        <v>Автозарядки и аксессуары</v>
      </c>
      <c r="M526" s="292" t="str">
        <f aca="false">IF(ISBLANK('Автозарядки и аксессуары'!$A$27),"",'Автозарядки и аксессуары'!$A$27)</f>
        <v>BZ32 Fresh автомобильное зарядное устройство с одним портом PD30W</v>
      </c>
      <c r="N526" s="292" t="str">
        <f aca="false">IF(ISBLANK('Автозарядки и аксессуары'!$D$27),"",'Автозарядки и аксессуары'!$D$27)</f>
        <v>6941991118517</v>
      </c>
      <c r="O526" s="292" t="str">
        <f aca="false">IF(ISBLANK('Автозарядки и аксессуары'!$E$27),"",'Автозарядки и аксессуары'!$E$27)</f>
        <v>металлик</v>
      </c>
      <c r="P526" s="292" t="str">
        <f aca="false">"ед."</f>
        <v>ед.</v>
      </c>
      <c r="Q526" s="292" t="n">
        <f aca="false">N('Автозарядки и аксессуары'!$G$27)</f>
        <v>0</v>
      </c>
      <c r="R526" s="299" t="n">
        <f aca="false">IF(ISBLANK('Автозарядки и аксессуары'!$F$27),"",'Автозарядки и аксессуары'!$F$27)</f>
        <v>159.83</v>
      </c>
      <c r="S526" s="292" t="str">
        <f aca="false">IF(ISBLANK('Автозарядки и аксессуары'!$H$27),"",'Автозарядки и аксессуары'!$H$27)</f>
        <v/>
      </c>
    </row>
    <row r="527" customFormat="false" ht="66" hidden="false" customHeight="true" outlineLevel="0" collapsed="false">
      <c r="A527" s="291" t="str">
        <f aca="true">IF(ISNUMBER($J527),INDIRECT("L"&amp;($J527+4)),"")</f>
        <v/>
      </c>
      <c r="B527" s="291" t="str">
        <f aca="true">IF(ISNUMBER($J527),INDIRECT("M"&amp;($J527+4)),"")</f>
        <v/>
      </c>
      <c r="C527" s="296" t="str">
        <f aca="true">IF(ISNUMBER($J527),INDIRECT("N"&amp;($J527+4)),"")</f>
        <v/>
      </c>
      <c r="D527" s="291" t="str">
        <f aca="true">IF(ISNUMBER($J527),INDIRECT("O"&amp;($J527+4)),"")</f>
        <v/>
      </c>
      <c r="E527" s="291" t="str">
        <f aca="true">IF(ISNUMBER($J527),INDIRECT("P"&amp;($J527+4)),"")</f>
        <v/>
      </c>
      <c r="F527" s="300" t="str">
        <f aca="true">IF(ISNUMBER($J527),INDIRECT("Q"&amp;($J527+4)),"")</f>
        <v/>
      </c>
      <c r="G527" s="298" t="str">
        <f aca="true">IF(ISNUMBER($J527),INDIRECT("R"&amp;($J527+4)),"")</f>
        <v/>
      </c>
      <c r="H527" s="298" t="str">
        <f aca="true">IF(ISNUMBER($J527),INDIRECT("S"&amp;($J527+4)),"")</f>
        <v/>
      </c>
      <c r="J527" s="292" t="str">
        <f aca="true">IF(523&lt;=$K$1,MATCH(522.5,INDIRECT("$K$4:$K$1374"),1),"")</f>
        <v/>
      </c>
      <c r="K527" s="292" t="n">
        <f aca="false">$K$516+COUNTIF($Q$517:Q527,"&gt;0")</f>
        <v>0</v>
      </c>
      <c r="L527" s="292" t="str">
        <f aca="false">"Автозарядки и аксессуары"</f>
        <v>Автозарядки и аксессуары</v>
      </c>
      <c r="M527" s="292" t="str">
        <f aca="false">IF(ISBLANK('Автозарядки и аксессуары'!$A$28),"",'Автозарядки и аксессуары'!$A$28)</f>
        <v>BZ32A Fresh PD30W+QC3.0 автомобильное зарядное устройство</v>
      </c>
      <c r="N527" s="292" t="str">
        <f aca="false">IF(ISBLANK('Автозарядки и аксессуары'!$D$28),"",'Автозарядки и аксессуары'!$D$28)</f>
        <v>6941991118579</v>
      </c>
      <c r="O527" s="292" t="str">
        <f aca="false">IF(ISBLANK('Автозарядки и аксессуары'!$E$28),"",'Автозарядки и аксессуары'!$E$28)</f>
        <v>металлик</v>
      </c>
      <c r="P527" s="292" t="str">
        <f aca="false">"ед."</f>
        <v>ед.</v>
      </c>
      <c r="Q527" s="292" t="n">
        <f aca="false">N('Автозарядки и аксессуары'!$G$28)</f>
        <v>0</v>
      </c>
      <c r="R527" s="299" t="n">
        <f aca="false">IF(ISBLANK('Автозарядки и аксессуары'!$F$28),"",'Автозарядки и аксессуары'!$F$28)</f>
        <v>215.28</v>
      </c>
      <c r="S527" s="292" t="str">
        <f aca="false">IF(ISBLANK('Автозарядки и аксессуары'!$H$28),"",'Автозарядки и аксессуары'!$H$28)</f>
        <v/>
      </c>
    </row>
    <row r="528" customFormat="false" ht="66" hidden="false" customHeight="true" outlineLevel="0" collapsed="false">
      <c r="A528" s="291" t="str">
        <f aca="true">IF(ISNUMBER($J528),INDIRECT("L"&amp;($J528+4)),"")</f>
        <v/>
      </c>
      <c r="B528" s="291" t="str">
        <f aca="true">IF(ISNUMBER($J528),INDIRECT("M"&amp;($J528+4)),"")</f>
        <v/>
      </c>
      <c r="C528" s="296" t="str">
        <f aca="true">IF(ISNUMBER($J528),INDIRECT("N"&amp;($J528+4)),"")</f>
        <v/>
      </c>
      <c r="D528" s="291" t="str">
        <f aca="true">IF(ISNUMBER($J528),INDIRECT("O"&amp;($J528+4)),"")</f>
        <v/>
      </c>
      <c r="E528" s="291" t="str">
        <f aca="true">IF(ISNUMBER($J528),INDIRECT("P"&amp;($J528+4)),"")</f>
        <v/>
      </c>
      <c r="F528" s="300" t="str">
        <f aca="true">IF(ISNUMBER($J528),INDIRECT("Q"&amp;($J528+4)),"")</f>
        <v/>
      </c>
      <c r="G528" s="298" t="str">
        <f aca="true">IF(ISNUMBER($J528),INDIRECT("R"&amp;($J528+4)),"")</f>
        <v/>
      </c>
      <c r="H528" s="298" t="str">
        <f aca="true">IF(ISNUMBER($J528),INDIRECT("S"&amp;($J528+4)),"")</f>
        <v/>
      </c>
      <c r="J528" s="292" t="str">
        <f aca="true">IF(524&lt;=$K$1,MATCH(523.5,INDIRECT("$K$4:$K$1374"),1),"")</f>
        <v/>
      </c>
      <c r="K528" s="292" t="n">
        <f aca="false">$K$516+COUNTIF($Q$517:Q528,"&gt;0")</f>
        <v>0</v>
      </c>
      <c r="L528" s="292" t="str">
        <f aca="false">"Автозарядки и аксессуары"</f>
        <v>Автозарядки и аксессуары</v>
      </c>
      <c r="M528" s="292" t="str">
        <f aca="false">IF(ISBLANK('Автозарядки и аксессуары'!$A$29),"",'Автозарядки и аксессуары'!$A$29)</f>
        <v>BZ32B Fresh 48W автомобильное зарядное устройство с 2 портами PD30W+QC3.0</v>
      </c>
      <c r="N528" s="292" t="str">
        <f aca="false">IF(ISBLANK('Автозарядки и аксессуары'!$D$29),"",'Автозарядки и аксессуары'!$D$29)</f>
        <v>6941991118630</v>
      </c>
      <c r="O528" s="292" t="str">
        <f aca="false">IF(ISBLANK('Автозарядки и аксессуары'!$E$29),"",'Автозарядки и аксессуары'!$E$29)</f>
        <v>металлик</v>
      </c>
      <c r="P528" s="292" t="str">
        <f aca="false">"ед."</f>
        <v>ед.</v>
      </c>
      <c r="Q528" s="292" t="n">
        <f aca="false">N('Автозарядки и аксессуары'!$G$29)</f>
        <v>0</v>
      </c>
      <c r="R528" s="299" t="n">
        <f aca="false">IF(ISBLANK('Автозарядки и аксессуары'!$F$29),"",'Автозарядки и аксессуары'!$F$29)</f>
        <v>257.69</v>
      </c>
      <c r="S528" s="292" t="str">
        <f aca="false">IF(ISBLANK('Автозарядки и аксессуары'!$H$29),"",'Автозарядки и аксессуары'!$H$29)</f>
        <v/>
      </c>
    </row>
    <row r="529" customFormat="false" ht="66" hidden="false" customHeight="true" outlineLevel="0" collapsed="false">
      <c r="A529" s="291" t="str">
        <f aca="true">IF(ISNUMBER($J529),INDIRECT("L"&amp;($J529+4)),"")</f>
        <v/>
      </c>
      <c r="B529" s="291" t="str">
        <f aca="true">IF(ISNUMBER($J529),INDIRECT("M"&amp;($J529+4)),"")</f>
        <v/>
      </c>
      <c r="C529" s="296" t="str">
        <f aca="true">IF(ISNUMBER($J529),INDIRECT("N"&amp;($J529+4)),"")</f>
        <v/>
      </c>
      <c r="D529" s="291" t="str">
        <f aca="true">IF(ISNUMBER($J529),INDIRECT("O"&amp;($J529+4)),"")</f>
        <v/>
      </c>
      <c r="E529" s="291" t="str">
        <f aca="true">IF(ISNUMBER($J529),INDIRECT("P"&amp;($J529+4)),"")</f>
        <v/>
      </c>
      <c r="F529" s="300" t="str">
        <f aca="true">IF(ISNUMBER($J529),INDIRECT("Q"&amp;($J529+4)),"")</f>
        <v/>
      </c>
      <c r="G529" s="298" t="str">
        <f aca="true">IF(ISNUMBER($J529),INDIRECT("R"&amp;($J529+4)),"")</f>
        <v/>
      </c>
      <c r="H529" s="298" t="str">
        <f aca="true">IF(ISNUMBER($J529),INDIRECT("S"&amp;($J529+4)),"")</f>
        <v/>
      </c>
      <c r="J529" s="292" t="str">
        <f aca="true">IF(525&lt;=$K$1,MATCH(524.5,INDIRECT("$K$4:$K$1374"),1),"")</f>
        <v/>
      </c>
      <c r="K529" s="292" t="n">
        <f aca="false">$K$516+COUNTIF($Q$517:Q529,"&gt;0")</f>
        <v>0</v>
      </c>
      <c r="L529" s="292" t="str">
        <f aca="false">"Автозарядки и аксессуары"</f>
        <v>Автозарядки и аксессуары</v>
      </c>
      <c r="M529" s="292" t="str">
        <f aca="false">IF(ISBLANK('Автозарядки и аксессуары'!$A$30),"",'Автозарядки и аксессуары'!$A$30)</f>
        <v>BZ28A Trophie PD30W+QC3.0 автомобильное зарядное устройство</v>
      </c>
      <c r="N529" s="292" t="str">
        <f aca="false">IF(ISBLANK('Автозарядки и аксессуары'!$D$30),"",'Автозарядки и аксессуары'!$D$30)</f>
        <v>6941991110818</v>
      </c>
      <c r="O529" s="292" t="str">
        <f aca="false">IF(ISBLANK('Автозарядки и аксессуары'!$E$30),"",'Автозарядки и аксессуары'!$E$30)</f>
        <v>черный</v>
      </c>
      <c r="P529" s="292" t="str">
        <f aca="false">"ед."</f>
        <v>ед.</v>
      </c>
      <c r="Q529" s="292" t="n">
        <f aca="false">N('Автозарядки и аксессуары'!$G$30)</f>
        <v>0</v>
      </c>
      <c r="R529" s="299" t="n">
        <f aca="false">IF(ISBLANK('Автозарядки и аксессуары'!$F$30),"",'Автозарядки и аксессуары'!$F$30)</f>
        <v>208.76</v>
      </c>
      <c r="S529" s="292" t="str">
        <f aca="false">IF(ISBLANK('Автозарядки и аксессуары'!$H$30),"",'Автозарядки и аксессуары'!$H$30)</f>
        <v/>
      </c>
    </row>
    <row r="530" customFormat="false" ht="66" hidden="false" customHeight="true" outlineLevel="0" collapsed="false">
      <c r="A530" s="291" t="str">
        <f aca="true">IF(ISNUMBER($J530),INDIRECT("L"&amp;($J530+4)),"")</f>
        <v/>
      </c>
      <c r="B530" s="291" t="str">
        <f aca="true">IF(ISNUMBER($J530),INDIRECT("M"&amp;($J530+4)),"")</f>
        <v/>
      </c>
      <c r="C530" s="296" t="str">
        <f aca="true">IF(ISNUMBER($J530),INDIRECT("N"&amp;($J530+4)),"")</f>
        <v/>
      </c>
      <c r="D530" s="291" t="str">
        <f aca="true">IF(ISNUMBER($J530),INDIRECT("O"&amp;($J530+4)),"")</f>
        <v/>
      </c>
      <c r="E530" s="291" t="str">
        <f aca="true">IF(ISNUMBER($J530),INDIRECT("P"&amp;($J530+4)),"")</f>
        <v/>
      </c>
      <c r="F530" s="300" t="str">
        <f aca="true">IF(ISNUMBER($J530),INDIRECT("Q"&amp;($J530+4)),"")</f>
        <v/>
      </c>
      <c r="G530" s="298" t="str">
        <f aca="true">IF(ISNUMBER($J530),INDIRECT("R"&amp;($J530+4)),"")</f>
        <v/>
      </c>
      <c r="H530" s="298" t="str">
        <f aca="true">IF(ISNUMBER($J530),INDIRECT("S"&amp;($J530+4)),"")</f>
        <v/>
      </c>
      <c r="J530" s="292" t="str">
        <f aca="true">IF(526&lt;=$K$1,MATCH(525.5,INDIRECT("$K$4:$K$1374"),1),"")</f>
        <v/>
      </c>
      <c r="K530" s="292" t="n">
        <f aca="false">$K$516+COUNTIF($Q$517:Q530,"&gt;0")</f>
        <v>0</v>
      </c>
      <c r="L530" s="292" t="str">
        <f aca="false">"Автозарядки и аксессуары"</f>
        <v>Автозарядки и аксессуары</v>
      </c>
      <c r="M530" s="292" t="str">
        <f aca="false">IF(ISBLANK('Автозарядки и аксессуары'!$A$31),"",'Автозарядки и аксессуары'!$A$31)</f>
        <v>BZ28C Trophie PD60W(2C1A) автомобильное зарядное устройство</v>
      </c>
      <c r="N530" s="292" t="str">
        <f aca="false">IF(ISBLANK('Автозарядки и аксессуары'!$D$31),"",'Автозарядки и аксессуары'!$D$31)</f>
        <v>6941991110870</v>
      </c>
      <c r="O530" s="292" t="str">
        <f aca="false">IF(ISBLANK('Автозарядки и аксессуары'!$E$31),"",'Автозарядки и аксессуары'!$E$31)</f>
        <v>черный</v>
      </c>
      <c r="P530" s="292" t="str">
        <f aca="false">"ед."</f>
        <v>ед.</v>
      </c>
      <c r="Q530" s="292" t="n">
        <f aca="false">N('Автозарядки и аксессуары'!$G$31)</f>
        <v>0</v>
      </c>
      <c r="R530" s="299" t="n">
        <f aca="false">IF(ISBLANK('Автозарядки и аксессуары'!$F$31),"",'Автозарядки и аксессуары'!$F$31)</f>
        <v>298.46</v>
      </c>
      <c r="S530" s="292" t="str">
        <f aca="false">IF(ISBLANK('Автозарядки и аксессуары'!$H$31),"",'Автозарядки и аксессуары'!$H$31)</f>
        <v/>
      </c>
    </row>
    <row r="531" customFormat="false" ht="66" hidden="false" customHeight="true" outlineLevel="0" collapsed="false">
      <c r="A531" s="291" t="str">
        <f aca="true">IF(ISNUMBER($J531),INDIRECT("L"&amp;($J531+4)),"")</f>
        <v/>
      </c>
      <c r="B531" s="291" t="str">
        <f aca="true">IF(ISNUMBER($J531),INDIRECT("M"&amp;($J531+4)),"")</f>
        <v/>
      </c>
      <c r="C531" s="296" t="str">
        <f aca="true">IF(ISNUMBER($J531),INDIRECT("N"&amp;($J531+4)),"")</f>
        <v/>
      </c>
      <c r="D531" s="291" t="str">
        <f aca="true">IF(ISNUMBER($J531),INDIRECT("O"&amp;($J531+4)),"")</f>
        <v/>
      </c>
      <c r="E531" s="291" t="str">
        <f aca="true">IF(ISNUMBER($J531),INDIRECT("P"&amp;($J531+4)),"")</f>
        <v/>
      </c>
      <c r="F531" s="300" t="str">
        <f aca="true">IF(ISNUMBER($J531),INDIRECT("Q"&amp;($J531+4)),"")</f>
        <v/>
      </c>
      <c r="G531" s="298" t="str">
        <f aca="true">IF(ISNUMBER($J531),INDIRECT("R"&amp;($J531+4)),"")</f>
        <v/>
      </c>
      <c r="H531" s="298" t="str">
        <f aca="true">IF(ISNUMBER($J531),INDIRECT("S"&amp;($J531+4)),"")</f>
        <v/>
      </c>
      <c r="J531" s="292" t="str">
        <f aca="true">IF(527&lt;=$K$1,MATCH(526.5,INDIRECT("$K$4:$K$1374"),1),"")</f>
        <v/>
      </c>
      <c r="K531" s="292" t="n">
        <f aca="false">$K$516+COUNTIF($Q$517:Q531,"&gt;0")</f>
        <v>0</v>
      </c>
      <c r="L531" s="292" t="str">
        <f aca="false">"Автозарядки и аксессуары"</f>
        <v>Автозарядки и аксессуары</v>
      </c>
      <c r="M531" s="292" t="str">
        <f aca="false">IF(ISBLANK('Автозарядки и аксессуары'!$A$32),"",'Автозарядки и аксессуары'!$A$32)</f>
        <v>BZ25 Journey PD38W(1C1A) car charger</v>
      </c>
      <c r="N531" s="292" t="str">
        <f aca="false">IF(ISBLANK('Автозарядки и аксессуары'!$D$32),"",'Автозарядки и аксессуары'!$D$32)</f>
        <v>6941991106965</v>
      </c>
      <c r="O531" s="292" t="str">
        <f aca="false">IF(ISBLANK('Автозарядки и аксессуары'!$E$32),"",'Автозарядки и аксессуары'!$E$32)</f>
        <v>прозрачный черный</v>
      </c>
      <c r="P531" s="292" t="str">
        <f aca="false">"ед."</f>
        <v>ед.</v>
      </c>
      <c r="Q531" s="292" t="n">
        <f aca="false">N('Автозарядки и аксессуары'!$G$32)</f>
        <v>0</v>
      </c>
      <c r="R531" s="299" t="n">
        <f aca="false">IF(ISBLANK('Автозарядки и аксессуары'!$F$32),"",'Автозарядки и аксессуары'!$F$32)</f>
        <v>138.63</v>
      </c>
      <c r="S531" s="292" t="str">
        <f aca="false">IF(ISBLANK('Автозарядки и аксессуары'!$H$32),"",'Автозарядки и аксессуары'!$H$32)</f>
        <v/>
      </c>
    </row>
    <row r="532" customFormat="false" ht="66" hidden="false" customHeight="true" outlineLevel="0" collapsed="false">
      <c r="A532" s="291" t="str">
        <f aca="true">IF(ISNUMBER($J532),INDIRECT("L"&amp;($J532+4)),"")</f>
        <v/>
      </c>
      <c r="B532" s="291" t="str">
        <f aca="true">IF(ISNUMBER($J532),INDIRECT("M"&amp;($J532+4)),"")</f>
        <v/>
      </c>
      <c r="C532" s="296" t="str">
        <f aca="true">IF(ISNUMBER($J532),INDIRECT("N"&amp;($J532+4)),"")</f>
        <v/>
      </c>
      <c r="D532" s="291" t="str">
        <f aca="true">IF(ISNUMBER($J532),INDIRECT("O"&amp;($J532+4)),"")</f>
        <v/>
      </c>
      <c r="E532" s="291" t="str">
        <f aca="true">IF(ISNUMBER($J532),INDIRECT("P"&amp;($J532+4)),"")</f>
        <v/>
      </c>
      <c r="F532" s="300" t="str">
        <f aca="true">IF(ISNUMBER($J532),INDIRECT("Q"&amp;($J532+4)),"")</f>
        <v/>
      </c>
      <c r="G532" s="298" t="str">
        <f aca="true">IF(ISNUMBER($J532),INDIRECT("R"&amp;($J532+4)),"")</f>
        <v/>
      </c>
      <c r="H532" s="298" t="str">
        <f aca="true">IF(ISNUMBER($J532),INDIRECT("S"&amp;($J532+4)),"")</f>
        <v/>
      </c>
      <c r="J532" s="292" t="str">
        <f aca="true">IF(528&lt;=$K$1,MATCH(527.5,INDIRECT("$K$4:$K$1374"),1),"")</f>
        <v/>
      </c>
      <c r="K532" s="292" t="n">
        <f aca="false">$K$516+COUNTIF($Q$517:Q532,"&gt;0")</f>
        <v>0</v>
      </c>
      <c r="L532" s="292" t="str">
        <f aca="false">"Автозарядки и аксессуары"</f>
        <v>Автозарядки и аксессуары</v>
      </c>
      <c r="M532" s="292" t="str">
        <f aca="false">IF(ISBLANK('Автозарядки и аксессуары'!$A$33),"",'Автозарядки и аксессуары'!$A$33)</f>
        <v>BZ25 Journey PD38W(1C1A) car charger set(C to iP)</v>
      </c>
      <c r="N532" s="292" t="str">
        <f aca="false">IF(ISBLANK('Автозарядки и аксессуары'!$D$33),"",'Автозарядки и аксессуары'!$D$33)</f>
        <v>6941991106972</v>
      </c>
      <c r="O532" s="292" t="str">
        <f aca="false">IF(ISBLANK('Автозарядки и аксессуары'!$E$33),"",'Автозарядки и аксессуары'!$E$33)</f>
        <v>прозрачный черный</v>
      </c>
      <c r="P532" s="292" t="str">
        <f aca="false">"ед."</f>
        <v>ед.</v>
      </c>
      <c r="Q532" s="292" t="n">
        <f aca="false">N('Автозарядки и аксессуары'!$G$33)</f>
        <v>0</v>
      </c>
      <c r="R532" s="299" t="n">
        <f aca="false">IF(ISBLANK('Автозарядки и аксессуары'!$F$33),"",'Автозарядки и аксессуары'!$F$33)</f>
        <v>220.18</v>
      </c>
      <c r="S532" s="292" t="str">
        <f aca="false">IF(ISBLANK('Автозарядки и аксессуары'!$H$33),"",'Автозарядки и аксессуары'!$H$33)</f>
        <v/>
      </c>
    </row>
    <row r="533" customFormat="false" ht="66" hidden="false" customHeight="true" outlineLevel="0" collapsed="false">
      <c r="A533" s="291" t="str">
        <f aca="true">IF(ISNUMBER($J533),INDIRECT("L"&amp;($J533+4)),"")</f>
        <v/>
      </c>
      <c r="B533" s="291" t="str">
        <f aca="true">IF(ISNUMBER($J533),INDIRECT("M"&amp;($J533+4)),"")</f>
        <v/>
      </c>
      <c r="C533" s="296" t="str">
        <f aca="true">IF(ISNUMBER($J533),INDIRECT("N"&amp;($J533+4)),"")</f>
        <v/>
      </c>
      <c r="D533" s="291" t="str">
        <f aca="true">IF(ISNUMBER($J533),INDIRECT("O"&amp;($J533+4)),"")</f>
        <v/>
      </c>
      <c r="E533" s="291" t="str">
        <f aca="true">IF(ISNUMBER($J533),INDIRECT("P"&amp;($J533+4)),"")</f>
        <v/>
      </c>
      <c r="F533" s="300" t="str">
        <f aca="true">IF(ISNUMBER($J533),INDIRECT("Q"&amp;($J533+4)),"")</f>
        <v/>
      </c>
      <c r="G533" s="298" t="str">
        <f aca="true">IF(ISNUMBER($J533),INDIRECT("R"&amp;($J533+4)),"")</f>
        <v/>
      </c>
      <c r="H533" s="298" t="str">
        <f aca="true">IF(ISNUMBER($J533),INDIRECT("S"&amp;($J533+4)),"")</f>
        <v/>
      </c>
      <c r="J533" s="292" t="str">
        <f aca="true">IF(529&lt;=$K$1,MATCH(528.5,INDIRECT("$K$4:$K$1374"),1),"")</f>
        <v/>
      </c>
      <c r="K533" s="292" t="n">
        <f aca="false">$K$516+COUNTIF($Q$517:Q533,"&gt;0")</f>
        <v>0</v>
      </c>
      <c r="L533" s="292" t="str">
        <f aca="false">"Автозарядки и аксессуары"</f>
        <v>Автозарядки и аксессуары</v>
      </c>
      <c r="M533" s="292" t="str">
        <f aca="false">IF(ISBLANK('Автозарядки и аксессуары'!$A$34),"",'Автозарядки и аксессуары'!$A$34)</f>
        <v>BZ25 Journey PD38W(1C1A) car charger set(Type-C to Type-C)</v>
      </c>
      <c r="N533" s="292" t="str">
        <f aca="false">IF(ISBLANK('Автозарядки и аксессуары'!$D$34),"",'Автозарядки и аксессуары'!$D$34)</f>
        <v>6941991106989</v>
      </c>
      <c r="O533" s="292" t="str">
        <f aca="false">IF(ISBLANK('Автозарядки и аксессуары'!$E$34),"",'Автозарядки и аксессуары'!$E$34)</f>
        <v>прозрачный черный</v>
      </c>
      <c r="P533" s="292" t="str">
        <f aca="false">"ед."</f>
        <v>ед.</v>
      </c>
      <c r="Q533" s="292" t="n">
        <f aca="false">N('Автозарядки и аксессуары'!$G$34)</f>
        <v>0</v>
      </c>
      <c r="R533" s="299" t="n">
        <f aca="false">IF(ISBLANK('Автозарядки и аксессуары'!$F$34),"",'Автозарядки и аксессуары'!$F$34)</f>
        <v>195.71</v>
      </c>
      <c r="S533" s="292" t="str">
        <f aca="false">IF(ISBLANK('Автозарядки и аксессуары'!$H$34),"",'Автозарядки и аксессуары'!$H$34)</f>
        <v/>
      </c>
    </row>
    <row r="534" customFormat="false" ht="66" hidden="false" customHeight="true" outlineLevel="0" collapsed="false">
      <c r="A534" s="291" t="str">
        <f aca="true">IF(ISNUMBER($J534),INDIRECT("L"&amp;($J534+4)),"")</f>
        <v/>
      </c>
      <c r="B534" s="291" t="str">
        <f aca="true">IF(ISNUMBER($J534),INDIRECT("M"&amp;($J534+4)),"")</f>
        <v/>
      </c>
      <c r="C534" s="296" t="str">
        <f aca="true">IF(ISNUMBER($J534),INDIRECT("N"&amp;($J534+4)),"")</f>
        <v/>
      </c>
      <c r="D534" s="291" t="str">
        <f aca="true">IF(ISNUMBER($J534),INDIRECT("O"&amp;($J534+4)),"")</f>
        <v/>
      </c>
      <c r="E534" s="291" t="str">
        <f aca="true">IF(ISNUMBER($J534),INDIRECT("P"&amp;($J534+4)),"")</f>
        <v/>
      </c>
      <c r="F534" s="300" t="str">
        <f aca="true">IF(ISNUMBER($J534),INDIRECT("Q"&amp;($J534+4)),"")</f>
        <v/>
      </c>
      <c r="G534" s="298" t="str">
        <f aca="true">IF(ISNUMBER($J534),INDIRECT("R"&amp;($J534+4)),"")</f>
        <v/>
      </c>
      <c r="H534" s="298" t="str">
        <f aca="true">IF(ISNUMBER($J534),INDIRECT("S"&amp;($J534+4)),"")</f>
        <v/>
      </c>
      <c r="J534" s="292" t="str">
        <f aca="true">IF(530&lt;=$K$1,MATCH(529.5,INDIRECT("$K$4:$K$1374"),1),"")</f>
        <v/>
      </c>
      <c r="K534" s="292" t="n">
        <f aca="false">$K$516+COUNTIF($Q$517:Q534,"&gt;0")</f>
        <v>0</v>
      </c>
      <c r="L534" s="292" t="str">
        <f aca="false">"Автозарядки и аксессуары"</f>
        <v>Автозарядки и аксессуары</v>
      </c>
      <c r="M534" s="292" t="str">
        <f aca="false">IF(ISBLANK('Автозарядки и аксессуары'!$A$35),"",'Автозарядки и аксессуары'!$A$35)</f>
        <v>BZ22 Scenery автомобильное зарядное устройство с 2 портами PD30W+QC3.0</v>
      </c>
      <c r="N534" s="292" t="str">
        <f aca="false">IF(ISBLANK('Автозарядки и аксессуары'!$D$35),"",'Автозарядки и аксессуары'!$D$35)</f>
        <v>6941991105180</v>
      </c>
      <c r="O534" s="292" t="str">
        <f aca="false">IF(ISBLANK('Автозарядки и аксессуары'!$E$35),"",'Автозарядки и аксессуары'!$E$35)</f>
        <v>черный</v>
      </c>
      <c r="P534" s="292" t="str">
        <f aca="false">"ед."</f>
        <v>ед.</v>
      </c>
      <c r="Q534" s="292" t="n">
        <f aca="false">N('Автозарядки и аксессуары'!$G$35)</f>
        <v>0</v>
      </c>
      <c r="R534" s="299" t="n">
        <f aca="false">IF(ISBLANK('Автозарядки и аксессуары'!$F$35),"",'Автозарядки и аксессуары'!$F$35)</f>
        <v>171.25</v>
      </c>
      <c r="S534" s="292" t="str">
        <f aca="false">IF(ISBLANK('Автозарядки и аксессуары'!$H$35),"",'Автозарядки и аксессуары'!$H$35)</f>
        <v/>
      </c>
    </row>
    <row r="535" customFormat="false" ht="66" hidden="false" customHeight="true" outlineLevel="0" collapsed="false">
      <c r="A535" s="291" t="str">
        <f aca="true">IF(ISNUMBER($J535),INDIRECT("L"&amp;($J535+4)),"")</f>
        <v/>
      </c>
      <c r="B535" s="291" t="str">
        <f aca="true">IF(ISNUMBER($J535),INDIRECT("M"&amp;($J535+4)),"")</f>
        <v/>
      </c>
      <c r="C535" s="296" t="str">
        <f aca="true">IF(ISNUMBER($J535),INDIRECT("N"&amp;($J535+4)),"")</f>
        <v/>
      </c>
      <c r="D535" s="291" t="str">
        <f aca="true">IF(ISNUMBER($J535),INDIRECT("O"&amp;($J535+4)),"")</f>
        <v/>
      </c>
      <c r="E535" s="291" t="str">
        <f aca="true">IF(ISNUMBER($J535),INDIRECT("P"&amp;($J535+4)),"")</f>
        <v/>
      </c>
      <c r="F535" s="300" t="str">
        <f aca="true">IF(ISNUMBER($J535),INDIRECT("Q"&amp;($J535+4)),"")</f>
        <v/>
      </c>
      <c r="G535" s="298" t="str">
        <f aca="true">IF(ISNUMBER($J535),INDIRECT("R"&amp;($J535+4)),"")</f>
        <v/>
      </c>
      <c r="H535" s="298" t="str">
        <f aca="true">IF(ISNUMBER($J535),INDIRECT("S"&amp;($J535+4)),"")</f>
        <v/>
      </c>
      <c r="J535" s="292" t="str">
        <f aca="true">IF(531&lt;=$K$1,MATCH(530.5,INDIRECT("$K$4:$K$1374"),1),"")</f>
        <v/>
      </c>
      <c r="K535" s="292" t="n">
        <f aca="false">$K$516+COUNTIF($Q$517:Q535,"&gt;0")</f>
        <v>0</v>
      </c>
      <c r="L535" s="292" t="str">
        <f aca="false">"Автозарядки и аксессуары"</f>
        <v>Автозарядки и аксессуары</v>
      </c>
      <c r="M535" s="292" t="str">
        <f aca="false">IF(ISBLANK('Автозарядки и аксессуары'!$A$36),"",'Автозарядки и аксессуары'!$A$36)</f>
        <v>BZ21 Brilliant 48W зарядное устройство с двумя портами PD30W+QC3.0</v>
      </c>
      <c r="N535" s="292" t="str">
        <f aca="false">IF(ISBLANK('Автозарядки и аксессуары'!$D$36),"",'Автозарядки и аксессуары'!$D$36)</f>
        <v>6941991101175</v>
      </c>
      <c r="O535" s="292" t="str">
        <f aca="false">IF(ISBLANK('Автозарядки и аксессуары'!$E$36),"",'Автозарядки и аксессуары'!$E$36)</f>
        <v>черный</v>
      </c>
      <c r="P535" s="292" t="str">
        <f aca="false">"ед."</f>
        <v>ед.</v>
      </c>
      <c r="Q535" s="292" t="n">
        <f aca="false">N('Автозарядки и аксессуары'!$G$36)</f>
        <v>0</v>
      </c>
      <c r="R535" s="299" t="n">
        <f aca="false">IF(ISBLANK('Автозарядки и аксессуары'!$F$36),"",'Автозарядки и аксессуары'!$F$36)</f>
        <v>334.34</v>
      </c>
      <c r="S535" s="292" t="str">
        <f aca="false">IF(ISBLANK('Автозарядки и аксессуары'!$H$36),"",'Автозарядки и аксессуары'!$H$36)</f>
        <v/>
      </c>
    </row>
    <row r="536" customFormat="false" ht="66" hidden="false" customHeight="true" outlineLevel="0" collapsed="false">
      <c r="A536" s="291" t="str">
        <f aca="true">IF(ISNUMBER($J536),INDIRECT("L"&amp;($J536+4)),"")</f>
        <v/>
      </c>
      <c r="B536" s="291" t="str">
        <f aca="true">IF(ISNUMBER($J536),INDIRECT("M"&amp;($J536+4)),"")</f>
        <v/>
      </c>
      <c r="C536" s="296" t="str">
        <f aca="true">IF(ISNUMBER($J536),INDIRECT("N"&amp;($J536+4)),"")</f>
        <v/>
      </c>
      <c r="D536" s="291" t="str">
        <f aca="true">IF(ISNUMBER($J536),INDIRECT("O"&amp;($J536+4)),"")</f>
        <v/>
      </c>
      <c r="E536" s="291" t="str">
        <f aca="true">IF(ISNUMBER($J536),INDIRECT("P"&amp;($J536+4)),"")</f>
        <v/>
      </c>
      <c r="F536" s="300" t="str">
        <f aca="true">IF(ISNUMBER($J536),INDIRECT("Q"&amp;($J536+4)),"")</f>
        <v/>
      </c>
      <c r="G536" s="298" t="str">
        <f aca="true">IF(ISNUMBER($J536),INDIRECT("R"&amp;($J536+4)),"")</f>
        <v/>
      </c>
      <c r="H536" s="298" t="str">
        <f aca="true">IF(ISNUMBER($J536),INDIRECT("S"&amp;($J536+4)),"")</f>
        <v/>
      </c>
      <c r="J536" s="292" t="str">
        <f aca="true">IF(532&lt;=$K$1,MATCH(531.5,INDIRECT("$K$4:$K$1374"),1),"")</f>
        <v/>
      </c>
      <c r="K536" s="292" t="n">
        <f aca="false">$K$516+COUNTIF($Q$517:Q536,"&gt;0")</f>
        <v>0</v>
      </c>
      <c r="L536" s="292" t="str">
        <f aca="false">"Автозарядки и аксессуары"</f>
        <v>Автозарядки и аксессуары</v>
      </c>
      <c r="M536" s="292" t="str">
        <f aca="false">IF(ISBLANK('Автозарядки и аксессуары'!$A$37),"",'Автозарядки и аксессуары'!$A$37)</f>
        <v>BZ21A Brilliant 36W зарядное устройство с двумя портами QC3.0</v>
      </c>
      <c r="N536" s="292" t="str">
        <f aca="false">IF(ISBLANK('Автозарядки и аксессуары'!$D$37),"",'Автозарядки и аксессуары'!$D$37)</f>
        <v>6941991101205</v>
      </c>
      <c r="O536" s="292" t="str">
        <f aca="false">IF(ISBLANK('Автозарядки и аксессуары'!$E$37),"",'Автозарядки и аксессуары'!$E$37)</f>
        <v>черный</v>
      </c>
      <c r="P536" s="292" t="str">
        <f aca="false">"ед."</f>
        <v>ед.</v>
      </c>
      <c r="Q536" s="292" t="n">
        <f aca="false">N('Автозарядки и аксессуары'!$G$37)</f>
        <v>0</v>
      </c>
      <c r="R536" s="299" t="n">
        <f aca="false">IF(ISBLANK('Автозарядки и аксессуары'!$F$37),"",'Автозарядки и аксессуары'!$F$37)</f>
        <v>269.11</v>
      </c>
      <c r="S536" s="292" t="str">
        <f aca="false">IF(ISBLANK('Автозарядки и аксессуары'!$H$37),"",'Автозарядки и аксессуары'!$H$37)</f>
        <v/>
      </c>
    </row>
    <row r="537" customFormat="false" ht="66" hidden="false" customHeight="true" outlineLevel="0" collapsed="false">
      <c r="A537" s="291" t="str">
        <f aca="true">IF(ISNUMBER($J537),INDIRECT("L"&amp;($J537+4)),"")</f>
        <v/>
      </c>
      <c r="B537" s="291" t="str">
        <f aca="true">IF(ISNUMBER($J537),INDIRECT("M"&amp;($J537+4)),"")</f>
        <v/>
      </c>
      <c r="C537" s="296" t="str">
        <f aca="true">IF(ISNUMBER($J537),INDIRECT("N"&amp;($J537+4)),"")</f>
        <v/>
      </c>
      <c r="D537" s="291" t="str">
        <f aca="true">IF(ISNUMBER($J537),INDIRECT("O"&amp;($J537+4)),"")</f>
        <v/>
      </c>
      <c r="E537" s="291" t="str">
        <f aca="true">IF(ISNUMBER($J537),INDIRECT("P"&amp;($J537+4)),"")</f>
        <v/>
      </c>
      <c r="F537" s="300" t="str">
        <f aca="true">IF(ISNUMBER($J537),INDIRECT("Q"&amp;($J537+4)),"")</f>
        <v/>
      </c>
      <c r="G537" s="298" t="str">
        <f aca="true">IF(ISNUMBER($J537),INDIRECT("R"&amp;($J537+4)),"")</f>
        <v/>
      </c>
      <c r="H537" s="298" t="str">
        <f aca="true">IF(ISNUMBER($J537),INDIRECT("S"&amp;($J537+4)),"")</f>
        <v/>
      </c>
      <c r="J537" s="292" t="str">
        <f aca="true">IF(533&lt;=$K$1,MATCH(532.5,INDIRECT("$K$4:$K$1374"),1),"")</f>
        <v/>
      </c>
      <c r="K537" s="292" t="n">
        <f aca="false">$K$516+COUNTIF($Q$517:Q537,"&gt;0")</f>
        <v>0</v>
      </c>
      <c r="L537" s="292" t="str">
        <f aca="false">"Автозарядки и аксессуары"</f>
        <v>Автозарядки и аксессуары</v>
      </c>
      <c r="M537" s="292" t="str">
        <f aca="false">IF(ISBLANK('Автозарядки и аксессуары'!$A$38),"",'Автозарядки и аксессуары'!$A$38)</f>
        <v>BZ21A Brilliant 36W зарядное устройство с двумя портами QC3.0 набор (Micro)</v>
      </c>
      <c r="N537" s="292" t="str">
        <f aca="false">IF(ISBLANK('Автозарядки и аксессуары'!$D$38),"",'Автозарядки и аксессуары'!$D$38)</f>
        <v>6941991101212</v>
      </c>
      <c r="O537" s="292" t="str">
        <f aca="false">IF(ISBLANK('Автозарядки и аксессуары'!$E$38),"",'Автозарядки и аксессуары'!$E$38)</f>
        <v>черный</v>
      </c>
      <c r="P537" s="292" t="str">
        <f aca="false">"ед."</f>
        <v>ед.</v>
      </c>
      <c r="Q537" s="292" t="n">
        <f aca="false">N('Автозарядки и аксессуары'!$G$38)</f>
        <v>0</v>
      </c>
      <c r="R537" s="299" t="n">
        <f aca="false">IF(ISBLANK('Автозарядки и аксессуары'!$F$38),"",'Автозарядки и аксессуары'!$F$38)</f>
        <v>293.57</v>
      </c>
      <c r="S537" s="292" t="str">
        <f aca="false">IF(ISBLANK('Автозарядки и аксессуары'!$H$38),"",'Автозарядки и аксессуары'!$H$38)</f>
        <v/>
      </c>
    </row>
    <row r="538" customFormat="false" ht="66" hidden="false" customHeight="true" outlineLevel="0" collapsed="false">
      <c r="A538" s="291" t="str">
        <f aca="true">IF(ISNUMBER($J538),INDIRECT("L"&amp;($J538+4)),"")</f>
        <v/>
      </c>
      <c r="B538" s="291" t="str">
        <f aca="true">IF(ISNUMBER($J538),INDIRECT("M"&amp;($J538+4)),"")</f>
        <v/>
      </c>
      <c r="C538" s="296" t="str">
        <f aca="true">IF(ISNUMBER($J538),INDIRECT("N"&amp;($J538+4)),"")</f>
        <v/>
      </c>
      <c r="D538" s="291" t="str">
        <f aca="true">IF(ISNUMBER($J538),INDIRECT("O"&amp;($J538+4)),"")</f>
        <v/>
      </c>
      <c r="E538" s="291" t="str">
        <f aca="true">IF(ISNUMBER($J538),INDIRECT("P"&amp;($J538+4)),"")</f>
        <v/>
      </c>
      <c r="F538" s="300" t="str">
        <f aca="true">IF(ISNUMBER($J538),INDIRECT("Q"&amp;($J538+4)),"")</f>
        <v/>
      </c>
      <c r="G538" s="298" t="str">
        <f aca="true">IF(ISNUMBER($J538),INDIRECT("R"&amp;($J538+4)),"")</f>
        <v/>
      </c>
      <c r="H538" s="298" t="str">
        <f aca="true">IF(ISNUMBER($J538),INDIRECT("S"&amp;($J538+4)),"")</f>
        <v/>
      </c>
      <c r="J538" s="292" t="str">
        <f aca="true">IF(534&lt;=$K$1,MATCH(533.5,INDIRECT("$K$4:$K$1374"),1),"")</f>
        <v/>
      </c>
      <c r="K538" s="292" t="n">
        <f aca="false">$K$516+COUNTIF($Q$517:Q538,"&gt;0")</f>
        <v>0</v>
      </c>
      <c r="L538" s="292" t="str">
        <f aca="false">"Автозарядки и аксессуары"</f>
        <v>Автозарядки и аксессуары</v>
      </c>
      <c r="M538" s="292" t="str">
        <f aca="false">IF(ISBLANK('Автозарядки и аксессуары'!$A$39),"",'Автозарядки и аксессуары'!$A$39)</f>
        <v>BZ20 Smart 38W автомобильное зарядное устройство с двумя портами PD20W+QC3.0</v>
      </c>
      <c r="N538" s="292" t="str">
        <f aca="false">IF(ISBLANK('Автозарядки и аксессуары'!$D$39),"",'Автозарядки и аксессуары'!$D$39)</f>
        <v>6941991101564</v>
      </c>
      <c r="O538" s="292" t="str">
        <f aca="false">IF(ISBLANK('Автозарядки и аксессуары'!$E$39),"",'Автозарядки и аксессуары'!$E$39)</f>
        <v>прозрачный  черный</v>
      </c>
      <c r="P538" s="292" t="str">
        <f aca="false">"ед."</f>
        <v>ед.</v>
      </c>
      <c r="Q538" s="292" t="n">
        <f aca="false">N('Автозарядки и аксессуары'!$G$39)</f>
        <v>0</v>
      </c>
      <c r="R538" s="299" t="n">
        <f aca="false">IF(ISBLANK('Автозарядки и аксессуары'!$F$39),"",'Автозарядки и аксессуары'!$F$39)</f>
        <v>285.41</v>
      </c>
      <c r="S538" s="292" t="str">
        <f aca="false">IF(ISBLANK('Автозарядки и аксессуары'!$H$39),"",'Автозарядки и аксессуары'!$H$39)</f>
        <v/>
      </c>
    </row>
    <row r="539" customFormat="false" ht="66" hidden="false" customHeight="true" outlineLevel="0" collapsed="false">
      <c r="A539" s="291" t="str">
        <f aca="true">IF(ISNUMBER($J539),INDIRECT("L"&amp;($J539+4)),"")</f>
        <v/>
      </c>
      <c r="B539" s="291" t="str">
        <f aca="true">IF(ISNUMBER($J539),INDIRECT("M"&amp;($J539+4)),"")</f>
        <v/>
      </c>
      <c r="C539" s="296" t="str">
        <f aca="true">IF(ISNUMBER($J539),INDIRECT("N"&amp;($J539+4)),"")</f>
        <v/>
      </c>
      <c r="D539" s="291" t="str">
        <f aca="true">IF(ISNUMBER($J539),INDIRECT("O"&amp;($J539+4)),"")</f>
        <v/>
      </c>
      <c r="E539" s="291" t="str">
        <f aca="true">IF(ISNUMBER($J539),INDIRECT("P"&amp;($J539+4)),"")</f>
        <v/>
      </c>
      <c r="F539" s="300" t="str">
        <f aca="true">IF(ISNUMBER($J539),INDIRECT("Q"&amp;($J539+4)),"")</f>
        <v/>
      </c>
      <c r="G539" s="298" t="str">
        <f aca="true">IF(ISNUMBER($J539),INDIRECT("R"&amp;($J539+4)),"")</f>
        <v/>
      </c>
      <c r="H539" s="298" t="str">
        <f aca="true">IF(ISNUMBER($J539),INDIRECT("S"&amp;($J539+4)),"")</f>
        <v/>
      </c>
      <c r="J539" s="292" t="str">
        <f aca="true">IF(535&lt;=$K$1,MATCH(534.5,INDIRECT("$K$4:$K$1374"),1),"")</f>
        <v/>
      </c>
      <c r="K539" s="292" t="n">
        <f aca="false">$K$516+COUNTIF($Q$517:Q539,"&gt;0")</f>
        <v>0</v>
      </c>
      <c r="L539" s="292" t="str">
        <f aca="false">"Автозарядки и аксессуары"</f>
        <v>Автозарядки и аксессуары</v>
      </c>
      <c r="M539" s="292" t="str">
        <f aca="false">IF(ISBLANK('Автозарядки и аксессуары'!$A$40),"",'Автозарядки и аксессуары'!$A$40)</f>
        <v>BZ20A Smart 83W автомобильное зарядное устройство с двумя портами PD65W+QC3.0</v>
      </c>
      <c r="N539" s="292" t="str">
        <f aca="false">IF(ISBLANK('Автозарядки и аксессуары'!$D$40),"",'Автозарядки и аксессуары'!$D$40)</f>
        <v>6941991101625</v>
      </c>
      <c r="O539" s="292" t="str">
        <f aca="false">IF(ISBLANK('Автозарядки и аксессуары'!$E$40),"",'Автозарядки и аксессуары'!$E$40)</f>
        <v>прозрачный  черный</v>
      </c>
      <c r="P539" s="292" t="str">
        <f aca="false">"ед."</f>
        <v>ед.</v>
      </c>
      <c r="Q539" s="292" t="n">
        <f aca="false">N('Автозарядки и аксессуары'!$G$40)</f>
        <v>0</v>
      </c>
      <c r="R539" s="299" t="n">
        <f aca="false">IF(ISBLANK('Автозарядки и аксессуары'!$F$40),"",'Автозарядки и аксессуары'!$F$40)</f>
        <v>448.51</v>
      </c>
      <c r="S539" s="292" t="str">
        <f aca="false">IF(ISBLANK('Автозарядки и аксессуары'!$H$40),"",'Автозарядки и аксессуары'!$H$40)</f>
        <v/>
      </c>
    </row>
    <row r="540" customFormat="false" ht="66" hidden="false" customHeight="true" outlineLevel="0" collapsed="false">
      <c r="A540" s="291" t="str">
        <f aca="true">IF(ISNUMBER($J540),INDIRECT("L"&amp;($J540+4)),"")</f>
        <v/>
      </c>
      <c r="B540" s="291" t="str">
        <f aca="true">IF(ISNUMBER($J540),INDIRECT("M"&amp;($J540+4)),"")</f>
        <v/>
      </c>
      <c r="C540" s="296" t="str">
        <f aca="true">IF(ISNUMBER($J540),INDIRECT("N"&amp;($J540+4)),"")</f>
        <v/>
      </c>
      <c r="D540" s="291" t="str">
        <f aca="true">IF(ISNUMBER($J540),INDIRECT("O"&amp;($J540+4)),"")</f>
        <v/>
      </c>
      <c r="E540" s="291" t="str">
        <f aca="true">IF(ISNUMBER($J540),INDIRECT("P"&amp;($J540+4)),"")</f>
        <v/>
      </c>
      <c r="F540" s="300" t="str">
        <f aca="true">IF(ISNUMBER($J540),INDIRECT("Q"&amp;($J540+4)),"")</f>
        <v/>
      </c>
      <c r="G540" s="298" t="str">
        <f aca="true">IF(ISNUMBER($J540),INDIRECT("R"&amp;($J540+4)),"")</f>
        <v/>
      </c>
      <c r="H540" s="298" t="str">
        <f aca="true">IF(ISNUMBER($J540),INDIRECT("S"&amp;($J540+4)),"")</f>
        <v/>
      </c>
      <c r="J540" s="292" t="str">
        <f aca="true">IF(536&lt;=$K$1,MATCH(535.5,INDIRECT("$K$4:$K$1374"),1),"")</f>
        <v/>
      </c>
      <c r="K540" s="292" t="n">
        <f aca="false">$K$516+COUNTIF($Q$517:Q540,"&gt;0")</f>
        <v>0</v>
      </c>
      <c r="L540" s="292" t="str">
        <f aca="false">"Автозарядки и аксессуары"</f>
        <v>Автозарядки и аксессуары</v>
      </c>
      <c r="M540" s="292" t="str">
        <f aca="false">IF(ISBLANK('Автозарядки и аксессуары'!$A$41),"",'Автозарядки и аксессуары'!$A$41)</f>
        <v>BZ19 Wisdom автомобильное зарядное устройство с двумя портами</v>
      </c>
      <c r="N540" s="292" t="str">
        <f aca="false">IF(ISBLANK('Автозарядки и аксессуары'!$D$41),"",'Автозарядки и аксессуары'!$D$41)</f>
        <v>6974443387308</v>
      </c>
      <c r="O540" s="292" t="str">
        <f aca="false">IF(ISBLANK('Автозарядки и аксессуары'!$E$41),"",'Автозарядки и аксессуары'!$E$41)</f>
        <v>черный</v>
      </c>
      <c r="P540" s="292" t="str">
        <f aca="false">"ед."</f>
        <v>ед.</v>
      </c>
      <c r="Q540" s="292" t="n">
        <f aca="false">N('Автозарядки и аксессуары'!$G$41)</f>
        <v>0</v>
      </c>
      <c r="R540" s="299" t="n">
        <f aca="false">IF(ISBLANK('Автозарядки и аксессуары'!$F$41),"",'Автозарядки и аксессуары'!$F$41)</f>
        <v>97.86</v>
      </c>
      <c r="S540" s="292" t="str">
        <f aca="false">IF(ISBLANK('Автозарядки и аксессуары'!$H$41),"",'Автозарядки и аксессуары'!$H$41)</f>
        <v/>
      </c>
    </row>
    <row r="541" customFormat="false" ht="66" hidden="false" customHeight="true" outlineLevel="0" collapsed="false">
      <c r="A541" s="291" t="str">
        <f aca="true">IF(ISNUMBER($J541),INDIRECT("L"&amp;($J541+4)),"")</f>
        <v/>
      </c>
      <c r="B541" s="291" t="str">
        <f aca="true">IF(ISNUMBER($J541),INDIRECT("M"&amp;($J541+4)),"")</f>
        <v/>
      </c>
      <c r="C541" s="296" t="str">
        <f aca="true">IF(ISNUMBER($J541),INDIRECT("N"&amp;($J541+4)),"")</f>
        <v/>
      </c>
      <c r="D541" s="291" t="str">
        <f aca="true">IF(ISNUMBER($J541),INDIRECT("O"&amp;($J541+4)),"")</f>
        <v/>
      </c>
      <c r="E541" s="291" t="str">
        <f aca="true">IF(ISNUMBER($J541),INDIRECT("P"&amp;($J541+4)),"")</f>
        <v/>
      </c>
      <c r="F541" s="300" t="str">
        <f aca="true">IF(ISNUMBER($J541),INDIRECT("Q"&amp;($J541+4)),"")</f>
        <v/>
      </c>
      <c r="G541" s="298" t="str">
        <f aca="true">IF(ISNUMBER($J541),INDIRECT("R"&amp;($J541+4)),"")</f>
        <v/>
      </c>
      <c r="H541" s="298" t="str">
        <f aca="true">IF(ISNUMBER($J541),INDIRECT("S"&amp;($J541+4)),"")</f>
        <v/>
      </c>
      <c r="J541" s="292" t="str">
        <f aca="true">IF(537&lt;=$K$1,MATCH(536.5,INDIRECT("$K$4:$K$1374"),1),"")</f>
        <v/>
      </c>
      <c r="K541" s="292" t="n">
        <f aca="false">$K$516+COUNTIF($Q$517:Q541,"&gt;0")</f>
        <v>0</v>
      </c>
      <c r="L541" s="292" t="str">
        <f aca="false">"Автозарядки и аксессуары"</f>
        <v>Автозарядки и аксессуары</v>
      </c>
      <c r="M541" s="292" t="str">
        <f aca="false">IF(ISBLANK('Автозарядки и аксессуары'!$A$42),"",'Автозарядки и аксессуары'!$A$42)</f>
        <v>BZ19B Wisdom 36W автомобильное зарядное устройство с двумя портами QC3.0</v>
      </c>
      <c r="N541" s="292" t="str">
        <f aca="false">IF(ISBLANK('Автозарядки и аксессуары'!$D$42),"",'Автозарядки и аксессуары'!$D$42)</f>
        <v>6941991101472</v>
      </c>
      <c r="O541" s="292" t="str">
        <f aca="false">IF(ISBLANK('Автозарядки и аксессуары'!$E$42),"",'Автозарядки и аксессуары'!$E$42)</f>
        <v>черный</v>
      </c>
      <c r="P541" s="292" t="str">
        <f aca="false">"ед."</f>
        <v>ед.</v>
      </c>
      <c r="Q541" s="292" t="n">
        <f aca="false">N('Автозарядки и аксессуары'!$G$42)</f>
        <v>0</v>
      </c>
      <c r="R541" s="299" t="n">
        <f aca="false">IF(ISBLANK('Автозарядки и аксессуары'!$F$42),"",'Автозарядки и аксессуары'!$F$42)</f>
        <v>172.88</v>
      </c>
      <c r="S541" s="292" t="str">
        <f aca="false">IF(ISBLANK('Автозарядки и аксессуары'!$H$42),"",'Автозарядки и аксессуары'!$H$42)</f>
        <v/>
      </c>
    </row>
    <row r="542" customFormat="false" ht="66" hidden="false" customHeight="true" outlineLevel="0" collapsed="false">
      <c r="A542" s="291" t="str">
        <f aca="true">IF(ISNUMBER($J542),INDIRECT("L"&amp;($J542+4)),"")</f>
        <v/>
      </c>
      <c r="B542" s="291" t="str">
        <f aca="true">IF(ISNUMBER($J542),INDIRECT("M"&amp;($J542+4)),"")</f>
        <v/>
      </c>
      <c r="C542" s="296" t="str">
        <f aca="true">IF(ISNUMBER($J542),INDIRECT("N"&amp;($J542+4)),"")</f>
        <v/>
      </c>
      <c r="D542" s="291" t="str">
        <f aca="true">IF(ISNUMBER($J542),INDIRECT("O"&amp;($J542+4)),"")</f>
        <v/>
      </c>
      <c r="E542" s="291" t="str">
        <f aca="true">IF(ISNUMBER($J542),INDIRECT("P"&amp;($J542+4)),"")</f>
        <v/>
      </c>
      <c r="F542" s="300" t="str">
        <f aca="true">IF(ISNUMBER($J542),INDIRECT("Q"&amp;($J542+4)),"")</f>
        <v/>
      </c>
      <c r="G542" s="298" t="str">
        <f aca="true">IF(ISNUMBER($J542),INDIRECT("R"&amp;($J542+4)),"")</f>
        <v/>
      </c>
      <c r="H542" s="298" t="str">
        <f aca="true">IF(ISNUMBER($J542),INDIRECT("S"&amp;($J542+4)),"")</f>
        <v/>
      </c>
      <c r="J542" s="292" t="str">
        <f aca="true">IF(538&lt;=$K$1,MATCH(537.5,INDIRECT("$K$4:$K$1374"),1),"")</f>
        <v/>
      </c>
      <c r="K542" s="292" t="n">
        <f aca="false">$K$516+COUNTIF($Q$517:Q542,"&gt;0")</f>
        <v>0</v>
      </c>
      <c r="L542" s="292" t="str">
        <f aca="false">"Автозарядки и аксессуары"</f>
        <v>Автозарядки и аксессуары</v>
      </c>
      <c r="M542" s="292" t="str">
        <f aca="false">IF(ISBLANK('Автозарядки и аксессуары'!$A$43),"",'Автозарядки и аксессуары'!$A$43)</f>
        <v>BZ19B (PD30W+QC3.0)Wisdom 48W автомобильное зарядное устройство</v>
      </c>
      <c r="N542" s="292" t="str">
        <f aca="false">IF(ISBLANK('Автозарядки и аксессуары'!$D$43),"",'Автозарядки и аксессуары'!$D$43)</f>
        <v>6941991129643</v>
      </c>
      <c r="O542" s="292" t="str">
        <f aca="false">IF(ISBLANK('Автозарядки и аксессуары'!$E$43),"",'Автозарядки и аксессуары'!$E$43)</f>
        <v>черный</v>
      </c>
      <c r="P542" s="292" t="str">
        <f aca="false">"ед."</f>
        <v>ед.</v>
      </c>
      <c r="Q542" s="292" t="n">
        <f aca="false">N('Автозарядки и аксессуары'!$G$43)</f>
        <v>0</v>
      </c>
      <c r="R542" s="299" t="n">
        <f aca="false">IF(ISBLANK('Автозарядки и аксессуары'!$F$43),"",'Автозарядки и аксессуары'!$F$43)</f>
        <v>171.25</v>
      </c>
      <c r="S542" s="292" t="str">
        <f aca="false">IF(ISBLANK('Автозарядки и аксессуары'!$H$43),"",'Автозарядки и аксессуары'!$H$43)</f>
        <v/>
      </c>
    </row>
    <row r="543" customFormat="false" ht="66" hidden="false" customHeight="true" outlineLevel="0" collapsed="false">
      <c r="A543" s="291" t="str">
        <f aca="true">IF(ISNUMBER($J543),INDIRECT("L"&amp;($J543+4)),"")</f>
        <v/>
      </c>
      <c r="B543" s="291" t="str">
        <f aca="true">IF(ISNUMBER($J543),INDIRECT("M"&amp;($J543+4)),"")</f>
        <v/>
      </c>
      <c r="C543" s="296" t="str">
        <f aca="true">IF(ISNUMBER($J543),INDIRECT("N"&amp;($J543+4)),"")</f>
        <v/>
      </c>
      <c r="D543" s="291" t="str">
        <f aca="true">IF(ISNUMBER($J543),INDIRECT("O"&amp;($J543+4)),"")</f>
        <v/>
      </c>
      <c r="E543" s="291" t="str">
        <f aca="true">IF(ISNUMBER($J543),INDIRECT("P"&amp;($J543+4)),"")</f>
        <v/>
      </c>
      <c r="F543" s="300" t="str">
        <f aca="true">IF(ISNUMBER($J543),INDIRECT("Q"&amp;($J543+4)),"")</f>
        <v/>
      </c>
      <c r="G543" s="298" t="str">
        <f aca="true">IF(ISNUMBER($J543),INDIRECT("R"&amp;($J543+4)),"")</f>
        <v/>
      </c>
      <c r="H543" s="298" t="str">
        <f aca="true">IF(ISNUMBER($J543),INDIRECT("S"&amp;($J543+4)),"")</f>
        <v/>
      </c>
      <c r="J543" s="292" t="str">
        <f aca="true">IF(539&lt;=$K$1,MATCH(538.5,INDIRECT("$K$4:$K$1374"),1),"")</f>
        <v/>
      </c>
      <c r="K543" s="292" t="n">
        <f aca="false">$K$516+COUNTIF($Q$517:Q543,"&gt;0")</f>
        <v>0</v>
      </c>
      <c r="L543" s="292" t="str">
        <f aca="false">"Автозарядки и аксессуары"</f>
        <v>Автозарядки и аксессуары</v>
      </c>
      <c r="M543" s="292" t="str">
        <f aca="false">IF(ISBLANK('Автозарядки и аксессуары'!$A$44),"",'Автозарядки и аксессуары'!$A$44)</f>
        <v>BZ19B (PD30W+QC3.0)Wisdom 48W автомобильное зарядное устройство набор (C на C)</v>
      </c>
      <c r="N543" s="292" t="str">
        <f aca="false">IF(ISBLANK('Автозарядки и аксессуары'!$D$44),"",'Автозарядки и аксессуары'!$D$44)</f>
        <v>6941991129650</v>
      </c>
      <c r="O543" s="292" t="str">
        <f aca="false">IF(ISBLANK('Автозарядки и аксессуары'!$E$44),"",'Автозарядки и аксессуары'!$E$44)</f>
        <v>черный</v>
      </c>
      <c r="P543" s="292" t="str">
        <f aca="false">"ед."</f>
        <v>ед.</v>
      </c>
      <c r="Q543" s="292" t="n">
        <f aca="false">N('Автозарядки и аксессуары'!$G$44)</f>
        <v>0</v>
      </c>
      <c r="R543" s="299" t="n">
        <f aca="false">IF(ISBLANK('Автозарядки и аксессуары'!$F$44),"",'Автозарядки и аксессуары'!$F$44)</f>
        <v>212.02</v>
      </c>
      <c r="S543" s="292" t="str">
        <f aca="false">IF(ISBLANK('Автозарядки и аксессуары'!$H$44),"",'Автозарядки и аксессуары'!$H$44)</f>
        <v/>
      </c>
    </row>
    <row r="544" customFormat="false" ht="66" hidden="false" customHeight="true" outlineLevel="0" collapsed="false">
      <c r="A544" s="291" t="str">
        <f aca="true">IF(ISNUMBER($J544),INDIRECT("L"&amp;($J544+4)),"")</f>
        <v/>
      </c>
      <c r="B544" s="291" t="str">
        <f aca="true">IF(ISNUMBER($J544),INDIRECT("M"&amp;($J544+4)),"")</f>
        <v/>
      </c>
      <c r="C544" s="296" t="str">
        <f aca="true">IF(ISNUMBER($J544),INDIRECT("N"&amp;($J544+4)),"")</f>
        <v/>
      </c>
      <c r="D544" s="291" t="str">
        <f aca="true">IF(ISNUMBER($J544),INDIRECT("O"&amp;($J544+4)),"")</f>
        <v/>
      </c>
      <c r="E544" s="291" t="str">
        <f aca="true">IF(ISNUMBER($J544),INDIRECT("P"&amp;($J544+4)),"")</f>
        <v/>
      </c>
      <c r="F544" s="300" t="str">
        <f aca="true">IF(ISNUMBER($J544),INDIRECT("Q"&amp;($J544+4)),"")</f>
        <v/>
      </c>
      <c r="G544" s="298" t="str">
        <f aca="true">IF(ISNUMBER($J544),INDIRECT("R"&amp;($J544+4)),"")</f>
        <v/>
      </c>
      <c r="H544" s="298" t="str">
        <f aca="true">IF(ISNUMBER($J544),INDIRECT("S"&amp;($J544+4)),"")</f>
        <v/>
      </c>
      <c r="J544" s="292" t="str">
        <f aca="true">IF(540&lt;=$K$1,MATCH(539.5,INDIRECT("$K$4:$K$1374"),1),"")</f>
        <v/>
      </c>
      <c r="K544" s="292" t="n">
        <f aca="false">$K$516+COUNTIF($Q$517:Q544,"&gt;0")</f>
        <v>0</v>
      </c>
      <c r="L544" s="292" t="str">
        <f aca="false">"Наушники и гарнитуры"</f>
        <v>Наушники и гарнитуры</v>
      </c>
      <c r="M544" s="292" t="str">
        <f aca="false">IF(ISBLANK('Наушники и гарнитуры'!$A$5),"",'Наушники и гарнитуры'!$A$5)</f>
        <v>BC36 Lucky деловая BT гарнитура</v>
      </c>
      <c r="N544" s="292" t="str">
        <f aca="false">IF(ISBLANK('Наушники и гарнитуры'!$D$5),"",'Наушники и гарнитуры'!$D$5)</f>
        <v>6974443381931</v>
      </c>
      <c r="O544" s="292" t="str">
        <f aca="false">IF(ISBLANK('Наушники и гарнитуры'!$E$5),"",'Наушники и гарнитуры'!$E$5)</f>
        <v>черный</v>
      </c>
      <c r="P544" s="292" t="str">
        <f aca="false">"ед."</f>
        <v>ед.</v>
      </c>
      <c r="Q544" s="292" t="n">
        <f aca="false">N('Наушники и гарнитуры'!$G$5)</f>
        <v>0</v>
      </c>
      <c r="R544" s="299" t="n">
        <f aca="false">IF(ISBLANK('Наушники и гарнитуры'!$F$5),"",'Наушники и гарнитуры'!$F$5)</f>
        <v>195.71</v>
      </c>
      <c r="S544" s="292" t="str">
        <f aca="false">IF(ISBLANK('Наушники и гарнитуры'!$H$5),"",'Наушники и гарнитуры'!$H$5)</f>
        <v/>
      </c>
    </row>
    <row r="545" customFormat="false" ht="66" hidden="false" customHeight="true" outlineLevel="0" collapsed="false">
      <c r="A545" s="291" t="str">
        <f aca="true">IF(ISNUMBER($J545),INDIRECT("L"&amp;($J545+4)),"")</f>
        <v/>
      </c>
      <c r="B545" s="291" t="str">
        <f aca="true">IF(ISNUMBER($J545),INDIRECT("M"&amp;($J545+4)),"")</f>
        <v/>
      </c>
      <c r="C545" s="296" t="str">
        <f aca="true">IF(ISNUMBER($J545),INDIRECT("N"&amp;($J545+4)),"")</f>
        <v/>
      </c>
      <c r="D545" s="291" t="str">
        <f aca="true">IF(ISNUMBER($J545),INDIRECT("O"&amp;($J545+4)),"")</f>
        <v/>
      </c>
      <c r="E545" s="291" t="str">
        <f aca="true">IF(ISNUMBER($J545),INDIRECT("P"&amp;($J545+4)),"")</f>
        <v/>
      </c>
      <c r="F545" s="300" t="str">
        <f aca="true">IF(ISNUMBER($J545),INDIRECT("Q"&amp;($J545+4)),"")</f>
        <v/>
      </c>
      <c r="G545" s="298" t="str">
        <f aca="true">IF(ISNUMBER($J545),INDIRECT("R"&amp;($J545+4)),"")</f>
        <v/>
      </c>
      <c r="H545" s="298" t="str">
        <f aca="true">IF(ISNUMBER($J545),INDIRECT("S"&amp;($J545+4)),"")</f>
        <v/>
      </c>
      <c r="J545" s="292" t="str">
        <f aca="true">IF(541&lt;=$K$1,MATCH(540.5,INDIRECT("$K$4:$K$1374"),1),"")</f>
        <v/>
      </c>
      <c r="K545" s="292" t="n">
        <f aca="false">$K$516+COUNTIF($Q$517:Q545,"&gt;0")</f>
        <v>0</v>
      </c>
      <c r="L545" s="292" t="str">
        <f aca="false">"Наушники и гарнитуры"</f>
        <v>Наушники и гарнитуры</v>
      </c>
      <c r="M545" s="292" t="str">
        <f aca="false">IF(ISBLANK('Наушники и гарнитуры'!$A$5),"",'Наушники и гарнитуры'!$A$5)</f>
        <v>BC36 Lucky деловая BT гарнитура</v>
      </c>
      <c r="N545" s="292" t="str">
        <f aca="false">IF(ISBLANK('Наушники и гарнитуры'!$D$6),"",'Наушники и гарнитуры'!$D$6)</f>
        <v>6974443381948</v>
      </c>
      <c r="O545" s="292" t="str">
        <f aca="false">IF(ISBLANK('Наушники и гарнитуры'!$E$6),"",'Наушники и гарнитуры'!$E$6)</f>
        <v>белый</v>
      </c>
      <c r="P545" s="292" t="str">
        <f aca="false">"ед."</f>
        <v>ед.</v>
      </c>
      <c r="Q545" s="292" t="n">
        <f aca="false">N('Наушники и гарнитуры'!$G$6)</f>
        <v>0</v>
      </c>
      <c r="R545" s="299" t="n">
        <f aca="false">IF(ISBLANK('Наушники и гарнитуры'!$F$6),"",'Наушники и гарнитуры'!$F$6)</f>
        <v>195.71</v>
      </c>
      <c r="S545" s="292" t="str">
        <f aca="false">IF(ISBLANK('Наушники и гарнитуры'!$H$6),"",'Наушники и гарнитуры'!$H$6)</f>
        <v/>
      </c>
    </row>
    <row r="546" customFormat="false" ht="66" hidden="false" customHeight="true" outlineLevel="0" collapsed="false">
      <c r="A546" s="291" t="str">
        <f aca="true">IF(ISNUMBER($J546),INDIRECT("L"&amp;($J546+4)),"")</f>
        <v/>
      </c>
      <c r="B546" s="291" t="str">
        <f aca="true">IF(ISNUMBER($J546),INDIRECT("M"&amp;($J546+4)),"")</f>
        <v/>
      </c>
      <c r="C546" s="296" t="str">
        <f aca="true">IF(ISNUMBER($J546),INDIRECT("N"&amp;($J546+4)),"")</f>
        <v/>
      </c>
      <c r="D546" s="291" t="str">
        <f aca="true">IF(ISNUMBER($J546),INDIRECT("O"&amp;($J546+4)),"")</f>
        <v/>
      </c>
      <c r="E546" s="291" t="str">
        <f aca="true">IF(ISNUMBER($J546),INDIRECT("P"&amp;($J546+4)),"")</f>
        <v/>
      </c>
      <c r="F546" s="300" t="str">
        <f aca="true">IF(ISNUMBER($J546),INDIRECT("Q"&amp;($J546+4)),"")</f>
        <v/>
      </c>
      <c r="G546" s="298" t="str">
        <f aca="true">IF(ISNUMBER($J546),INDIRECT("R"&amp;($J546+4)),"")</f>
        <v/>
      </c>
      <c r="H546" s="298" t="str">
        <f aca="true">IF(ISNUMBER($J546),INDIRECT("S"&amp;($J546+4)),"")</f>
        <v/>
      </c>
      <c r="J546" s="292" t="str">
        <f aca="true">IF(542&lt;=$K$1,MATCH(541.5,INDIRECT("$K$4:$K$1374"),1),"")</f>
        <v/>
      </c>
      <c r="K546" s="292" t="n">
        <f aca="false">$K$516+COUNTIF($Q$517:Q546,"&gt;0")</f>
        <v>0</v>
      </c>
      <c r="L546" s="292" t="str">
        <f aca="false">"Наушники и гарнитуры"</f>
        <v>Наушники и гарнитуры</v>
      </c>
      <c r="M546" s="292" t="str">
        <f aca="false">IF(ISBLANK('Наушники и гарнитуры'!$A$7),"",'Наушники и гарнитуры'!$A$7)</f>
        <v>BC21 Encourage sound деловая беспроводная гарнитура</v>
      </c>
      <c r="N546" s="292" t="str">
        <f aca="false">IF(ISBLANK('Наушники и гарнитуры'!$D$7),"",'Наушники и гарнитуры'!$D$7)</f>
        <v>6931474703576</v>
      </c>
      <c r="O546" s="292" t="str">
        <f aca="false">IF(ISBLANK('Наушники и гарнитуры'!$E$7),"",'Наушники и гарнитуры'!$E$7)</f>
        <v>черный</v>
      </c>
      <c r="P546" s="292" t="str">
        <f aca="false">"ед."</f>
        <v>ед.</v>
      </c>
      <c r="Q546" s="292" t="n">
        <f aca="false">N('Наушники и гарнитуры'!$G$7)</f>
        <v>0</v>
      </c>
      <c r="R546" s="299" t="n">
        <f aca="false">IF(ISBLANK('Наушники и гарнитуры'!$F$7),"",'Наушники и гарнитуры'!$F$7)</f>
        <v>252.8</v>
      </c>
      <c r="S546" s="292" t="str">
        <f aca="false">IF(ISBLANK('Наушники и гарнитуры'!$H$7),"",'Наушники и гарнитуры'!$H$7)</f>
        <v/>
      </c>
    </row>
    <row r="547" customFormat="false" ht="66" hidden="false" customHeight="true" outlineLevel="0" collapsed="false">
      <c r="A547" s="291" t="str">
        <f aca="true">IF(ISNUMBER($J547),INDIRECT("L"&amp;($J547+4)),"")</f>
        <v/>
      </c>
      <c r="B547" s="291" t="str">
        <f aca="true">IF(ISNUMBER($J547),INDIRECT("M"&amp;($J547+4)),"")</f>
        <v/>
      </c>
      <c r="C547" s="296" t="str">
        <f aca="true">IF(ISNUMBER($J547),INDIRECT("N"&amp;($J547+4)),"")</f>
        <v/>
      </c>
      <c r="D547" s="291" t="str">
        <f aca="true">IF(ISNUMBER($J547),INDIRECT("O"&amp;($J547+4)),"")</f>
        <v/>
      </c>
      <c r="E547" s="291" t="str">
        <f aca="true">IF(ISNUMBER($J547),INDIRECT("P"&amp;($J547+4)),"")</f>
        <v/>
      </c>
      <c r="F547" s="300" t="str">
        <f aca="true">IF(ISNUMBER($J547),INDIRECT("Q"&amp;($J547+4)),"")</f>
        <v/>
      </c>
      <c r="G547" s="298" t="str">
        <f aca="true">IF(ISNUMBER($J547),INDIRECT("R"&amp;($J547+4)),"")</f>
        <v/>
      </c>
      <c r="H547" s="298" t="str">
        <f aca="true">IF(ISNUMBER($J547),INDIRECT("S"&amp;($J547+4)),"")</f>
        <v/>
      </c>
      <c r="J547" s="292" t="str">
        <f aca="true">IF(543&lt;=$K$1,MATCH(542.5,INDIRECT("$K$4:$K$1374"),1),"")</f>
        <v/>
      </c>
      <c r="K547" s="292" t="n">
        <f aca="false">$K$516+COUNTIF($Q$517:Q547,"&gt;0")</f>
        <v>0</v>
      </c>
      <c r="L547" s="292" t="str">
        <f aca="false">"Наушники и гарнитуры"</f>
        <v>Наушники и гарнитуры</v>
      </c>
      <c r="M547" s="292" t="str">
        <f aca="false">IF(ISBLANK('Наушники и гарнитуры'!$A$8),"",'Наушники и гарнитуры'!$A$8)</f>
        <v>BC20 Smart деловая беспроводная гарнитура</v>
      </c>
      <c r="N547" s="292" t="str">
        <f aca="false">IF(ISBLANK('Наушники и гарнитуры'!$D$8),"",'Наушники и гарнитуры'!$D$8)</f>
        <v>6931474700759</v>
      </c>
      <c r="O547" s="292" t="str">
        <f aca="false">IF(ISBLANK('Наушники и гарнитуры'!$E$8),"",'Наушники и гарнитуры'!$E$8)</f>
        <v>черный</v>
      </c>
      <c r="P547" s="292" t="str">
        <f aca="false">"ед."</f>
        <v>ед.</v>
      </c>
      <c r="Q547" s="292" t="n">
        <f aca="false">N('Наушники и гарнитуры'!$G$8)</f>
        <v>0</v>
      </c>
      <c r="R547" s="299" t="n">
        <f aca="false">IF(ISBLANK('Наушники и гарнитуры'!$F$8),"",'Наушники и гарнитуры'!$F$8)</f>
        <v>260.95</v>
      </c>
      <c r="S547" s="292" t="str">
        <f aca="false">IF(ISBLANK('Наушники и гарнитуры'!$H$8),"",'Наушники и гарнитуры'!$H$8)</f>
        <v/>
      </c>
    </row>
    <row r="548" customFormat="false" ht="66" hidden="false" customHeight="true" outlineLevel="0" collapsed="false">
      <c r="A548" s="291" t="str">
        <f aca="true">IF(ISNUMBER($J548),INDIRECT("L"&amp;($J548+4)),"")</f>
        <v/>
      </c>
      <c r="B548" s="291" t="str">
        <f aca="true">IF(ISNUMBER($J548),INDIRECT("M"&amp;($J548+4)),"")</f>
        <v/>
      </c>
      <c r="C548" s="296" t="str">
        <f aca="true">IF(ISNUMBER($J548),INDIRECT("N"&amp;($J548+4)),"")</f>
        <v/>
      </c>
      <c r="D548" s="291" t="str">
        <f aca="true">IF(ISNUMBER($J548),INDIRECT("O"&amp;($J548+4)),"")</f>
        <v/>
      </c>
      <c r="E548" s="291" t="str">
        <f aca="true">IF(ISNUMBER($J548),INDIRECT("P"&amp;($J548+4)),"")</f>
        <v/>
      </c>
      <c r="F548" s="300" t="str">
        <f aca="true">IF(ISNUMBER($J548),INDIRECT("Q"&amp;($J548+4)),"")</f>
        <v/>
      </c>
      <c r="G548" s="298" t="str">
        <f aca="true">IF(ISNUMBER($J548),INDIRECT("R"&amp;($J548+4)),"")</f>
        <v/>
      </c>
      <c r="H548" s="298" t="str">
        <f aca="true">IF(ISNUMBER($J548),INDIRECT("S"&amp;($J548+4)),"")</f>
        <v/>
      </c>
      <c r="J548" s="292" t="str">
        <f aca="true">IF(544&lt;=$K$1,MATCH(543.5,INDIRECT("$K$4:$K$1374"),1),"")</f>
        <v/>
      </c>
      <c r="K548" s="292" t="n">
        <f aca="false">$K$516+COUNTIF($Q$517:Q548,"&gt;0")</f>
        <v>0</v>
      </c>
      <c r="L548" s="292" t="str">
        <f aca="false">"Наушники и гарнитуры"</f>
        <v>Наушники и гарнитуры</v>
      </c>
      <c r="M548" s="292" t="str">
        <f aca="false">IF(ISBLANK('Наушники и гарнитуры'!$A$11),"",'Наушники и гарнитуры'!$A$11)</f>
        <v>BE73 Torch BT наушники с шейным ободом</v>
      </c>
      <c r="N548" s="292" t="str">
        <f aca="false">IF(ISBLANK('Наушники и гарнитуры'!$D$11),"",'Наушники и гарнитуры'!$D$11)</f>
        <v>6941991130878</v>
      </c>
      <c r="O548" s="292" t="str">
        <f aca="false">IF(ISBLANK('Наушники и гарнитуры'!$E$11),"",'Наушники и гарнитуры'!$E$11)</f>
        <v>черный</v>
      </c>
      <c r="P548" s="292" t="str">
        <f aca="false">"ед."</f>
        <v>ед.</v>
      </c>
      <c r="Q548" s="292" t="n">
        <f aca="false">N('Наушники и гарнитуры'!$G$11)</f>
        <v>0</v>
      </c>
      <c r="R548" s="299" t="n">
        <f aca="false">IF(ISBLANK('Наушники и гарнитуры'!$F$11),"",'Наушники и гарнитуры'!$F$11)</f>
        <v>627.91</v>
      </c>
      <c r="S548" s="292" t="str">
        <f aca="false">IF(ISBLANK('Наушники и гарнитуры'!$H$11),"",'Наушники и гарнитуры'!$H$11)</f>
        <v/>
      </c>
    </row>
    <row r="549" customFormat="false" ht="66" hidden="false" customHeight="true" outlineLevel="0" collapsed="false">
      <c r="A549" s="291" t="str">
        <f aca="true">IF(ISNUMBER($J549),INDIRECT("L"&amp;($J549+4)),"")</f>
        <v/>
      </c>
      <c r="B549" s="291" t="str">
        <f aca="true">IF(ISNUMBER($J549),INDIRECT("M"&amp;($J549+4)),"")</f>
        <v/>
      </c>
      <c r="C549" s="296" t="str">
        <f aca="true">IF(ISNUMBER($J549),INDIRECT("N"&amp;($J549+4)),"")</f>
        <v/>
      </c>
      <c r="D549" s="291" t="str">
        <f aca="true">IF(ISNUMBER($J549),INDIRECT("O"&amp;($J549+4)),"")</f>
        <v/>
      </c>
      <c r="E549" s="291" t="str">
        <f aca="true">IF(ISNUMBER($J549),INDIRECT("P"&amp;($J549+4)),"")</f>
        <v/>
      </c>
      <c r="F549" s="300" t="str">
        <f aca="true">IF(ISNUMBER($J549),INDIRECT("Q"&amp;($J549+4)),"")</f>
        <v/>
      </c>
      <c r="G549" s="298" t="str">
        <f aca="true">IF(ISNUMBER($J549),INDIRECT("R"&amp;($J549+4)),"")</f>
        <v/>
      </c>
      <c r="H549" s="298" t="str">
        <f aca="true">IF(ISNUMBER($J549),INDIRECT("S"&amp;($J549+4)),"")</f>
        <v/>
      </c>
      <c r="J549" s="292" t="str">
        <f aca="true">IF(545&lt;=$K$1,MATCH(544.5,INDIRECT("$K$4:$K$1374"),1),"")</f>
        <v/>
      </c>
      <c r="K549" s="292" t="n">
        <f aca="false">$K$516+COUNTIF($Q$517:Q549,"&gt;0")</f>
        <v>0</v>
      </c>
      <c r="L549" s="292" t="str">
        <f aca="false">"Наушники и гарнитуры"</f>
        <v>Наушники и гарнитуры</v>
      </c>
      <c r="M549" s="292" t="str">
        <f aca="false">IF(ISBLANK('Наушники и гарнитуры'!$A$12),"",'Наушники и гарнитуры'!$A$12)</f>
        <v>BE72 Sun BT  наушники с шейным ободом</v>
      </c>
      <c r="N549" s="292" t="str">
        <f aca="false">IF(ISBLANK('Наушники и гарнитуры'!$D$12),"",'Наушники и гарнитуры'!$D$12)</f>
        <v>6941991124518</v>
      </c>
      <c r="O549" s="292" t="str">
        <f aca="false">IF(ISBLANK('Наушники и гарнитуры'!$E$12),"",'Наушники и гарнитуры'!$E$12)</f>
        <v>черный</v>
      </c>
      <c r="P549" s="292" t="str">
        <f aca="false">"ед."</f>
        <v>ед.</v>
      </c>
      <c r="Q549" s="292" t="n">
        <f aca="false">N('Наушники и гарнитуры'!$G$12)</f>
        <v>0</v>
      </c>
      <c r="R549" s="299" t="n">
        <f aca="false">IF(ISBLANK('Наушники и гарнитуры'!$F$12),"",'Наушники и гарнитуры'!$F$12)</f>
        <v>293.57</v>
      </c>
      <c r="S549" s="292" t="str">
        <f aca="false">IF(ISBLANK('Наушники и гарнитуры'!$H$12),"",'Наушники и гарнитуры'!$H$12)</f>
        <v/>
      </c>
    </row>
    <row r="550" customFormat="false" ht="66" hidden="false" customHeight="true" outlineLevel="0" collapsed="false">
      <c r="A550" s="291" t="str">
        <f aca="true">IF(ISNUMBER($J550),INDIRECT("L"&amp;($J550+4)),"")</f>
        <v/>
      </c>
      <c r="B550" s="291" t="str">
        <f aca="true">IF(ISNUMBER($J550),INDIRECT("M"&amp;($J550+4)),"")</f>
        <v/>
      </c>
      <c r="C550" s="296" t="str">
        <f aca="true">IF(ISNUMBER($J550),INDIRECT("N"&amp;($J550+4)),"")</f>
        <v/>
      </c>
      <c r="D550" s="291" t="str">
        <f aca="true">IF(ISNUMBER($J550),INDIRECT("O"&amp;($J550+4)),"")</f>
        <v/>
      </c>
      <c r="E550" s="291" t="str">
        <f aca="true">IF(ISNUMBER($J550),INDIRECT("P"&amp;($J550+4)),"")</f>
        <v/>
      </c>
      <c r="F550" s="300" t="str">
        <f aca="true">IF(ISNUMBER($J550),INDIRECT("Q"&amp;($J550+4)),"")</f>
        <v/>
      </c>
      <c r="G550" s="298" t="str">
        <f aca="true">IF(ISNUMBER($J550),INDIRECT("R"&amp;($J550+4)),"")</f>
        <v/>
      </c>
      <c r="H550" s="298" t="str">
        <f aca="true">IF(ISNUMBER($J550),INDIRECT("S"&amp;($J550+4)),"")</f>
        <v/>
      </c>
      <c r="J550" s="292" t="str">
        <f aca="true">IF(546&lt;=$K$1,MATCH(545.5,INDIRECT("$K$4:$K$1374"),1),"")</f>
        <v/>
      </c>
      <c r="K550" s="292" t="n">
        <f aca="false">$K$516+COUNTIF($Q$517:Q550,"&gt;0")</f>
        <v>0</v>
      </c>
      <c r="L550" s="292" t="str">
        <f aca="false">"Наушники и гарнитуры"</f>
        <v>Наушники и гарнитуры</v>
      </c>
      <c r="M550" s="292" t="str">
        <f aca="false">IF(ISBLANK('Наушники и гарнитуры'!$A$13),"",'Наушники и гарнитуры'!$A$13)</f>
        <v>BE70 Light BT наушники с шейным ободом</v>
      </c>
      <c r="N550" s="292" t="str">
        <f aca="false">IF(ISBLANK('Наушники и гарнитуры'!$D$13),"",'Наушники и гарнитуры'!$D$13)</f>
        <v>6941991117046</v>
      </c>
      <c r="O550" s="292" t="str">
        <f aca="false">IF(ISBLANK('Наушники и гарнитуры'!$E$13),"",'Наушники и гарнитуры'!$E$13)</f>
        <v>чёрный обсидиан</v>
      </c>
      <c r="P550" s="292" t="str">
        <f aca="false">"ед."</f>
        <v>ед.</v>
      </c>
      <c r="Q550" s="292" t="n">
        <f aca="false">N('Наушники и гарнитуры'!$G$13)</f>
        <v>0</v>
      </c>
      <c r="R550" s="299" t="n">
        <f aca="false">IF(ISBLANK('Наушники и гарнитуры'!$F$13),"",'Наушники и гарнитуры'!$F$13)</f>
        <v>326.19</v>
      </c>
      <c r="S550" s="292" t="str">
        <f aca="false">IF(ISBLANK('Наушники и гарнитуры'!$H$13),"",'Наушники и гарнитуры'!$H$13)</f>
        <v/>
      </c>
    </row>
    <row r="551" customFormat="false" ht="66" hidden="false" customHeight="true" outlineLevel="0" collapsed="false">
      <c r="A551" s="291" t="str">
        <f aca="true">IF(ISNUMBER($J551),INDIRECT("L"&amp;($J551+4)),"")</f>
        <v/>
      </c>
      <c r="B551" s="291" t="str">
        <f aca="true">IF(ISNUMBER($J551),INDIRECT("M"&amp;($J551+4)),"")</f>
        <v/>
      </c>
      <c r="C551" s="296" t="str">
        <f aca="true">IF(ISNUMBER($J551),INDIRECT("N"&amp;($J551+4)),"")</f>
        <v/>
      </c>
      <c r="D551" s="291" t="str">
        <f aca="true">IF(ISNUMBER($J551),INDIRECT("O"&amp;($J551+4)),"")</f>
        <v/>
      </c>
      <c r="E551" s="291" t="str">
        <f aca="true">IF(ISNUMBER($J551),INDIRECT("P"&amp;($J551+4)),"")</f>
        <v/>
      </c>
      <c r="F551" s="300" t="str">
        <f aca="true">IF(ISNUMBER($J551),INDIRECT("Q"&amp;($J551+4)),"")</f>
        <v/>
      </c>
      <c r="G551" s="298" t="str">
        <f aca="true">IF(ISNUMBER($J551),INDIRECT("R"&amp;($J551+4)),"")</f>
        <v/>
      </c>
      <c r="H551" s="298" t="str">
        <f aca="true">IF(ISNUMBER($J551),INDIRECT("S"&amp;($J551+4)),"")</f>
        <v/>
      </c>
      <c r="J551" s="292" t="str">
        <f aca="true">IF(547&lt;=$K$1,MATCH(546.5,INDIRECT("$K$4:$K$1374"),1),"")</f>
        <v/>
      </c>
      <c r="K551" s="292" t="n">
        <f aca="false">$K$516+COUNTIF($Q$517:Q551,"&gt;0")</f>
        <v>0</v>
      </c>
      <c r="L551" s="292" t="str">
        <f aca="false">"Наушники и гарнитуры"</f>
        <v>Наушники и гарнитуры</v>
      </c>
      <c r="M551" s="292" t="str">
        <f aca="false">IF(ISBLANK('Наушники и гарнитуры'!$A$14),"",'Наушники и гарнитуры'!$A$14)</f>
        <v>BE68 Cloud ВТ наушники с шейным ободом</v>
      </c>
      <c r="N551" s="292" t="str">
        <f aca="false">IF(ISBLANK('Наушники и гарнитуры'!$D$14),"",'Наушники и гарнитуры'!$D$14)</f>
        <v>6941991113178</v>
      </c>
      <c r="O551" s="292" t="str">
        <f aca="false">IF(ISBLANK('Наушники и гарнитуры'!$E$14),"",'Наушники и гарнитуры'!$E$14)</f>
        <v>черный</v>
      </c>
      <c r="P551" s="292" t="str">
        <f aca="false">"ед."</f>
        <v>ед.</v>
      </c>
      <c r="Q551" s="292" t="n">
        <f aca="false">N('Наушники и гарнитуры'!$G$14)</f>
        <v>0</v>
      </c>
      <c r="R551" s="299" t="n">
        <f aca="false">IF(ISBLANK('Наушники и гарнитуры'!$F$14),"",'Наушники и гарнитуры'!$F$14)</f>
        <v>538.21</v>
      </c>
      <c r="S551" s="292" t="str">
        <f aca="false">IF(ISBLANK('Наушники и гарнитуры'!$H$14),"",'Наушники и гарнитуры'!$H$14)</f>
        <v/>
      </c>
    </row>
    <row r="552" customFormat="false" ht="66" hidden="false" customHeight="true" outlineLevel="0" collapsed="false">
      <c r="A552" s="291" t="str">
        <f aca="true">IF(ISNUMBER($J552),INDIRECT("L"&amp;($J552+4)),"")</f>
        <v/>
      </c>
      <c r="B552" s="291" t="str">
        <f aca="true">IF(ISNUMBER($J552),INDIRECT("M"&amp;($J552+4)),"")</f>
        <v/>
      </c>
      <c r="C552" s="296" t="str">
        <f aca="true">IF(ISNUMBER($J552),INDIRECT("N"&amp;($J552+4)),"")</f>
        <v/>
      </c>
      <c r="D552" s="291" t="str">
        <f aca="true">IF(ISNUMBER($J552),INDIRECT("O"&amp;($J552+4)),"")</f>
        <v/>
      </c>
      <c r="E552" s="291" t="str">
        <f aca="true">IF(ISNUMBER($J552),INDIRECT("P"&amp;($J552+4)),"")</f>
        <v/>
      </c>
      <c r="F552" s="300" t="str">
        <f aca="true">IF(ISNUMBER($J552),INDIRECT("Q"&amp;($J552+4)),"")</f>
        <v/>
      </c>
      <c r="G552" s="298" t="str">
        <f aca="true">IF(ISNUMBER($J552),INDIRECT("R"&amp;($J552+4)),"")</f>
        <v/>
      </c>
      <c r="H552" s="298" t="str">
        <f aca="true">IF(ISNUMBER($J552),INDIRECT("S"&amp;($J552+4)),"")</f>
        <v/>
      </c>
      <c r="J552" s="292" t="str">
        <f aca="true">IF(548&lt;=$K$1,MATCH(547.5,INDIRECT("$K$4:$K$1374"),1),"")</f>
        <v/>
      </c>
      <c r="K552" s="292" t="n">
        <f aca="false">$K$516+COUNTIF($Q$517:Q552,"&gt;0")</f>
        <v>0</v>
      </c>
      <c r="L552" s="292" t="str">
        <f aca="false">"Наушники и гарнитуры"</f>
        <v>Наушники и гарнитуры</v>
      </c>
      <c r="M552" s="292" t="str">
        <f aca="false">IF(ISBLANK('Наушники и гарнитуры'!$A$15),"",'Наушники и гарнитуры'!$A$15)</f>
        <v>BE64 Perfect BT наушники с шейным ободом</v>
      </c>
      <c r="N552" s="292" t="str">
        <f aca="false">IF(ISBLANK('Наушники и гарнитуры'!$D$15),"",'Наушники и гарнитуры'!$D$15)</f>
        <v>6941991103704</v>
      </c>
      <c r="O552" s="292" t="str">
        <f aca="false">IF(ISBLANK('Наушники и гарнитуры'!$E$15),"",'Наушники и гарнитуры'!$E$15)</f>
        <v>черный</v>
      </c>
      <c r="P552" s="292" t="str">
        <f aca="false">"ед."</f>
        <v>ед.</v>
      </c>
      <c r="Q552" s="292" t="n">
        <f aca="false">N('Наушники и гарнитуры'!$G$15)</f>
        <v>0</v>
      </c>
      <c r="R552" s="299" t="n">
        <f aca="false">IF(ISBLANK('Наушники и гарнитуры'!$F$15),"",'Наушники и гарнитуры'!$F$15)</f>
        <v>587.14</v>
      </c>
      <c r="S552" s="292" t="str">
        <f aca="false">IF(ISBLANK('Наушники и гарнитуры'!$H$15),"",'Наушники и гарнитуры'!$H$15)</f>
        <v/>
      </c>
    </row>
    <row r="553" customFormat="false" ht="66" hidden="false" customHeight="true" outlineLevel="0" collapsed="false">
      <c r="A553" s="291" t="str">
        <f aca="true">IF(ISNUMBER($J553),INDIRECT("L"&amp;($J553+4)),"")</f>
        <v/>
      </c>
      <c r="B553" s="291" t="str">
        <f aca="true">IF(ISNUMBER($J553),INDIRECT("M"&amp;($J553+4)),"")</f>
        <v/>
      </c>
      <c r="C553" s="296" t="str">
        <f aca="true">IF(ISNUMBER($J553),INDIRECT("N"&amp;($J553+4)),"")</f>
        <v/>
      </c>
      <c r="D553" s="291" t="str">
        <f aca="true">IF(ISNUMBER($J553),INDIRECT("O"&amp;($J553+4)),"")</f>
        <v/>
      </c>
      <c r="E553" s="291" t="str">
        <f aca="true">IF(ISNUMBER($J553),INDIRECT("P"&amp;($J553+4)),"")</f>
        <v/>
      </c>
      <c r="F553" s="300" t="str">
        <f aca="true">IF(ISNUMBER($J553),INDIRECT("Q"&amp;($J553+4)),"")</f>
        <v/>
      </c>
      <c r="G553" s="298" t="str">
        <f aca="true">IF(ISNUMBER($J553),INDIRECT("R"&amp;($J553+4)),"")</f>
        <v/>
      </c>
      <c r="H553" s="298" t="str">
        <f aca="true">IF(ISNUMBER($J553),INDIRECT("S"&amp;($J553+4)),"")</f>
        <v/>
      </c>
      <c r="J553" s="292" t="str">
        <f aca="true">IF(549&lt;=$K$1,MATCH(548.5,INDIRECT("$K$4:$K$1374"),1),"")</f>
        <v/>
      </c>
      <c r="K553" s="292" t="n">
        <f aca="false">$K$516+COUNTIF($Q$517:Q553,"&gt;0")</f>
        <v>0</v>
      </c>
      <c r="L553" s="292" t="str">
        <f aca="false">"Наушники и гарнитуры"</f>
        <v>Наушники и гарнитуры</v>
      </c>
      <c r="M553" s="292" t="str">
        <f aca="false">IF(ISBLANK('Наушники и гарнитуры'!$A$18),"",'Наушники и гарнитуры'!$A$18)</f>
        <v>BO112 Wave игровые наушники</v>
      </c>
      <c r="N553" s="292" t="str">
        <f aca="false">IF(ISBLANK('Наушники и гарнитуры'!$D$18),"",'Наушники и гарнитуры'!$D$18)</f>
        <v>6941991124648</v>
      </c>
      <c r="O553" s="292" t="str">
        <f aca="false">IF(ISBLANK('Наушники и гарнитуры'!$E$18),"",'Наушники и гарнитуры'!$E$18)</f>
        <v>черный</v>
      </c>
      <c r="P553" s="292" t="str">
        <f aca="false">"ед."</f>
        <v>ед.</v>
      </c>
      <c r="Q553" s="292" t="n">
        <f aca="false">N('Наушники и гарнитуры'!$G$18)</f>
        <v>0</v>
      </c>
      <c r="R553" s="299" t="n">
        <f aca="false">IF(ISBLANK('Наушники и гарнитуры'!$F$18),"",'Наушники и гарнитуры'!$F$18)</f>
        <v>481.13</v>
      </c>
      <c r="S553" s="292" t="str">
        <f aca="false">IF(ISBLANK('Наушники и гарнитуры'!$H$18),"",'Наушники и гарнитуры'!$H$18)</f>
        <v/>
      </c>
    </row>
    <row r="554" customFormat="false" ht="66" hidden="false" customHeight="true" outlineLevel="0" collapsed="false">
      <c r="A554" s="291" t="str">
        <f aca="true">IF(ISNUMBER($J554),INDIRECT("L"&amp;($J554+4)),"")</f>
        <v/>
      </c>
      <c r="B554" s="291" t="str">
        <f aca="true">IF(ISNUMBER($J554),INDIRECT("M"&amp;($J554+4)),"")</f>
        <v/>
      </c>
      <c r="C554" s="296" t="str">
        <f aca="true">IF(ISNUMBER($J554),INDIRECT("N"&amp;($J554+4)),"")</f>
        <v/>
      </c>
      <c r="D554" s="291" t="str">
        <f aca="true">IF(ISNUMBER($J554),INDIRECT("O"&amp;($J554+4)),"")</f>
        <v/>
      </c>
      <c r="E554" s="291" t="str">
        <f aca="true">IF(ISNUMBER($J554),INDIRECT("P"&amp;($J554+4)),"")</f>
        <v/>
      </c>
      <c r="F554" s="300" t="str">
        <f aca="true">IF(ISNUMBER($J554),INDIRECT("Q"&amp;($J554+4)),"")</f>
        <v/>
      </c>
      <c r="G554" s="298" t="str">
        <f aca="true">IF(ISNUMBER($J554),INDIRECT("R"&amp;($J554+4)),"")</f>
        <v/>
      </c>
      <c r="H554" s="298" t="str">
        <f aca="true">IF(ISNUMBER($J554),INDIRECT("S"&amp;($J554+4)),"")</f>
        <v/>
      </c>
      <c r="J554" s="292" t="str">
        <f aca="true">IF(550&lt;=$K$1,MATCH(549.5,INDIRECT("$K$4:$K$1374"),1),"")</f>
        <v/>
      </c>
      <c r="K554" s="292" t="n">
        <f aca="false">$K$516+COUNTIF($Q$517:Q554,"&gt;0")</f>
        <v>0</v>
      </c>
      <c r="L554" s="292" t="str">
        <f aca="false">"Наушники и гарнитуры"</f>
        <v>Наушники и гарнитуры</v>
      </c>
      <c r="M554" s="292" t="str">
        <f aca="false">IF(ISBLANK('Наушники и гарнитуры'!$A$19),"",'Наушники и гарнитуры'!$A$19)</f>
        <v>BO105 Thunder игровые наушники</v>
      </c>
      <c r="N554" s="292" t="str">
        <f aca="false">IF(ISBLANK('Наушники и гарнитуры'!$D$19),"",'Наушники и гарнитуры'!$D$19)</f>
        <v>6974443389227</v>
      </c>
      <c r="O554" s="292" t="str">
        <f aca="false">IF(ISBLANK('Наушники и гарнитуры'!$E$19),"",'Наушники и гарнитуры'!$E$19)</f>
        <v>черный</v>
      </c>
      <c r="P554" s="292" t="str">
        <f aca="false">"ед."</f>
        <v>ед.</v>
      </c>
      <c r="Q554" s="292" t="n">
        <f aca="false">N('Наушники и гарнитуры'!$G$19)</f>
        <v>0</v>
      </c>
      <c r="R554" s="299" t="n">
        <f aca="false">IF(ISBLANK('Наушники и гарнитуры'!$F$19),"",'Наушники и гарнитуры'!$F$19)</f>
        <v>619.76</v>
      </c>
      <c r="S554" s="292" t="str">
        <f aca="false">IF(ISBLANK('Наушники и гарнитуры'!$H$19),"",'Наушники и гарнитуры'!$H$19)</f>
        <v/>
      </c>
    </row>
    <row r="555" customFormat="false" ht="66" hidden="false" customHeight="true" outlineLevel="0" collapsed="false">
      <c r="A555" s="291" t="str">
        <f aca="true">IF(ISNUMBER($J555),INDIRECT("L"&amp;($J555+4)),"")</f>
        <v/>
      </c>
      <c r="B555" s="291" t="str">
        <f aca="true">IF(ISNUMBER($J555),INDIRECT("M"&amp;($J555+4)),"")</f>
        <v/>
      </c>
      <c r="C555" s="296" t="str">
        <f aca="true">IF(ISNUMBER($J555),INDIRECT("N"&amp;($J555+4)),"")</f>
        <v/>
      </c>
      <c r="D555" s="291" t="str">
        <f aca="true">IF(ISNUMBER($J555),INDIRECT("O"&amp;($J555+4)),"")</f>
        <v/>
      </c>
      <c r="E555" s="291" t="str">
        <f aca="true">IF(ISNUMBER($J555),INDIRECT("P"&amp;($J555+4)),"")</f>
        <v/>
      </c>
      <c r="F555" s="300" t="str">
        <f aca="true">IF(ISNUMBER($J555),INDIRECT("Q"&amp;($J555+4)),"")</f>
        <v/>
      </c>
      <c r="G555" s="298" t="str">
        <f aca="true">IF(ISNUMBER($J555),INDIRECT("R"&amp;($J555+4)),"")</f>
        <v/>
      </c>
      <c r="H555" s="298" t="str">
        <f aca="true">IF(ISNUMBER($J555),INDIRECT("S"&amp;($J555+4)),"")</f>
        <v/>
      </c>
      <c r="J555" s="292" t="str">
        <f aca="true">IF(551&lt;=$K$1,MATCH(550.5,INDIRECT("$K$4:$K$1374"),1),"")</f>
        <v/>
      </c>
      <c r="K555" s="292" t="n">
        <f aca="false">$K$516+COUNTIF($Q$517:Q555,"&gt;0")</f>
        <v>0</v>
      </c>
      <c r="L555" s="292" t="str">
        <f aca="false">"Наушники и гарнитуры"</f>
        <v>Наушники и гарнитуры</v>
      </c>
      <c r="M555" s="292" t="str">
        <f aca="false">IF(ISBLANK('Наушники и гарнитуры'!$A$22),"",'Наушники и гарнитуры'!$A$22)</f>
        <v>BO39 Melotide BT наушники</v>
      </c>
      <c r="N555" s="292" t="str">
        <f aca="false">IF(ISBLANK('Наушники и гарнитуры'!$D$22),"",'Наушники и гарнитуры'!$D$22)</f>
        <v>6941991130076</v>
      </c>
      <c r="O555" s="292" t="str">
        <f aca="false">IF(ISBLANK('Наушники и гарнитуры'!$E$22),"",'Наушники и гарнитуры'!$E$22)</f>
        <v>чёрный</v>
      </c>
      <c r="P555" s="292" t="str">
        <f aca="false">"ед."</f>
        <v>ед.</v>
      </c>
      <c r="Q555" s="292" t="n">
        <f aca="false">N('Наушники и гарнитуры'!$G$22)</f>
        <v>0</v>
      </c>
      <c r="R555" s="299" t="n">
        <f aca="false">IF(ISBLANK('Наушники и гарнитуры'!$F$22),"",'Наушники и гарнитуры'!$F$22)</f>
        <v>481.13</v>
      </c>
      <c r="S555" s="292" t="str">
        <f aca="false">IF(ISBLANK('Наушники и гарнитуры'!$H$22),"",'Наушники и гарнитуры'!$H$22)</f>
        <v/>
      </c>
    </row>
    <row r="556" customFormat="false" ht="66" hidden="false" customHeight="true" outlineLevel="0" collapsed="false">
      <c r="A556" s="291" t="str">
        <f aca="true">IF(ISNUMBER($J556),INDIRECT("L"&amp;($J556+4)),"")</f>
        <v/>
      </c>
      <c r="B556" s="291" t="str">
        <f aca="true">IF(ISNUMBER($J556),INDIRECT("M"&amp;($J556+4)),"")</f>
        <v/>
      </c>
      <c r="C556" s="296" t="str">
        <f aca="true">IF(ISNUMBER($J556),INDIRECT("N"&amp;($J556+4)),"")</f>
        <v/>
      </c>
      <c r="D556" s="291" t="str">
        <f aca="true">IF(ISNUMBER($J556),INDIRECT("O"&amp;($J556+4)),"")</f>
        <v/>
      </c>
      <c r="E556" s="291" t="str">
        <f aca="true">IF(ISNUMBER($J556),INDIRECT("P"&amp;($J556+4)),"")</f>
        <v/>
      </c>
      <c r="F556" s="300" t="str">
        <f aca="true">IF(ISNUMBER($J556),INDIRECT("Q"&amp;($J556+4)),"")</f>
        <v/>
      </c>
      <c r="G556" s="298" t="str">
        <f aca="true">IF(ISNUMBER($J556),INDIRECT("R"&amp;($J556+4)),"")</f>
        <v/>
      </c>
      <c r="H556" s="298" t="str">
        <f aca="true">IF(ISNUMBER($J556),INDIRECT("S"&amp;($J556+4)),"")</f>
        <v/>
      </c>
      <c r="J556" s="292" t="str">
        <f aca="true">IF(552&lt;=$K$1,MATCH(551.5,INDIRECT("$K$4:$K$1374"),1),"")</f>
        <v/>
      </c>
      <c r="K556" s="292" t="n">
        <f aca="false">$K$516+COUNTIF($Q$517:Q556,"&gt;0")</f>
        <v>0</v>
      </c>
      <c r="L556" s="292" t="str">
        <f aca="false">"Наушники и гарнитуры"</f>
        <v>Наушники и гарнитуры</v>
      </c>
      <c r="M556" s="292" t="str">
        <f aca="false">IF(ISBLANK('Наушники и гарнитуры'!$A$22),"",'Наушники и гарнитуры'!$A$22)</f>
        <v>BO39 Melotide BT наушники</v>
      </c>
      <c r="N556" s="292" t="str">
        <f aca="false">IF(ISBLANK('Наушники и гарнитуры'!$D$23),"",'Наушники и гарнитуры'!$D$23)</f>
        <v>6941991130083</v>
      </c>
      <c r="O556" s="292" t="str">
        <f aca="false">IF(ISBLANK('Наушники и гарнитуры'!$E$23),"",'Наушники и гарнитуры'!$E$23)</f>
        <v>белый</v>
      </c>
      <c r="P556" s="292" t="str">
        <f aca="false">"ед."</f>
        <v>ед.</v>
      </c>
      <c r="Q556" s="292" t="n">
        <f aca="false">N('Наушники и гарнитуры'!$G$23)</f>
        <v>0</v>
      </c>
      <c r="R556" s="299" t="n">
        <f aca="false">IF(ISBLANK('Наушники и гарнитуры'!$F$23),"",'Наушники и гарнитуры'!$F$23)</f>
        <v>481.13</v>
      </c>
      <c r="S556" s="292" t="str">
        <f aca="false">IF(ISBLANK('Наушники и гарнитуры'!$H$23),"",'Наушники и гарнитуры'!$H$23)</f>
        <v/>
      </c>
    </row>
    <row r="557" customFormat="false" ht="66" hidden="false" customHeight="true" outlineLevel="0" collapsed="false">
      <c r="A557" s="291" t="str">
        <f aca="true">IF(ISNUMBER($J557),INDIRECT("L"&amp;($J557+4)),"")</f>
        <v/>
      </c>
      <c r="B557" s="291" t="str">
        <f aca="true">IF(ISNUMBER($J557),INDIRECT("M"&amp;($J557+4)),"")</f>
        <v/>
      </c>
      <c r="C557" s="296" t="str">
        <f aca="true">IF(ISNUMBER($J557),INDIRECT("N"&amp;($J557+4)),"")</f>
        <v/>
      </c>
      <c r="D557" s="291" t="str">
        <f aca="true">IF(ISNUMBER($J557),INDIRECT("O"&amp;($J557+4)),"")</f>
        <v/>
      </c>
      <c r="E557" s="291" t="str">
        <f aca="true">IF(ISNUMBER($J557),INDIRECT("P"&amp;($J557+4)),"")</f>
        <v/>
      </c>
      <c r="F557" s="300" t="str">
        <f aca="true">IF(ISNUMBER($J557),INDIRECT("Q"&amp;($J557+4)),"")</f>
        <v/>
      </c>
      <c r="G557" s="298" t="str">
        <f aca="true">IF(ISNUMBER($J557),INDIRECT("R"&amp;($J557+4)),"")</f>
        <v/>
      </c>
      <c r="H557" s="298" t="str">
        <f aca="true">IF(ISNUMBER($J557),INDIRECT("S"&amp;($J557+4)),"")</f>
        <v/>
      </c>
      <c r="J557" s="292" t="str">
        <f aca="true">IF(553&lt;=$K$1,MATCH(552.5,INDIRECT("$K$4:$K$1374"),1),"")</f>
        <v/>
      </c>
      <c r="K557" s="292" t="n">
        <f aca="false">$K$516+COUNTIF($Q$517:Q557,"&gt;0")</f>
        <v>0</v>
      </c>
      <c r="L557" s="292" t="str">
        <f aca="false">"Наушники и гарнитуры"</f>
        <v>Наушники и гарнитуры</v>
      </c>
      <c r="M557" s="292" t="str">
        <f aca="false">IF(ISBLANK('Наушники и гарнитуры'!$A$24),"",'Наушники и гарнитуры'!$A$24)</f>
        <v>BO36 Tone BT наушники</v>
      </c>
      <c r="N557" s="292" t="str">
        <f aca="false">IF(ISBLANK('Наушники и гарнитуры'!$D$24),"",'Наушники и гарнитуры'!$D$24)</f>
        <v>6941991127090</v>
      </c>
      <c r="O557" s="292" t="str">
        <f aca="false">IF(ISBLANK('Наушники и гарнитуры'!$E$24),"",'Наушники и гарнитуры'!$E$24)</f>
        <v>чёрный</v>
      </c>
      <c r="P557" s="292" t="str">
        <f aca="false">"ед."</f>
        <v>ед.</v>
      </c>
      <c r="Q557" s="292" t="n">
        <f aca="false">N('Наушники и гарнитуры'!$G$24)</f>
        <v>0</v>
      </c>
      <c r="R557" s="299" t="n">
        <f aca="false">IF(ISBLANK('Наушники и гарнитуры'!$F$24),"",'Наушники и гарнитуры'!$F$24)</f>
        <v>693.15</v>
      </c>
      <c r="S557" s="292" t="str">
        <f aca="false">IF(ISBLANK('Наушники и гарнитуры'!$H$24),"",'Наушники и гарнитуры'!$H$24)</f>
        <v/>
      </c>
    </row>
    <row r="558" customFormat="false" ht="66" hidden="false" customHeight="true" outlineLevel="0" collapsed="false">
      <c r="A558" s="291" t="str">
        <f aca="true">IF(ISNUMBER($J558),INDIRECT("L"&amp;($J558+4)),"")</f>
        <v/>
      </c>
      <c r="B558" s="291" t="str">
        <f aca="true">IF(ISNUMBER($J558),INDIRECT("M"&amp;($J558+4)),"")</f>
        <v/>
      </c>
      <c r="C558" s="296" t="str">
        <f aca="true">IF(ISNUMBER($J558),INDIRECT("N"&amp;($J558+4)),"")</f>
        <v/>
      </c>
      <c r="D558" s="291" t="str">
        <f aca="true">IF(ISNUMBER($J558),INDIRECT("O"&amp;($J558+4)),"")</f>
        <v/>
      </c>
      <c r="E558" s="291" t="str">
        <f aca="true">IF(ISNUMBER($J558),INDIRECT("P"&amp;($J558+4)),"")</f>
        <v/>
      </c>
      <c r="F558" s="300" t="str">
        <f aca="true">IF(ISNUMBER($J558),INDIRECT("Q"&amp;($J558+4)),"")</f>
        <v/>
      </c>
      <c r="G558" s="298" t="str">
        <f aca="true">IF(ISNUMBER($J558),INDIRECT("R"&amp;($J558+4)),"")</f>
        <v/>
      </c>
      <c r="H558" s="298" t="str">
        <f aca="true">IF(ISNUMBER($J558),INDIRECT("S"&amp;($J558+4)),"")</f>
        <v/>
      </c>
      <c r="J558" s="292" t="str">
        <f aca="true">IF(554&lt;=$K$1,MATCH(553.5,INDIRECT("$K$4:$K$1374"),1),"")</f>
        <v/>
      </c>
      <c r="K558" s="292" t="n">
        <f aca="false">$K$516+COUNTIF($Q$517:Q558,"&gt;0")</f>
        <v>0</v>
      </c>
      <c r="L558" s="292" t="str">
        <f aca="false">"Наушники и гарнитуры"</f>
        <v>Наушники и гарнитуры</v>
      </c>
      <c r="M558" s="292" t="str">
        <f aca="false">IF(ISBLANK('Наушники и гарнитуры'!$A$24),"",'Наушники и гарнитуры'!$A$24)</f>
        <v>BO36 Tone BT наушники</v>
      </c>
      <c r="N558" s="292" t="str">
        <f aca="false">IF(ISBLANK('Наушники и гарнитуры'!$D$25),"",'Наушники и гарнитуры'!$D$25)</f>
        <v>6941991127106</v>
      </c>
      <c r="O558" s="292" t="str">
        <f aca="false">IF(ISBLANK('Наушники и гарнитуры'!$E$25),"",'Наушники и гарнитуры'!$E$25)</f>
        <v>серебро</v>
      </c>
      <c r="P558" s="292" t="str">
        <f aca="false">"ед."</f>
        <v>ед.</v>
      </c>
      <c r="Q558" s="292" t="n">
        <f aca="false">N('Наушники и гарнитуры'!$G$25)</f>
        <v>0</v>
      </c>
      <c r="R558" s="299" t="n">
        <f aca="false">IF(ISBLANK('Наушники и гарнитуры'!$F$25),"",'Наушники и гарнитуры'!$F$25)</f>
        <v>693.15</v>
      </c>
      <c r="S558" s="292" t="str">
        <f aca="false">IF(ISBLANK('Наушники и гарнитуры'!$H$25),"",'Наушники и гарнитуры'!$H$25)</f>
        <v/>
      </c>
    </row>
    <row r="559" customFormat="false" ht="66" hidden="false" customHeight="true" outlineLevel="0" collapsed="false">
      <c r="A559" s="291" t="str">
        <f aca="true">IF(ISNUMBER($J559),INDIRECT("L"&amp;($J559+4)),"")</f>
        <v/>
      </c>
      <c r="B559" s="291" t="str">
        <f aca="true">IF(ISNUMBER($J559),INDIRECT("M"&amp;($J559+4)),"")</f>
        <v/>
      </c>
      <c r="C559" s="296" t="str">
        <f aca="true">IF(ISNUMBER($J559),INDIRECT("N"&amp;($J559+4)),"")</f>
        <v/>
      </c>
      <c r="D559" s="291" t="str">
        <f aca="true">IF(ISNUMBER($J559),INDIRECT("O"&amp;($J559+4)),"")</f>
        <v/>
      </c>
      <c r="E559" s="291" t="str">
        <f aca="true">IF(ISNUMBER($J559),INDIRECT("P"&amp;($J559+4)),"")</f>
        <v/>
      </c>
      <c r="F559" s="300" t="str">
        <f aca="true">IF(ISNUMBER($J559),INDIRECT("Q"&amp;($J559+4)),"")</f>
        <v/>
      </c>
      <c r="G559" s="298" t="str">
        <f aca="true">IF(ISNUMBER($J559),INDIRECT("R"&amp;($J559+4)),"")</f>
        <v/>
      </c>
      <c r="H559" s="298" t="str">
        <f aca="true">IF(ISNUMBER($J559),INDIRECT("S"&amp;($J559+4)),"")</f>
        <v/>
      </c>
      <c r="J559" s="292" t="str">
        <f aca="true">IF(555&lt;=$K$1,MATCH(554.5,INDIRECT("$K$4:$K$1374"),1),"")</f>
        <v/>
      </c>
      <c r="K559" s="292" t="n">
        <f aca="false">$K$516+COUNTIF($Q$517:Q559,"&gt;0")</f>
        <v>0</v>
      </c>
      <c r="L559" s="292" t="str">
        <f aca="false">"Наушники и гарнитуры"</f>
        <v>Наушники и гарнитуры</v>
      </c>
      <c r="M559" s="292" t="str">
        <f aca="false">IF(ISBLANK('Наушники и гарнитуры'!$A$26),"",'Наушники и гарнитуры'!$A$26)</f>
        <v>BO32 Show BT наушники</v>
      </c>
      <c r="N559" s="292" t="str">
        <f aca="false">IF(ISBLANK('Наушники и гарнитуры'!$D$26),"",'Наушники и гарнитуры'!$D$26)</f>
        <v>6941991118722</v>
      </c>
      <c r="O559" s="292" t="str">
        <f aca="false">IF(ISBLANK('Наушники и гарнитуры'!$E$26),"",'Наушники и гарнитуры'!$E$26)</f>
        <v>чёрный</v>
      </c>
      <c r="P559" s="292" t="str">
        <f aca="false">"ед."</f>
        <v>ед.</v>
      </c>
      <c r="Q559" s="292" t="n">
        <f aca="false">N('Наушники и гарнитуры'!$G$26)</f>
        <v>0</v>
      </c>
      <c r="R559" s="299" t="n">
        <f aca="false">IF(ISBLANK('Наушники и гарнитуры'!$F$26),"",'Наушники и гарнитуры'!$F$26)</f>
        <v>481.13</v>
      </c>
      <c r="S559" s="292" t="str">
        <f aca="false">IF(ISBLANK('Наушники и гарнитуры'!$H$26),"",'Наушники и гарнитуры'!$H$26)</f>
        <v/>
      </c>
    </row>
    <row r="560" customFormat="false" ht="66" hidden="false" customHeight="true" outlineLevel="0" collapsed="false">
      <c r="A560" s="291" t="str">
        <f aca="true">IF(ISNUMBER($J560),INDIRECT("L"&amp;($J560+4)),"")</f>
        <v/>
      </c>
      <c r="B560" s="291" t="str">
        <f aca="true">IF(ISNUMBER($J560),INDIRECT("M"&amp;($J560+4)),"")</f>
        <v/>
      </c>
      <c r="C560" s="296" t="str">
        <f aca="true">IF(ISNUMBER($J560),INDIRECT("N"&amp;($J560+4)),"")</f>
        <v/>
      </c>
      <c r="D560" s="291" t="str">
        <f aca="true">IF(ISNUMBER($J560),INDIRECT("O"&amp;($J560+4)),"")</f>
        <v/>
      </c>
      <c r="E560" s="291" t="str">
        <f aca="true">IF(ISNUMBER($J560),INDIRECT("P"&amp;($J560+4)),"")</f>
        <v/>
      </c>
      <c r="F560" s="300" t="str">
        <f aca="true">IF(ISNUMBER($J560),INDIRECT("Q"&amp;($J560+4)),"")</f>
        <v/>
      </c>
      <c r="G560" s="298" t="str">
        <f aca="true">IF(ISNUMBER($J560),INDIRECT("R"&amp;($J560+4)),"")</f>
        <v/>
      </c>
      <c r="H560" s="298" t="str">
        <f aca="true">IF(ISNUMBER($J560),INDIRECT("S"&amp;($J560+4)),"")</f>
        <v/>
      </c>
      <c r="J560" s="292" t="str">
        <f aca="true">IF(556&lt;=$K$1,MATCH(555.5,INDIRECT("$K$4:$K$1374"),1),"")</f>
        <v/>
      </c>
      <c r="K560" s="292" t="n">
        <f aca="false">$K$516+COUNTIF($Q$517:Q560,"&gt;0")</f>
        <v>0</v>
      </c>
      <c r="L560" s="292" t="str">
        <f aca="false">"Наушники и гарнитуры"</f>
        <v>Наушники и гарнитуры</v>
      </c>
      <c r="M560" s="292" t="str">
        <f aca="false">IF(ISBLANK('Наушники и гарнитуры'!$A$27),"",'Наушники и гарнитуры'!$A$27)</f>
        <v>BO5 Star sound беспроводные наушники</v>
      </c>
      <c r="N560" s="292" t="str">
        <f aca="false">IF(ISBLANK('Наушники и гарнитуры'!$D$27),"",'Наушники и гарнитуры'!$D$27)</f>
        <v>6931474709912</v>
      </c>
      <c r="O560" s="292" t="str">
        <f aca="false">IF(ISBLANK('Наушники и гарнитуры'!$E$27),"",'Наушники и гарнитуры'!$E$27)</f>
        <v>черный</v>
      </c>
      <c r="P560" s="292" t="str">
        <f aca="false">"ед."</f>
        <v>ед.</v>
      </c>
      <c r="Q560" s="292" t="n">
        <f aca="false">N('Наушники и гарнитуры'!$G$27)</f>
        <v>0</v>
      </c>
      <c r="R560" s="299" t="n">
        <f aca="false">IF(ISBLANK('Наушники и гарнитуры'!$F$27),"",'Наушники и гарнитуры'!$F$27)</f>
        <v>285.41</v>
      </c>
      <c r="S560" s="292" t="str">
        <f aca="false">IF(ISBLANK('Наушники и гарнитуры'!$H$27),"",'Наушники и гарнитуры'!$H$27)</f>
        <v/>
      </c>
    </row>
    <row r="561" customFormat="false" ht="66" hidden="false" customHeight="true" outlineLevel="0" collapsed="false">
      <c r="A561" s="291" t="str">
        <f aca="true">IF(ISNUMBER($J561),INDIRECT("L"&amp;($J561+4)),"")</f>
        <v/>
      </c>
      <c r="B561" s="291" t="str">
        <f aca="true">IF(ISNUMBER($J561),INDIRECT("M"&amp;($J561+4)),"")</f>
        <v/>
      </c>
      <c r="C561" s="296" t="str">
        <f aca="true">IF(ISNUMBER($J561),INDIRECT("N"&amp;($J561+4)),"")</f>
        <v/>
      </c>
      <c r="D561" s="291" t="str">
        <f aca="true">IF(ISNUMBER($J561),INDIRECT("O"&amp;($J561+4)),"")</f>
        <v/>
      </c>
      <c r="E561" s="291" t="str">
        <f aca="true">IF(ISNUMBER($J561),INDIRECT("P"&amp;($J561+4)),"")</f>
        <v/>
      </c>
      <c r="F561" s="300" t="str">
        <f aca="true">IF(ISNUMBER($J561),INDIRECT("Q"&amp;($J561+4)),"")</f>
        <v/>
      </c>
      <c r="G561" s="298" t="str">
        <f aca="true">IF(ISNUMBER($J561),INDIRECT("R"&amp;($J561+4)),"")</f>
        <v/>
      </c>
      <c r="H561" s="298" t="str">
        <f aca="true">IF(ISNUMBER($J561),INDIRECT("S"&amp;($J561+4)),"")</f>
        <v/>
      </c>
      <c r="J561" s="292" t="str">
        <f aca="true">IF(557&lt;=$K$1,MATCH(556.5,INDIRECT("$K$4:$K$1374"),1),"")</f>
        <v/>
      </c>
      <c r="K561" s="292" t="n">
        <f aca="false">$K$516+COUNTIF($Q$517:Q561,"&gt;0")</f>
        <v>0</v>
      </c>
      <c r="L561" s="292" t="str">
        <f aca="false">"Наушники и гарнитуры"</f>
        <v>Наушники и гарнитуры</v>
      </c>
      <c r="M561" s="292" t="str">
        <f aca="false">IF(ISBLANK('Наушники и гарнитуры'!$A$30),"",'Наушники и гарнитуры'!$A$30)</f>
        <v>BM96 Brilliant универсальные цифровые наушники с микрофоном iP</v>
      </c>
      <c r="N561" s="292" t="str">
        <f aca="false">IF(ISBLANK('Наушники и гарнитуры'!$D$30),"",'Наушники и гарнитуры'!$D$30)</f>
        <v>6941991118104</v>
      </c>
      <c r="O561" s="292" t="str">
        <f aca="false">IF(ISBLANK('Наушники и гарнитуры'!$E$30),"",'Наушники и гарнитуры'!$E$30)</f>
        <v>белый</v>
      </c>
      <c r="P561" s="292" t="str">
        <f aca="false">"ед."</f>
        <v>ед.</v>
      </c>
      <c r="Q561" s="292" t="n">
        <f aca="false">N('Наушники и гарнитуры'!$G$30)</f>
        <v>0</v>
      </c>
      <c r="R561" s="299" t="n">
        <f aca="false">IF(ISBLANK('Наушники и гарнитуры'!$F$30),"",'Наушники и гарнитуры'!$F$30)</f>
        <v>309.88</v>
      </c>
      <c r="S561" s="292" t="str">
        <f aca="false">IF(ISBLANK('Наушники и гарнитуры'!$H$30),"",'Наушники и гарнитуры'!$H$30)</f>
        <v/>
      </c>
    </row>
    <row r="562" customFormat="false" ht="66" hidden="false" customHeight="true" outlineLevel="0" collapsed="false">
      <c r="A562" s="291" t="str">
        <f aca="true">IF(ISNUMBER($J562),INDIRECT("L"&amp;($J562+4)),"")</f>
        <v/>
      </c>
      <c r="B562" s="291" t="str">
        <f aca="true">IF(ISNUMBER($J562),INDIRECT("M"&amp;($J562+4)),"")</f>
        <v/>
      </c>
      <c r="C562" s="296" t="str">
        <f aca="true">IF(ISNUMBER($J562),INDIRECT("N"&amp;($J562+4)),"")</f>
        <v/>
      </c>
      <c r="D562" s="291" t="str">
        <f aca="true">IF(ISNUMBER($J562),INDIRECT("O"&amp;($J562+4)),"")</f>
        <v/>
      </c>
      <c r="E562" s="291" t="str">
        <f aca="true">IF(ISNUMBER($J562),INDIRECT("P"&amp;($J562+4)),"")</f>
        <v/>
      </c>
      <c r="F562" s="300" t="str">
        <f aca="true">IF(ISNUMBER($J562),INDIRECT("Q"&amp;($J562+4)),"")</f>
        <v/>
      </c>
      <c r="G562" s="298" t="str">
        <f aca="true">IF(ISNUMBER($J562),INDIRECT("R"&amp;($J562+4)),"")</f>
        <v/>
      </c>
      <c r="H562" s="298" t="str">
        <f aca="true">IF(ISNUMBER($J562),INDIRECT("S"&amp;($J562+4)),"")</f>
        <v/>
      </c>
      <c r="J562" s="292" t="str">
        <f aca="true">IF(558&lt;=$K$1,MATCH(557.5,INDIRECT("$K$4:$K$1374"),1),"")</f>
        <v/>
      </c>
      <c r="K562" s="292" t="n">
        <f aca="false">$K$516+COUNTIF($Q$517:Q562,"&gt;0")</f>
        <v>0</v>
      </c>
      <c r="L562" s="292" t="str">
        <f aca="false">"Наушники и гарнитуры"</f>
        <v>Наушники и гарнитуры</v>
      </c>
      <c r="M562" s="292" t="str">
        <f aca="false">IF(ISBLANK('Наушники и гарнитуры'!$A$33),"",'Наушники и гарнитуры'!$A$33)</f>
        <v>BM100 Fuente универсальные цифровые наушники с микрофоном Type-C</v>
      </c>
      <c r="N562" s="292" t="str">
        <f aca="false">IF(ISBLANK('Наушники и гарнитуры'!$D$33),"",'Наушники и гарнитуры'!$D$33)</f>
        <v>6941991121739</v>
      </c>
      <c r="O562" s="292" t="str">
        <f aca="false">IF(ISBLANK('Наушники и гарнитуры'!$E$33),"",'Наушники и гарнитуры'!$E$33)</f>
        <v>черный</v>
      </c>
      <c r="P562" s="292" t="str">
        <f aca="false">"ед."</f>
        <v>ед.</v>
      </c>
      <c r="Q562" s="292" t="n">
        <f aca="false">N('Наушники и гарнитуры'!$G$33)</f>
        <v>0</v>
      </c>
      <c r="R562" s="299" t="n">
        <f aca="false">IF(ISBLANK('Наушники и гарнитуры'!$F$33),"",'Наушники и гарнитуры'!$F$33)</f>
        <v>96.23</v>
      </c>
      <c r="S562" s="292" t="str">
        <f aca="false">IF(ISBLANK('Наушники и гарнитуры'!$H$33),"",'Наушники и гарнитуры'!$H$33)</f>
        <v/>
      </c>
    </row>
    <row r="563" customFormat="false" ht="66" hidden="false" customHeight="true" outlineLevel="0" collapsed="false">
      <c r="A563" s="291" t="str">
        <f aca="true">IF(ISNUMBER($J563),INDIRECT("L"&amp;($J563+4)),"")</f>
        <v/>
      </c>
      <c r="B563" s="291" t="str">
        <f aca="true">IF(ISNUMBER($J563),INDIRECT("M"&amp;($J563+4)),"")</f>
        <v/>
      </c>
      <c r="C563" s="296" t="str">
        <f aca="true">IF(ISNUMBER($J563),INDIRECT("N"&amp;($J563+4)),"")</f>
        <v/>
      </c>
      <c r="D563" s="291" t="str">
        <f aca="true">IF(ISNUMBER($J563),INDIRECT("O"&amp;($J563+4)),"")</f>
        <v/>
      </c>
      <c r="E563" s="291" t="str">
        <f aca="true">IF(ISNUMBER($J563),INDIRECT("P"&amp;($J563+4)),"")</f>
        <v/>
      </c>
      <c r="F563" s="300" t="str">
        <f aca="true">IF(ISNUMBER($J563),INDIRECT("Q"&amp;($J563+4)),"")</f>
        <v/>
      </c>
      <c r="G563" s="298" t="str">
        <f aca="true">IF(ISNUMBER($J563),INDIRECT("R"&amp;($J563+4)),"")</f>
        <v/>
      </c>
      <c r="H563" s="298" t="str">
        <f aca="true">IF(ISNUMBER($J563),INDIRECT("S"&amp;($J563+4)),"")</f>
        <v/>
      </c>
      <c r="J563" s="292" t="str">
        <f aca="true">IF(559&lt;=$K$1,MATCH(558.5,INDIRECT("$K$4:$K$1374"),1),"")</f>
        <v/>
      </c>
      <c r="K563" s="292" t="n">
        <f aca="false">$K$516+COUNTIF($Q$517:Q563,"&gt;0")</f>
        <v>0</v>
      </c>
      <c r="L563" s="292" t="str">
        <f aca="false">"Наушники и гарнитуры"</f>
        <v>Наушники и гарнитуры</v>
      </c>
      <c r="M563" s="292" t="str">
        <f aca="false">IF(ISBLANK('Наушники и гарнитуры'!$A$33),"",'Наушники и гарнитуры'!$A$33)</f>
        <v>BM100 Fuente универсальные цифровые наушники с микрофоном Type-C</v>
      </c>
      <c r="N563" s="292" t="str">
        <f aca="false">IF(ISBLANK('Наушники и гарнитуры'!$D$34),"",'Наушники и гарнитуры'!$D$34)</f>
        <v>6941991121746</v>
      </c>
      <c r="O563" s="292" t="str">
        <f aca="false">IF(ISBLANK('Наушники и гарнитуры'!$E$34),"",'Наушники и гарнитуры'!$E$34)</f>
        <v>белый</v>
      </c>
      <c r="P563" s="292" t="str">
        <f aca="false">"ед."</f>
        <v>ед.</v>
      </c>
      <c r="Q563" s="292" t="n">
        <f aca="false">N('Наушники и гарнитуры'!$G$34)</f>
        <v>0</v>
      </c>
      <c r="R563" s="299" t="n">
        <f aca="false">IF(ISBLANK('Наушники и гарнитуры'!$F$34),"",'Наушники и гарнитуры'!$F$34)</f>
        <v>96.23</v>
      </c>
      <c r="S563" s="292" t="str">
        <f aca="false">IF(ISBLANK('Наушники и гарнитуры'!$H$34),"",'Наушники и гарнитуры'!$H$34)</f>
        <v/>
      </c>
    </row>
    <row r="564" customFormat="false" ht="66" hidden="false" customHeight="true" outlineLevel="0" collapsed="false">
      <c r="A564" s="291" t="str">
        <f aca="true">IF(ISNUMBER($J564),INDIRECT("L"&amp;($J564+4)),"")</f>
        <v/>
      </c>
      <c r="B564" s="291" t="str">
        <f aca="true">IF(ISNUMBER($J564),INDIRECT("M"&amp;($J564+4)),"")</f>
        <v/>
      </c>
      <c r="C564" s="296" t="str">
        <f aca="true">IF(ISNUMBER($J564),INDIRECT("N"&amp;($J564+4)),"")</f>
        <v/>
      </c>
      <c r="D564" s="291" t="str">
        <f aca="true">IF(ISNUMBER($J564),INDIRECT("O"&amp;($J564+4)),"")</f>
        <v/>
      </c>
      <c r="E564" s="291" t="str">
        <f aca="true">IF(ISNUMBER($J564),INDIRECT("P"&amp;($J564+4)),"")</f>
        <v/>
      </c>
      <c r="F564" s="300" t="str">
        <f aca="true">IF(ISNUMBER($J564),INDIRECT("Q"&amp;($J564+4)),"")</f>
        <v/>
      </c>
      <c r="G564" s="298" t="str">
        <f aca="true">IF(ISNUMBER($J564),INDIRECT("R"&amp;($J564+4)),"")</f>
        <v/>
      </c>
      <c r="H564" s="298" t="str">
        <f aca="true">IF(ISNUMBER($J564),INDIRECT("S"&amp;($J564+4)),"")</f>
        <v/>
      </c>
      <c r="J564" s="292" t="str">
        <f aca="true">IF(560&lt;=$K$1,MATCH(559.5,INDIRECT("$K$4:$K$1374"),1),"")</f>
        <v/>
      </c>
      <c r="K564" s="292" t="n">
        <f aca="false">$K$516+COUNTIF($Q$517:Q564,"&gt;0")</f>
        <v>0</v>
      </c>
      <c r="L564" s="292" t="str">
        <f aca="false">"Наушники и гарнитуры"</f>
        <v>Наушники и гарнитуры</v>
      </c>
      <c r="M564" s="292" t="str">
        <f aca="false">IF(ISBLANK('Наушники и гарнитуры'!$A$35),"",'Наушники и гарнитуры'!$A$35)</f>
        <v>BM100 Pro Fuente универсальные цифровые наушники с микрофоном Type-C</v>
      </c>
      <c r="N564" s="292" t="str">
        <f aca="false">IF(ISBLANK('Наушники и гарнитуры'!$D$35),"",'Наушники и гарнитуры'!$D$35)</f>
        <v>6941991121777</v>
      </c>
      <c r="O564" s="292" t="str">
        <f aca="false">IF(ISBLANK('Наушники и гарнитуры'!$E$35),"",'Наушники и гарнитуры'!$E$35)</f>
        <v>черный</v>
      </c>
      <c r="P564" s="292" t="str">
        <f aca="false">"ед."</f>
        <v>ед.</v>
      </c>
      <c r="Q564" s="292" t="n">
        <f aca="false">N('Наушники и гарнитуры'!$G$35)</f>
        <v>0</v>
      </c>
      <c r="R564" s="299" t="n">
        <f aca="false">IF(ISBLANK('Наушники и гарнитуры'!$F$35),"",'Наушники и гарнитуры'!$F$35)</f>
        <v>99.49</v>
      </c>
      <c r="S564" s="292" t="str">
        <f aca="false">IF(ISBLANK('Наушники и гарнитуры'!$H$35),"",'Наушники и гарнитуры'!$H$35)</f>
        <v/>
      </c>
    </row>
    <row r="565" customFormat="false" ht="66" hidden="false" customHeight="true" outlineLevel="0" collapsed="false">
      <c r="A565" s="291" t="str">
        <f aca="true">IF(ISNUMBER($J565),INDIRECT("L"&amp;($J565+4)),"")</f>
        <v/>
      </c>
      <c r="B565" s="291" t="str">
        <f aca="true">IF(ISNUMBER($J565),INDIRECT("M"&amp;($J565+4)),"")</f>
        <v/>
      </c>
      <c r="C565" s="296" t="str">
        <f aca="true">IF(ISNUMBER($J565),INDIRECT("N"&amp;($J565+4)),"")</f>
        <v/>
      </c>
      <c r="D565" s="291" t="str">
        <f aca="true">IF(ISNUMBER($J565),INDIRECT("O"&amp;($J565+4)),"")</f>
        <v/>
      </c>
      <c r="E565" s="291" t="str">
        <f aca="true">IF(ISNUMBER($J565),INDIRECT("P"&amp;($J565+4)),"")</f>
        <v/>
      </c>
      <c r="F565" s="300" t="str">
        <f aca="true">IF(ISNUMBER($J565),INDIRECT("Q"&amp;($J565+4)),"")</f>
        <v/>
      </c>
      <c r="G565" s="298" t="str">
        <f aca="true">IF(ISNUMBER($J565),INDIRECT("R"&amp;($J565+4)),"")</f>
        <v/>
      </c>
      <c r="H565" s="298" t="str">
        <f aca="true">IF(ISNUMBER($J565),INDIRECT("S"&amp;($J565+4)),"")</f>
        <v/>
      </c>
      <c r="J565" s="292" t="str">
        <f aca="true">IF(561&lt;=$K$1,MATCH(560.5,INDIRECT("$K$4:$K$1374"),1),"")</f>
        <v/>
      </c>
      <c r="K565" s="292" t="n">
        <f aca="false">$K$516+COUNTIF($Q$517:Q565,"&gt;0")</f>
        <v>0</v>
      </c>
      <c r="L565" s="292" t="str">
        <f aca="false">"Наушники и гарнитуры"</f>
        <v>Наушники и гарнитуры</v>
      </c>
      <c r="M565" s="292" t="str">
        <f aca="false">IF(ISBLANK('Наушники и гарнитуры'!$A$35),"",'Наушники и гарнитуры'!$A$35)</f>
        <v>BM100 Pro Fuente универсальные цифровые наушники с микрофоном Type-C</v>
      </c>
      <c r="N565" s="292" t="str">
        <f aca="false">IF(ISBLANK('Наушники и гарнитуры'!$D$36),"",'Наушники и гарнитуры'!$D$36)</f>
        <v>6941991121784</v>
      </c>
      <c r="O565" s="292" t="str">
        <f aca="false">IF(ISBLANK('Наушники и гарнитуры'!$E$36),"",'Наушники и гарнитуры'!$E$36)</f>
        <v>белый</v>
      </c>
      <c r="P565" s="292" t="str">
        <f aca="false">"ед."</f>
        <v>ед.</v>
      </c>
      <c r="Q565" s="292" t="n">
        <f aca="false">N('Наушники и гарнитуры'!$G$36)</f>
        <v>0</v>
      </c>
      <c r="R565" s="299" t="n">
        <f aca="false">IF(ISBLANK('Наушники и гарнитуры'!$F$36),"",'Наушники и гарнитуры'!$F$36)</f>
        <v>99.49</v>
      </c>
      <c r="S565" s="292" t="str">
        <f aca="false">IF(ISBLANK('Наушники и гарнитуры'!$H$36),"",'Наушники и гарнитуры'!$H$36)</f>
        <v/>
      </c>
    </row>
    <row r="566" customFormat="false" ht="66" hidden="false" customHeight="true" outlineLevel="0" collapsed="false">
      <c r="A566" s="291" t="str">
        <f aca="true">IF(ISNUMBER($J566),INDIRECT("L"&amp;($J566+4)),"")</f>
        <v/>
      </c>
      <c r="B566" s="291" t="str">
        <f aca="true">IF(ISNUMBER($J566),INDIRECT("M"&amp;($J566+4)),"")</f>
        <v/>
      </c>
      <c r="C566" s="296" t="str">
        <f aca="true">IF(ISNUMBER($J566),INDIRECT("N"&amp;($J566+4)),"")</f>
        <v/>
      </c>
      <c r="D566" s="291" t="str">
        <f aca="true">IF(ISNUMBER($J566),INDIRECT("O"&amp;($J566+4)),"")</f>
        <v/>
      </c>
      <c r="E566" s="291" t="str">
        <f aca="true">IF(ISNUMBER($J566),INDIRECT("P"&amp;($J566+4)),"")</f>
        <v/>
      </c>
      <c r="F566" s="300" t="str">
        <f aca="true">IF(ISNUMBER($J566),INDIRECT("Q"&amp;($J566+4)),"")</f>
        <v/>
      </c>
      <c r="G566" s="298" t="str">
        <f aca="true">IF(ISNUMBER($J566),INDIRECT("R"&amp;($J566+4)),"")</f>
        <v/>
      </c>
      <c r="H566" s="298" t="str">
        <f aca="true">IF(ISNUMBER($J566),INDIRECT("S"&amp;($J566+4)),"")</f>
        <v/>
      </c>
      <c r="J566" s="292" t="str">
        <f aca="true">IF(562&lt;=$K$1,MATCH(561.5,INDIRECT("$K$4:$K$1374"),1),"")</f>
        <v/>
      </c>
      <c r="K566" s="292" t="n">
        <f aca="false">$K$516+COUNTIF($Q$517:Q566,"&gt;0")</f>
        <v>0</v>
      </c>
      <c r="L566" s="292" t="str">
        <f aca="false">"Наушники и гарнитуры"</f>
        <v>Наушники и гарнитуры</v>
      </c>
      <c r="M566" s="292" t="str">
        <f aca="false">IF(ISBLANK('Наушники и гарнитуры'!$A$37),"",'Наушники и гарнитуры'!$A$37)</f>
        <v>BM100 Max Fuente универсальные цифровые наушники с микрофоном Type-C</v>
      </c>
      <c r="N566" s="292" t="str">
        <f aca="false">IF(ISBLANK('Наушники и гарнитуры'!$D$37),"",'Наушники и гарнитуры'!$D$37)</f>
        <v>6941991121814</v>
      </c>
      <c r="O566" s="292" t="str">
        <f aca="false">IF(ISBLANK('Наушники и гарнитуры'!$E$37),"",'Наушники и гарнитуры'!$E$37)</f>
        <v>черный</v>
      </c>
      <c r="P566" s="292" t="str">
        <f aca="false">"ед."</f>
        <v>ед.</v>
      </c>
      <c r="Q566" s="292" t="n">
        <f aca="false">N('Наушники и гарнитуры'!$G$37)</f>
        <v>0</v>
      </c>
      <c r="R566" s="299" t="n">
        <f aca="false">IF(ISBLANK('Наушники и гарнитуры'!$F$37),"",'Наушники и гарнитуры'!$F$37)</f>
        <v>96.23</v>
      </c>
      <c r="S566" s="292" t="str">
        <f aca="false">IF(ISBLANK('Наушники и гарнитуры'!$H$37),"",'Наушники и гарнитуры'!$H$37)</f>
        <v/>
      </c>
    </row>
    <row r="567" customFormat="false" ht="66" hidden="false" customHeight="true" outlineLevel="0" collapsed="false">
      <c r="A567" s="291" t="str">
        <f aca="true">IF(ISNUMBER($J567),INDIRECT("L"&amp;($J567+4)),"")</f>
        <v/>
      </c>
      <c r="B567" s="291" t="str">
        <f aca="true">IF(ISNUMBER($J567),INDIRECT("M"&amp;($J567+4)),"")</f>
        <v/>
      </c>
      <c r="C567" s="296" t="str">
        <f aca="true">IF(ISNUMBER($J567),INDIRECT("N"&amp;($J567+4)),"")</f>
        <v/>
      </c>
      <c r="D567" s="291" t="str">
        <f aca="true">IF(ISNUMBER($J567),INDIRECT("O"&amp;($J567+4)),"")</f>
        <v/>
      </c>
      <c r="E567" s="291" t="str">
        <f aca="true">IF(ISNUMBER($J567),INDIRECT("P"&amp;($J567+4)),"")</f>
        <v/>
      </c>
      <c r="F567" s="300" t="str">
        <f aca="true">IF(ISNUMBER($J567),INDIRECT("Q"&amp;($J567+4)),"")</f>
        <v/>
      </c>
      <c r="G567" s="298" t="str">
        <f aca="true">IF(ISNUMBER($J567),INDIRECT("R"&amp;($J567+4)),"")</f>
        <v/>
      </c>
      <c r="H567" s="298" t="str">
        <f aca="true">IF(ISNUMBER($J567),INDIRECT("S"&amp;($J567+4)),"")</f>
        <v/>
      </c>
      <c r="J567" s="292" t="str">
        <f aca="true">IF(563&lt;=$K$1,MATCH(562.5,INDIRECT("$K$4:$K$1374"),1),"")</f>
        <v/>
      </c>
      <c r="K567" s="292" t="n">
        <f aca="false">$K$516+COUNTIF($Q$517:Q567,"&gt;0")</f>
        <v>0</v>
      </c>
      <c r="L567" s="292" t="str">
        <f aca="false">"Наушники и гарнитуры"</f>
        <v>Наушники и гарнитуры</v>
      </c>
      <c r="M567" s="292" t="str">
        <f aca="false">IF(ISBLANK('Наушники и гарнитуры'!$A$37),"",'Наушники и гарнитуры'!$A$37)</f>
        <v>BM100 Max Fuente универсальные цифровые наушники с микрофоном Type-C</v>
      </c>
      <c r="N567" s="292" t="str">
        <f aca="false">IF(ISBLANK('Наушники и гарнитуры'!$D$38),"",'Наушники и гарнитуры'!$D$38)</f>
        <v>6941991121821</v>
      </c>
      <c r="O567" s="292" t="str">
        <f aca="false">IF(ISBLANK('Наушники и гарнитуры'!$E$38),"",'Наушники и гарнитуры'!$E$38)</f>
        <v>белый</v>
      </c>
      <c r="P567" s="292" t="str">
        <f aca="false">"ед."</f>
        <v>ед.</v>
      </c>
      <c r="Q567" s="292" t="n">
        <f aca="false">N('Наушники и гарнитуры'!$G$38)</f>
        <v>0</v>
      </c>
      <c r="R567" s="299" t="n">
        <f aca="false">IF(ISBLANK('Наушники и гарнитуры'!$F$38),"",'Наушники и гарнитуры'!$F$38)</f>
        <v>96.23</v>
      </c>
      <c r="S567" s="292" t="str">
        <f aca="false">IF(ISBLANK('Наушники и гарнитуры'!$H$38),"",'Наушники и гарнитуры'!$H$38)</f>
        <v/>
      </c>
    </row>
    <row r="568" customFormat="false" ht="66" hidden="false" customHeight="true" outlineLevel="0" collapsed="false">
      <c r="A568" s="291" t="str">
        <f aca="true">IF(ISNUMBER($J568),INDIRECT("L"&amp;($J568+4)),"")</f>
        <v/>
      </c>
      <c r="B568" s="291" t="str">
        <f aca="true">IF(ISNUMBER($J568),INDIRECT("M"&amp;($J568+4)),"")</f>
        <v/>
      </c>
      <c r="C568" s="296" t="str">
        <f aca="true">IF(ISNUMBER($J568),INDIRECT("N"&amp;($J568+4)),"")</f>
        <v/>
      </c>
      <c r="D568" s="291" t="str">
        <f aca="true">IF(ISNUMBER($J568),INDIRECT("O"&amp;($J568+4)),"")</f>
        <v/>
      </c>
      <c r="E568" s="291" t="str">
        <f aca="true">IF(ISNUMBER($J568),INDIRECT("P"&amp;($J568+4)),"")</f>
        <v/>
      </c>
      <c r="F568" s="300" t="str">
        <f aca="true">IF(ISNUMBER($J568),INDIRECT("Q"&amp;($J568+4)),"")</f>
        <v/>
      </c>
      <c r="G568" s="298" t="str">
        <f aca="true">IF(ISNUMBER($J568),INDIRECT("R"&amp;($J568+4)),"")</f>
        <v/>
      </c>
      <c r="H568" s="298" t="str">
        <f aca="true">IF(ISNUMBER($J568),INDIRECT("S"&amp;($J568+4)),"")</f>
        <v/>
      </c>
      <c r="J568" s="292" t="str">
        <f aca="true">IF(564&lt;=$K$1,MATCH(563.5,INDIRECT("$K$4:$K$1374"),1),"")</f>
        <v/>
      </c>
      <c r="K568" s="292" t="n">
        <f aca="false">$K$516+COUNTIF($Q$517:Q568,"&gt;0")</f>
        <v>0</v>
      </c>
      <c r="L568" s="292" t="str">
        <f aca="false">"Наушники и гарнитуры"</f>
        <v>Наушники и гарнитуры</v>
      </c>
      <c r="M568" s="292" t="str">
        <f aca="false">IF(ISBLANK('Наушники и гарнитуры'!$A$39),"",'Наушники и гарнитуры'!$A$39)</f>
        <v>BM98 Type-C Solaris цифровые наушники</v>
      </c>
      <c r="N568" s="292" t="str">
        <f aca="false">IF(ISBLANK('Наушники и гарнитуры'!$D$39),"",'Наушники и гарнитуры'!$D$39)</f>
        <v>6941991130052</v>
      </c>
      <c r="O568" s="292" t="str">
        <f aca="false">IF(ISBLANK('Наушники и гарнитуры'!$E$39),"",'Наушники и гарнитуры'!$E$39)</f>
        <v>черный</v>
      </c>
      <c r="P568" s="292" t="str">
        <f aca="false">"ед."</f>
        <v>ед.</v>
      </c>
      <c r="Q568" s="292" t="n">
        <f aca="false">N('Наушники и гарнитуры'!$G$39)</f>
        <v>0</v>
      </c>
      <c r="R568" s="299" t="n">
        <f aca="false">IF(ISBLANK('Наушники и гарнитуры'!$F$39),"",'Наушники и гарнитуры'!$F$39)</f>
        <v>187.56</v>
      </c>
      <c r="S568" s="292" t="str">
        <f aca="false">IF(ISBLANK('Наушники и гарнитуры'!$H$39),"",'Наушники и гарнитуры'!$H$39)</f>
        <v/>
      </c>
    </row>
    <row r="569" customFormat="false" ht="66" hidden="false" customHeight="true" outlineLevel="0" collapsed="false">
      <c r="A569" s="291" t="str">
        <f aca="true">IF(ISNUMBER($J569),INDIRECT("L"&amp;($J569+4)),"")</f>
        <v/>
      </c>
      <c r="B569" s="291" t="str">
        <f aca="true">IF(ISNUMBER($J569),INDIRECT("M"&amp;($J569+4)),"")</f>
        <v/>
      </c>
      <c r="C569" s="296" t="str">
        <f aca="true">IF(ISNUMBER($J569),INDIRECT("N"&amp;($J569+4)),"")</f>
        <v/>
      </c>
      <c r="D569" s="291" t="str">
        <f aca="true">IF(ISNUMBER($J569),INDIRECT("O"&amp;($J569+4)),"")</f>
        <v/>
      </c>
      <c r="E569" s="291" t="str">
        <f aca="true">IF(ISNUMBER($J569),INDIRECT("P"&amp;($J569+4)),"")</f>
        <v/>
      </c>
      <c r="F569" s="300" t="str">
        <f aca="true">IF(ISNUMBER($J569),INDIRECT("Q"&amp;($J569+4)),"")</f>
        <v/>
      </c>
      <c r="G569" s="298" t="str">
        <f aca="true">IF(ISNUMBER($J569),INDIRECT("R"&amp;($J569+4)),"")</f>
        <v/>
      </c>
      <c r="H569" s="298" t="str">
        <f aca="true">IF(ISNUMBER($J569),INDIRECT("S"&amp;($J569+4)),"")</f>
        <v/>
      </c>
      <c r="J569" s="292" t="str">
        <f aca="true">IF(565&lt;=$K$1,MATCH(564.5,INDIRECT("$K$4:$K$1374"),1),"")</f>
        <v/>
      </c>
      <c r="K569" s="292" t="n">
        <f aca="false">$K$516+COUNTIF($Q$517:Q569,"&gt;0")</f>
        <v>0</v>
      </c>
      <c r="L569" s="292" t="str">
        <f aca="false">"Наушники и гарнитуры"</f>
        <v>Наушники и гарнитуры</v>
      </c>
      <c r="M569" s="292" t="str">
        <f aca="false">IF(ISBLANK('Наушники и гарнитуры'!$A$40),"",'Наушники и гарнитуры'!$A$40)</f>
        <v>BM96 Brilliant универсальные цифровые наушники с микрофоном Type-C</v>
      </c>
      <c r="N569" s="292" t="str">
        <f aca="false">IF(ISBLANK('Наушники и гарнитуры'!$D$40),"",'Наушники и гарнитуры'!$D$40)</f>
        <v>6941991118111</v>
      </c>
      <c r="O569" s="292" t="str">
        <f aca="false">IF(ISBLANK('Наушники и гарнитуры'!$E$40),"",'Наушники и гарнитуры'!$E$40)</f>
        <v>белый</v>
      </c>
      <c r="P569" s="292" t="str">
        <f aca="false">"ед."</f>
        <v>ед.</v>
      </c>
      <c r="Q569" s="292" t="n">
        <f aca="false">N('Наушники и гарнитуры'!$G$40)</f>
        <v>0</v>
      </c>
      <c r="R569" s="299" t="n">
        <f aca="false">IF(ISBLANK('Наушники и гарнитуры'!$F$40),"",'Наушники и гарнитуры'!$F$40)</f>
        <v>106.01</v>
      </c>
      <c r="S569" s="292" t="str">
        <f aca="false">IF(ISBLANK('Наушники и гарнитуры'!$H$40),"",'Наушники и гарнитуры'!$H$40)</f>
        <v/>
      </c>
    </row>
    <row r="570" customFormat="false" ht="66" hidden="false" customHeight="true" outlineLevel="0" collapsed="false">
      <c r="A570" s="291" t="str">
        <f aca="true">IF(ISNUMBER($J570),INDIRECT("L"&amp;($J570+4)),"")</f>
        <v/>
      </c>
      <c r="B570" s="291" t="str">
        <f aca="true">IF(ISNUMBER($J570),INDIRECT("M"&amp;($J570+4)),"")</f>
        <v/>
      </c>
      <c r="C570" s="296" t="str">
        <f aca="true">IF(ISNUMBER($J570),INDIRECT("N"&amp;($J570+4)),"")</f>
        <v/>
      </c>
      <c r="D570" s="291" t="str">
        <f aca="true">IF(ISNUMBER($J570),INDIRECT("O"&amp;($J570+4)),"")</f>
        <v/>
      </c>
      <c r="E570" s="291" t="str">
        <f aca="true">IF(ISNUMBER($J570),INDIRECT("P"&amp;($J570+4)),"")</f>
        <v/>
      </c>
      <c r="F570" s="300" t="str">
        <f aca="true">IF(ISNUMBER($J570),INDIRECT("Q"&amp;($J570+4)),"")</f>
        <v/>
      </c>
      <c r="G570" s="298" t="str">
        <f aca="true">IF(ISNUMBER($J570),INDIRECT("R"&amp;($J570+4)),"")</f>
        <v/>
      </c>
      <c r="H570" s="298" t="str">
        <f aca="true">IF(ISNUMBER($J570),INDIRECT("S"&amp;($J570+4)),"")</f>
        <v/>
      </c>
      <c r="J570" s="292" t="str">
        <f aca="true">IF(566&lt;=$K$1,MATCH(565.5,INDIRECT("$K$4:$K$1374"),1),"")</f>
        <v/>
      </c>
      <c r="K570" s="292" t="n">
        <f aca="false">$K$516+COUNTIF($Q$517:Q570,"&gt;0")</f>
        <v>0</v>
      </c>
      <c r="L570" s="292" t="str">
        <f aca="false">"Наушники и гарнитуры"</f>
        <v>Наушники и гарнитуры</v>
      </c>
      <c r="M570" s="292" t="str">
        <f aca="false">IF(ISBLANK('Наушники и гарнитуры'!$A$41),"",'Наушники и гарнитуры'!$A$41)</f>
        <v>BM95 Excepcional универсальные цифровые наушники с микрофоном Type-C</v>
      </c>
      <c r="N570" s="292" t="str">
        <f aca="false">IF(ISBLANK('Наушники и гарнитуры'!$D$41),"",'Наушники и гарнитуры'!$D$41)</f>
        <v>6941991115882</v>
      </c>
      <c r="O570" s="292" t="str">
        <f aca="false">IF(ISBLANK('Наушники и гарнитуры'!$E$41),"",'Наушники и гарнитуры'!$E$41)</f>
        <v>металлик</v>
      </c>
      <c r="P570" s="292" t="str">
        <f aca="false">"ед."</f>
        <v>ед.</v>
      </c>
      <c r="Q570" s="292" t="n">
        <f aca="false">N('Наушники и гарнитуры'!$G$41)</f>
        <v>0</v>
      </c>
      <c r="R570" s="299" t="n">
        <f aca="false">IF(ISBLANK('Наушники и гарнитуры'!$F$41),"",'Наушники и гарнитуры'!$F$41)</f>
        <v>122.32</v>
      </c>
      <c r="S570" s="292" t="str">
        <f aca="false">IF(ISBLANK('Наушники и гарнитуры'!$H$41),"",'Наушники и гарнитуры'!$H$41)</f>
        <v/>
      </c>
    </row>
    <row r="571" customFormat="false" ht="66" hidden="false" customHeight="true" outlineLevel="0" collapsed="false">
      <c r="A571" s="291" t="str">
        <f aca="true">IF(ISNUMBER($J571),INDIRECT("L"&amp;($J571+4)),"")</f>
        <v/>
      </c>
      <c r="B571" s="291" t="str">
        <f aca="true">IF(ISNUMBER($J571),INDIRECT("M"&amp;($J571+4)),"")</f>
        <v/>
      </c>
      <c r="C571" s="296" t="str">
        <f aca="true">IF(ISNUMBER($J571),INDIRECT("N"&amp;($J571+4)),"")</f>
        <v/>
      </c>
      <c r="D571" s="291" t="str">
        <f aca="true">IF(ISNUMBER($J571),INDIRECT("O"&amp;($J571+4)),"")</f>
        <v/>
      </c>
      <c r="E571" s="291" t="str">
        <f aca="true">IF(ISNUMBER($J571),INDIRECT("P"&amp;($J571+4)),"")</f>
        <v/>
      </c>
      <c r="F571" s="300" t="str">
        <f aca="true">IF(ISNUMBER($J571),INDIRECT("Q"&amp;($J571+4)),"")</f>
        <v/>
      </c>
      <c r="G571" s="298" t="str">
        <f aca="true">IF(ISNUMBER($J571),INDIRECT("R"&amp;($J571+4)),"")</f>
        <v/>
      </c>
      <c r="H571" s="298" t="str">
        <f aca="true">IF(ISNUMBER($J571),INDIRECT("S"&amp;($J571+4)),"")</f>
        <v/>
      </c>
      <c r="J571" s="292" t="str">
        <f aca="true">IF(567&lt;=$K$1,MATCH(566.5,INDIRECT("$K$4:$K$1374"),1),"")</f>
        <v/>
      </c>
      <c r="K571" s="292" t="n">
        <f aca="false">$K$516+COUNTIF($Q$517:Q571,"&gt;0")</f>
        <v>0</v>
      </c>
      <c r="L571" s="292" t="str">
        <f aca="false">"Наушники и гарнитуры"</f>
        <v>Наушники и гарнитуры</v>
      </c>
      <c r="M571" s="292" t="str">
        <f aca="false">IF(ISBLANK('Наушники и гарнитуры'!$A$42),"",'Наушники и гарнитуры'!$A$42)</f>
        <v>BM94 Sonar универсальные цифровые наушники с микрофоном Type-C</v>
      </c>
      <c r="N571" s="292" t="str">
        <f aca="false">IF(ISBLANK('Наушники и гарнитуры'!$D$42),"",'Наушники и гарнитуры'!$D$42)</f>
        <v>6941991115844</v>
      </c>
      <c r="O571" s="292" t="str">
        <f aca="false">IF(ISBLANK('Наушники и гарнитуры'!$E$42),"",'Наушники и гарнитуры'!$E$42)</f>
        <v>черный</v>
      </c>
      <c r="P571" s="292" t="str">
        <f aca="false">"ед."</f>
        <v>ед.</v>
      </c>
      <c r="Q571" s="292" t="n">
        <f aca="false">N('Наушники и гарнитуры'!$G$42)</f>
        <v>0</v>
      </c>
      <c r="R571" s="299" t="n">
        <f aca="false">IF(ISBLANK('Наушники и гарнитуры'!$F$42),"",'Наушники и гарнитуры'!$F$42)</f>
        <v>97.86</v>
      </c>
      <c r="S571" s="292" t="str">
        <f aca="false">IF(ISBLANK('Наушники и гарнитуры'!$H$42),"",'Наушники и гарнитуры'!$H$42)</f>
        <v/>
      </c>
    </row>
    <row r="572" customFormat="false" ht="66" hidden="false" customHeight="true" outlineLevel="0" collapsed="false">
      <c r="A572" s="291" t="str">
        <f aca="true">IF(ISNUMBER($J572),INDIRECT("L"&amp;($J572+4)),"")</f>
        <v/>
      </c>
      <c r="B572" s="291" t="str">
        <f aca="true">IF(ISNUMBER($J572),INDIRECT("M"&amp;($J572+4)),"")</f>
        <v/>
      </c>
      <c r="C572" s="296" t="str">
        <f aca="true">IF(ISNUMBER($J572),INDIRECT("N"&amp;($J572+4)),"")</f>
        <v/>
      </c>
      <c r="D572" s="291" t="str">
        <f aca="true">IF(ISNUMBER($J572),INDIRECT("O"&amp;($J572+4)),"")</f>
        <v/>
      </c>
      <c r="E572" s="291" t="str">
        <f aca="true">IF(ISNUMBER($J572),INDIRECT("P"&amp;($J572+4)),"")</f>
        <v/>
      </c>
      <c r="F572" s="300" t="str">
        <f aca="true">IF(ISNUMBER($J572),INDIRECT("Q"&amp;($J572+4)),"")</f>
        <v/>
      </c>
      <c r="G572" s="298" t="str">
        <f aca="true">IF(ISNUMBER($J572),INDIRECT("R"&amp;($J572+4)),"")</f>
        <v/>
      </c>
      <c r="H572" s="298" t="str">
        <f aca="true">IF(ISNUMBER($J572),INDIRECT("S"&amp;($J572+4)),"")</f>
        <v/>
      </c>
      <c r="J572" s="292" t="str">
        <f aca="true">IF(568&lt;=$K$1,MATCH(567.5,INDIRECT("$K$4:$K$1374"),1),"")</f>
        <v/>
      </c>
      <c r="K572" s="292" t="n">
        <f aca="false">$K$516+COUNTIF($Q$517:Q572,"&gt;0")</f>
        <v>0</v>
      </c>
      <c r="L572" s="292" t="str">
        <f aca="false">"Наушники и гарнитуры"</f>
        <v>Наушники и гарнитуры</v>
      </c>
      <c r="M572" s="292" t="str">
        <f aca="false">IF(ISBLANK('Наушники и гарнитуры'!$A$42),"",'Наушники и гарнитуры'!$A$42)</f>
        <v>BM94 Sonar универсальные цифровые наушники с микрофоном Type-C</v>
      </c>
      <c r="N572" s="292" t="str">
        <f aca="false">IF(ISBLANK('Наушники и гарнитуры'!$D$43),"",'Наушники и гарнитуры'!$D$43)</f>
        <v>6941991115851</v>
      </c>
      <c r="O572" s="292" t="str">
        <f aca="false">IF(ISBLANK('Наушники и гарнитуры'!$E$43),"",'Наушники и гарнитуры'!$E$43)</f>
        <v>белый</v>
      </c>
      <c r="P572" s="292" t="str">
        <f aca="false">"ед."</f>
        <v>ед.</v>
      </c>
      <c r="Q572" s="292" t="n">
        <f aca="false">N('Наушники и гарнитуры'!$G$43)</f>
        <v>0</v>
      </c>
      <c r="R572" s="299" t="n">
        <f aca="false">IF(ISBLANK('Наушники и гарнитуры'!$F$43),"",'Наушники и гарнитуры'!$F$43)</f>
        <v>97.86</v>
      </c>
      <c r="S572" s="292" t="str">
        <f aca="false">IF(ISBLANK('Наушники и гарнитуры'!$H$43),"",'Наушники и гарнитуры'!$H$43)</f>
        <v/>
      </c>
    </row>
    <row r="573" customFormat="false" ht="66" hidden="false" customHeight="true" outlineLevel="0" collapsed="false">
      <c r="A573" s="291" t="str">
        <f aca="true">IF(ISNUMBER($J573),INDIRECT("L"&amp;($J573+4)),"")</f>
        <v/>
      </c>
      <c r="B573" s="291" t="str">
        <f aca="true">IF(ISNUMBER($J573),INDIRECT("M"&amp;($J573+4)),"")</f>
        <v/>
      </c>
      <c r="C573" s="296" t="str">
        <f aca="true">IF(ISNUMBER($J573),INDIRECT("N"&amp;($J573+4)),"")</f>
        <v/>
      </c>
      <c r="D573" s="291" t="str">
        <f aca="true">IF(ISNUMBER($J573),INDIRECT("O"&amp;($J573+4)),"")</f>
        <v/>
      </c>
      <c r="E573" s="291" t="str">
        <f aca="true">IF(ISNUMBER($J573),INDIRECT("P"&amp;($J573+4)),"")</f>
        <v/>
      </c>
      <c r="F573" s="300" t="str">
        <f aca="true">IF(ISNUMBER($J573),INDIRECT("Q"&amp;($J573+4)),"")</f>
        <v/>
      </c>
      <c r="G573" s="298" t="str">
        <f aca="true">IF(ISNUMBER($J573),INDIRECT("R"&amp;($J573+4)),"")</f>
        <v/>
      </c>
      <c r="H573" s="298" t="str">
        <f aca="true">IF(ISNUMBER($J573),INDIRECT("S"&amp;($J573+4)),"")</f>
        <v/>
      </c>
      <c r="J573" s="292" t="str">
        <f aca="true">IF(569&lt;=$K$1,MATCH(568.5,INDIRECT("$K$4:$K$1374"),1),"")</f>
        <v/>
      </c>
      <c r="K573" s="292" t="n">
        <f aca="false">$K$516+COUNTIF($Q$517:Q573,"&gt;0")</f>
        <v>0</v>
      </c>
      <c r="L573" s="292" t="str">
        <f aca="false">"Наушники и гарнитуры"</f>
        <v>Наушники и гарнитуры</v>
      </c>
      <c r="M573" s="292" t="str">
        <f aca="false">IF(ISBLANK('Наушники и гарнитуры'!$A$44),"",'Наушники и гарнитуры'!$A$44)</f>
        <v>BM93 Platinum универсальные цифровые наушники с микрофоном Type-C</v>
      </c>
      <c r="N573" s="292" t="str">
        <f aca="false">IF(ISBLANK('Наушники и гарнитуры'!$D$44),"",'Наушники и гарнитуры'!$D$44)</f>
        <v>6941991114502</v>
      </c>
      <c r="O573" s="292" t="str">
        <f aca="false">IF(ISBLANK('Наушники и гарнитуры'!$E$44),"",'Наушники и гарнитуры'!$E$44)</f>
        <v>металлик</v>
      </c>
      <c r="P573" s="292" t="str">
        <f aca="false">"ед."</f>
        <v>ед.</v>
      </c>
      <c r="Q573" s="292" t="n">
        <f aca="false">N('Наушники и гарнитуры'!$G$44)</f>
        <v>0</v>
      </c>
      <c r="R573" s="299" t="n">
        <f aca="false">IF(ISBLANK('Наушники и гарнитуры'!$F$44),"",'Наушники и гарнитуры'!$F$44)</f>
        <v>138.63</v>
      </c>
      <c r="S573" s="292" t="str">
        <f aca="false">IF(ISBLANK('Наушники и гарнитуры'!$H$44),"",'Наушники и гарнитуры'!$H$44)</f>
        <v/>
      </c>
    </row>
    <row r="574" customFormat="false" ht="66" hidden="false" customHeight="true" outlineLevel="0" collapsed="false">
      <c r="A574" s="291" t="str">
        <f aca="true">IF(ISNUMBER($J574),INDIRECT("L"&amp;($J574+4)),"")</f>
        <v/>
      </c>
      <c r="B574" s="291" t="str">
        <f aca="true">IF(ISNUMBER($J574),INDIRECT("M"&amp;($J574+4)),"")</f>
        <v/>
      </c>
      <c r="C574" s="296" t="str">
        <f aca="true">IF(ISNUMBER($J574),INDIRECT("N"&amp;($J574+4)),"")</f>
        <v/>
      </c>
      <c r="D574" s="291" t="str">
        <f aca="true">IF(ISNUMBER($J574),INDIRECT("O"&amp;($J574+4)),"")</f>
        <v/>
      </c>
      <c r="E574" s="291" t="str">
        <f aca="true">IF(ISNUMBER($J574),INDIRECT("P"&amp;($J574+4)),"")</f>
        <v/>
      </c>
      <c r="F574" s="300" t="str">
        <f aca="true">IF(ISNUMBER($J574),INDIRECT("Q"&amp;($J574+4)),"")</f>
        <v/>
      </c>
      <c r="G574" s="298" t="str">
        <f aca="true">IF(ISNUMBER($J574),INDIRECT("R"&amp;($J574+4)),"")</f>
        <v/>
      </c>
      <c r="H574" s="298" t="str">
        <f aca="true">IF(ISNUMBER($J574),INDIRECT("S"&amp;($J574+4)),"")</f>
        <v/>
      </c>
      <c r="J574" s="292" t="str">
        <f aca="true">IF(570&lt;=$K$1,MATCH(569.5,INDIRECT("$K$4:$K$1374"),1),"")</f>
        <v/>
      </c>
      <c r="K574" s="292" t="n">
        <f aca="false">$K$516+COUNTIF($Q$517:Q574,"&gt;0")</f>
        <v>0</v>
      </c>
      <c r="L574" s="292" t="str">
        <f aca="false">"Наушники и гарнитуры"</f>
        <v>Наушники и гарнитуры</v>
      </c>
      <c r="M574" s="292" t="str">
        <f aca="false">IF(ISBLANK('Наушники и гарнитуры'!$A$44),"",'Наушники и гарнитуры'!$A$44)</f>
        <v>BM93 Platinum универсальные цифровые наушники с микрофоном Type-C</v>
      </c>
      <c r="N574" s="292" t="str">
        <f aca="false">IF(ISBLANK('Наушники и гарнитуры'!$D$45),"",'Наушники и гарнитуры'!$D$45)</f>
        <v>6941991114519</v>
      </c>
      <c r="O574" s="292" t="str">
        <f aca="false">IF(ISBLANK('Наушники и гарнитуры'!$E$45),"",'Наушники и гарнитуры'!$E$45)</f>
        <v>серебро</v>
      </c>
      <c r="P574" s="292" t="str">
        <f aca="false">"ед."</f>
        <v>ед.</v>
      </c>
      <c r="Q574" s="292" t="n">
        <f aca="false">N('Наушники и гарнитуры'!$G$45)</f>
        <v>0</v>
      </c>
      <c r="R574" s="299" t="n">
        <f aca="false">IF(ISBLANK('Наушники и гарнитуры'!$F$45),"",'Наушники и гарнитуры'!$F$45)</f>
        <v>138.63</v>
      </c>
      <c r="S574" s="292" t="str">
        <f aca="false">IF(ISBLANK('Наушники и гарнитуры'!$H$45),"",'Наушники и гарнитуры'!$H$45)</f>
        <v/>
      </c>
    </row>
    <row r="575" customFormat="false" ht="66" hidden="false" customHeight="true" outlineLevel="0" collapsed="false">
      <c r="A575" s="291" t="str">
        <f aca="true">IF(ISNUMBER($J575),INDIRECT("L"&amp;($J575+4)),"")</f>
        <v/>
      </c>
      <c r="B575" s="291" t="str">
        <f aca="true">IF(ISNUMBER($J575),INDIRECT("M"&amp;($J575+4)),"")</f>
        <v/>
      </c>
      <c r="C575" s="296" t="str">
        <f aca="true">IF(ISNUMBER($J575),INDIRECT("N"&amp;($J575+4)),"")</f>
        <v/>
      </c>
      <c r="D575" s="291" t="str">
        <f aca="true">IF(ISNUMBER($J575),INDIRECT("O"&amp;($J575+4)),"")</f>
        <v/>
      </c>
      <c r="E575" s="291" t="str">
        <f aca="true">IF(ISNUMBER($J575),INDIRECT("P"&amp;($J575+4)),"")</f>
        <v/>
      </c>
      <c r="F575" s="300" t="str">
        <f aca="true">IF(ISNUMBER($J575),INDIRECT("Q"&amp;($J575+4)),"")</f>
        <v/>
      </c>
      <c r="G575" s="298" t="str">
        <f aca="true">IF(ISNUMBER($J575),INDIRECT("R"&amp;($J575+4)),"")</f>
        <v/>
      </c>
      <c r="H575" s="298" t="str">
        <f aca="true">IF(ISNUMBER($J575),INDIRECT("S"&amp;($J575+4)),"")</f>
        <v/>
      </c>
      <c r="J575" s="292" t="str">
        <f aca="true">IF(571&lt;=$K$1,MATCH(570.5,INDIRECT("$K$4:$K$1374"),1),"")</f>
        <v/>
      </c>
      <c r="K575" s="292" t="n">
        <f aca="false">$K$516+COUNTIF($Q$517:Q575,"&gt;0")</f>
        <v>0</v>
      </c>
      <c r="L575" s="292" t="str">
        <f aca="false">"Наушники и гарнитуры"</f>
        <v>Наушники и гарнитуры</v>
      </c>
      <c r="M575" s="292" t="str">
        <f aca="false">IF(ISBLANK('Наушники и гарнитуры'!$A$46),"",'Наушники и гарнитуры'!$A$46)</f>
        <v>BM77 Type-C Delicious универсальные цифровые наушники с микрофоном</v>
      </c>
      <c r="N575" s="292" t="str">
        <f aca="false">IF(ISBLANK('Наушники и гарнитуры'!$D$46),"",'Наушники и гарнитуры'!$D$46)</f>
        <v>6941991103001</v>
      </c>
      <c r="O575" s="292" t="str">
        <f aca="false">IF(ISBLANK('Наушники и гарнитуры'!$E$46),"",'Наушники и гарнитуры'!$E$46)</f>
        <v>черный</v>
      </c>
      <c r="P575" s="292" t="str">
        <f aca="false">"ед."</f>
        <v>ед.</v>
      </c>
      <c r="Q575" s="292" t="n">
        <f aca="false">N('Наушники и гарнитуры'!$G$46)</f>
        <v>0</v>
      </c>
      <c r="R575" s="299" t="n">
        <f aca="false">IF(ISBLANK('Наушники и гарнитуры'!$F$46),"",'Наушники и гарнитуры'!$F$46)</f>
        <v>110.9</v>
      </c>
      <c r="S575" s="292" t="str">
        <f aca="false">IF(ISBLANK('Наушники и гарнитуры'!$H$46),"",'Наушники и гарнитуры'!$H$46)</f>
        <v/>
      </c>
    </row>
    <row r="576" customFormat="false" ht="66" hidden="false" customHeight="true" outlineLevel="0" collapsed="false">
      <c r="A576" s="291" t="str">
        <f aca="true">IF(ISNUMBER($J576),INDIRECT("L"&amp;($J576+4)),"")</f>
        <v/>
      </c>
      <c r="B576" s="291" t="str">
        <f aca="true">IF(ISNUMBER($J576),INDIRECT("M"&amp;($J576+4)),"")</f>
        <v/>
      </c>
      <c r="C576" s="296" t="str">
        <f aca="true">IF(ISNUMBER($J576),INDIRECT("N"&amp;($J576+4)),"")</f>
        <v/>
      </c>
      <c r="D576" s="291" t="str">
        <f aca="true">IF(ISNUMBER($J576),INDIRECT("O"&amp;($J576+4)),"")</f>
        <v/>
      </c>
      <c r="E576" s="291" t="str">
        <f aca="true">IF(ISNUMBER($J576),INDIRECT("P"&amp;($J576+4)),"")</f>
        <v/>
      </c>
      <c r="F576" s="300" t="str">
        <f aca="true">IF(ISNUMBER($J576),INDIRECT("Q"&amp;($J576+4)),"")</f>
        <v/>
      </c>
      <c r="G576" s="298" t="str">
        <f aca="true">IF(ISNUMBER($J576),INDIRECT("R"&amp;($J576+4)),"")</f>
        <v/>
      </c>
      <c r="H576" s="298" t="str">
        <f aca="true">IF(ISNUMBER($J576),INDIRECT("S"&amp;($J576+4)),"")</f>
        <v/>
      </c>
      <c r="J576" s="292" t="str">
        <f aca="true">IF(572&lt;=$K$1,MATCH(571.5,INDIRECT("$K$4:$K$1374"),1),"")</f>
        <v/>
      </c>
      <c r="K576" s="292" t="n">
        <f aca="false">$K$516+COUNTIF($Q$517:Q576,"&gt;0")</f>
        <v>0</v>
      </c>
      <c r="L576" s="292" t="str">
        <f aca="false">"Наушники и гарнитуры"</f>
        <v>Наушники и гарнитуры</v>
      </c>
      <c r="M576" s="292" t="str">
        <f aca="false">IF(ISBLANK('Наушники и гарнитуры'!$A$46),"",'Наушники и гарнитуры'!$A$46)</f>
        <v>BM77 Type-C Delicious универсальные цифровые наушники с микрофоном</v>
      </c>
      <c r="N576" s="292" t="str">
        <f aca="false">IF(ISBLANK('Наушники и гарнитуры'!$D$47),"",'Наушники и гарнитуры'!$D$47)</f>
        <v>6941991103018</v>
      </c>
      <c r="O576" s="292" t="str">
        <f aca="false">IF(ISBLANK('Наушники и гарнитуры'!$E$47),"",'Наушники и гарнитуры'!$E$47)</f>
        <v>белый</v>
      </c>
      <c r="P576" s="292" t="str">
        <f aca="false">"ед."</f>
        <v>ед.</v>
      </c>
      <c r="Q576" s="292" t="n">
        <f aca="false">N('Наушники и гарнитуры'!$G$47)</f>
        <v>0</v>
      </c>
      <c r="R576" s="299" t="n">
        <f aca="false">IF(ISBLANK('Наушники и гарнитуры'!$F$47),"",'Наушники и гарнитуры'!$F$47)</f>
        <v>110.9</v>
      </c>
      <c r="S576" s="292" t="str">
        <f aca="false">IF(ISBLANK('Наушники и гарнитуры'!$H$47),"",'Наушники и гарнитуры'!$H$47)</f>
        <v/>
      </c>
    </row>
    <row r="577" customFormat="false" ht="66" hidden="false" customHeight="true" outlineLevel="0" collapsed="false">
      <c r="A577" s="291" t="str">
        <f aca="true">IF(ISNUMBER($J577),INDIRECT("L"&amp;($J577+4)),"")</f>
        <v/>
      </c>
      <c r="B577" s="291" t="str">
        <f aca="true">IF(ISNUMBER($J577),INDIRECT("M"&amp;($J577+4)),"")</f>
        <v/>
      </c>
      <c r="C577" s="296" t="str">
        <f aca="true">IF(ISNUMBER($J577),INDIRECT("N"&amp;($J577+4)),"")</f>
        <v/>
      </c>
      <c r="D577" s="291" t="str">
        <f aca="true">IF(ISNUMBER($J577),INDIRECT("O"&amp;($J577+4)),"")</f>
        <v/>
      </c>
      <c r="E577" s="291" t="str">
        <f aca="true">IF(ISNUMBER($J577),INDIRECT("P"&amp;($J577+4)),"")</f>
        <v/>
      </c>
      <c r="F577" s="300" t="str">
        <f aca="true">IF(ISNUMBER($J577),INDIRECT("Q"&amp;($J577+4)),"")</f>
        <v/>
      </c>
      <c r="G577" s="298" t="str">
        <f aca="true">IF(ISNUMBER($J577),INDIRECT("R"&amp;($J577+4)),"")</f>
        <v/>
      </c>
      <c r="H577" s="298" t="str">
        <f aca="true">IF(ISNUMBER($J577),INDIRECT("S"&amp;($J577+4)),"")</f>
        <v/>
      </c>
      <c r="J577" s="292" t="str">
        <f aca="true">IF(573&lt;=$K$1,MATCH(572.5,INDIRECT("$K$4:$K$1374"),1),"")</f>
        <v/>
      </c>
      <c r="K577" s="292" t="n">
        <f aca="false">$K$516+COUNTIF($Q$517:Q577,"&gt;0")</f>
        <v>0</v>
      </c>
      <c r="L577" s="292" t="str">
        <f aca="false">"Наушники и гарнитуры"</f>
        <v>Наушники и гарнитуры</v>
      </c>
      <c r="M577" s="292" t="str">
        <f aca="false">IF(ISBLANK('Наушники и гарнитуры'!$A$48),"",'Наушники и гарнитуры'!$A$48)</f>
        <v>BM61 Wanderer универсальные цифровые наушники с микрофоном Type-C</v>
      </c>
      <c r="N577" s="292" t="str">
        <f aca="false">IF(ISBLANK('Наушники и гарнитуры'!$D$48),"",'Наушники и гарнитуры'!$D$48)</f>
        <v>6941991129452</v>
      </c>
      <c r="O577" s="292" t="str">
        <f aca="false">IF(ISBLANK('Наушники и гарнитуры'!$E$48),"",'Наушники и гарнитуры'!$E$48)</f>
        <v>черный</v>
      </c>
      <c r="P577" s="292" t="str">
        <f aca="false">"ед."</f>
        <v>ед.</v>
      </c>
      <c r="Q577" s="292" t="n">
        <f aca="false">N('Наушники и гарнитуры'!$G$48)</f>
        <v>0</v>
      </c>
      <c r="R577" s="299" t="n">
        <f aca="false">IF(ISBLANK('Наушники и гарнитуры'!$F$48),"",'Наушники и гарнитуры'!$F$48)</f>
        <v>94.59</v>
      </c>
      <c r="S577" s="292" t="str">
        <f aca="false">IF(ISBLANK('Наушники и гарнитуры'!$H$48),"",'Наушники и гарнитуры'!$H$48)</f>
        <v/>
      </c>
    </row>
    <row r="578" customFormat="false" ht="66" hidden="false" customHeight="true" outlineLevel="0" collapsed="false">
      <c r="A578" s="291" t="str">
        <f aca="true">IF(ISNUMBER($J578),INDIRECT("L"&amp;($J578+4)),"")</f>
        <v/>
      </c>
      <c r="B578" s="291" t="str">
        <f aca="true">IF(ISNUMBER($J578),INDIRECT("M"&amp;($J578+4)),"")</f>
        <v/>
      </c>
      <c r="C578" s="296" t="str">
        <f aca="true">IF(ISNUMBER($J578),INDIRECT("N"&amp;($J578+4)),"")</f>
        <v/>
      </c>
      <c r="D578" s="291" t="str">
        <f aca="true">IF(ISNUMBER($J578),INDIRECT("O"&amp;($J578+4)),"")</f>
        <v/>
      </c>
      <c r="E578" s="291" t="str">
        <f aca="true">IF(ISNUMBER($J578),INDIRECT("P"&amp;($J578+4)),"")</f>
        <v/>
      </c>
      <c r="F578" s="300" t="str">
        <f aca="true">IF(ISNUMBER($J578),INDIRECT("Q"&amp;($J578+4)),"")</f>
        <v/>
      </c>
      <c r="G578" s="298" t="str">
        <f aca="true">IF(ISNUMBER($J578),INDIRECT("R"&amp;($J578+4)),"")</f>
        <v/>
      </c>
      <c r="H578" s="298" t="str">
        <f aca="true">IF(ISNUMBER($J578),INDIRECT("S"&amp;($J578+4)),"")</f>
        <v/>
      </c>
      <c r="J578" s="292" t="str">
        <f aca="true">IF(574&lt;=$K$1,MATCH(573.5,INDIRECT("$K$4:$K$1374"),1),"")</f>
        <v/>
      </c>
      <c r="K578" s="292" t="n">
        <f aca="false">$K$516+COUNTIF($Q$517:Q578,"&gt;0")</f>
        <v>0</v>
      </c>
      <c r="L578" s="292" t="str">
        <f aca="false">"Наушники и гарнитуры"</f>
        <v>Наушники и гарнитуры</v>
      </c>
      <c r="M578" s="292" t="str">
        <f aca="false">IF(ISBLANK('Наушники и гарнитуры'!$A$48),"",'Наушники и гарнитуры'!$A$48)</f>
        <v>BM61 Wanderer универсальные цифровые наушники с микрофоном Type-C</v>
      </c>
      <c r="N578" s="292" t="str">
        <f aca="false">IF(ISBLANK('Наушники и гарнитуры'!$D$49),"",'Наушники и гарнитуры'!$D$49)</f>
        <v>6941991129469</v>
      </c>
      <c r="O578" s="292" t="str">
        <f aca="false">IF(ISBLANK('Наушники и гарнитуры'!$E$49),"",'Наушники и гарнитуры'!$E$49)</f>
        <v>белый</v>
      </c>
      <c r="P578" s="292" t="str">
        <f aca="false">"ед."</f>
        <v>ед.</v>
      </c>
      <c r="Q578" s="292" t="n">
        <f aca="false">N('Наушники и гарнитуры'!$G$49)</f>
        <v>0</v>
      </c>
      <c r="R578" s="299" t="n">
        <f aca="false">IF(ISBLANK('Наушники и гарнитуры'!$F$49),"",'Наушники и гарнитуры'!$F$49)</f>
        <v>94.59</v>
      </c>
      <c r="S578" s="292" t="str">
        <f aca="false">IF(ISBLANK('Наушники и гарнитуры'!$H$49),"",'Наушники и гарнитуры'!$H$49)</f>
        <v/>
      </c>
    </row>
    <row r="579" customFormat="false" ht="66" hidden="false" customHeight="true" outlineLevel="0" collapsed="false">
      <c r="A579" s="291" t="str">
        <f aca="true">IF(ISNUMBER($J579),INDIRECT("L"&amp;($J579+4)),"")</f>
        <v/>
      </c>
      <c r="B579" s="291" t="str">
        <f aca="true">IF(ISNUMBER($J579),INDIRECT("M"&amp;($J579+4)),"")</f>
        <v/>
      </c>
      <c r="C579" s="296" t="str">
        <f aca="true">IF(ISNUMBER($J579),INDIRECT("N"&amp;($J579+4)),"")</f>
        <v/>
      </c>
      <c r="D579" s="291" t="str">
        <f aca="true">IF(ISNUMBER($J579),INDIRECT("O"&amp;($J579+4)),"")</f>
        <v/>
      </c>
      <c r="E579" s="291" t="str">
        <f aca="true">IF(ISNUMBER($J579),INDIRECT("P"&amp;($J579+4)),"")</f>
        <v/>
      </c>
      <c r="F579" s="300" t="str">
        <f aca="true">IF(ISNUMBER($J579),INDIRECT("Q"&amp;($J579+4)),"")</f>
        <v/>
      </c>
      <c r="G579" s="298" t="str">
        <f aca="true">IF(ISNUMBER($J579),INDIRECT("R"&amp;($J579+4)),"")</f>
        <v/>
      </c>
      <c r="H579" s="298" t="str">
        <f aca="true">IF(ISNUMBER($J579),INDIRECT("S"&amp;($J579+4)),"")</f>
        <v/>
      </c>
      <c r="J579" s="292" t="str">
        <f aca="true">IF(575&lt;=$K$1,MATCH(574.5,INDIRECT("$K$4:$K$1374"),1),"")</f>
        <v/>
      </c>
      <c r="K579" s="292" t="n">
        <f aca="false">$K$516+COUNTIF($Q$517:Q579,"&gt;0")</f>
        <v>0</v>
      </c>
      <c r="L579" s="292" t="str">
        <f aca="false">"Наушники и гарнитуры"</f>
        <v>Наушники и гарнитуры</v>
      </c>
      <c r="M579" s="292" t="str">
        <f aca="false">IF(ISBLANK('Наушники и гарнитуры'!$A$52),"",'Наушники и гарнитуры'!$A$52)</f>
        <v>BM100 Fuente универсальные наушники с микрофоном</v>
      </c>
      <c r="N579" s="292" t="str">
        <f aca="false">IF(ISBLANK('Наушники и гарнитуры'!$D$52),"",'Наушники и гарнитуры'!$D$52)</f>
        <v>6941991121715</v>
      </c>
      <c r="O579" s="292" t="str">
        <f aca="false">IF(ISBLANK('Наушники и гарнитуры'!$E$52),"",'Наушники и гарнитуры'!$E$52)</f>
        <v>черный</v>
      </c>
      <c r="P579" s="292" t="str">
        <f aca="false">"ед."</f>
        <v>ед.</v>
      </c>
      <c r="Q579" s="292" t="n">
        <f aca="false">N('Наушники и гарнитуры'!$G$52)</f>
        <v>0</v>
      </c>
      <c r="R579" s="299" t="n">
        <f aca="false">IF(ISBLANK('Наушники и гарнитуры'!$F$52),"",'Наушники и гарнитуры'!$F$52)</f>
        <v>63.61</v>
      </c>
      <c r="S579" s="292" t="str">
        <f aca="false">IF(ISBLANK('Наушники и гарнитуры'!$H$52),"",'Наушники и гарнитуры'!$H$52)</f>
        <v/>
      </c>
    </row>
    <row r="580" customFormat="false" ht="66" hidden="false" customHeight="true" outlineLevel="0" collapsed="false">
      <c r="A580" s="291" t="str">
        <f aca="true">IF(ISNUMBER($J580),INDIRECT("L"&amp;($J580+4)),"")</f>
        <v/>
      </c>
      <c r="B580" s="291" t="str">
        <f aca="true">IF(ISNUMBER($J580),INDIRECT("M"&amp;($J580+4)),"")</f>
        <v/>
      </c>
      <c r="C580" s="296" t="str">
        <f aca="true">IF(ISNUMBER($J580),INDIRECT("N"&amp;($J580+4)),"")</f>
        <v/>
      </c>
      <c r="D580" s="291" t="str">
        <f aca="true">IF(ISNUMBER($J580),INDIRECT("O"&amp;($J580+4)),"")</f>
        <v/>
      </c>
      <c r="E580" s="291" t="str">
        <f aca="true">IF(ISNUMBER($J580),INDIRECT("P"&amp;($J580+4)),"")</f>
        <v/>
      </c>
      <c r="F580" s="300" t="str">
        <f aca="true">IF(ISNUMBER($J580),INDIRECT("Q"&amp;($J580+4)),"")</f>
        <v/>
      </c>
      <c r="G580" s="298" t="str">
        <f aca="true">IF(ISNUMBER($J580),INDIRECT("R"&amp;($J580+4)),"")</f>
        <v/>
      </c>
      <c r="H580" s="298" t="str">
        <f aca="true">IF(ISNUMBER($J580),INDIRECT("S"&amp;($J580+4)),"")</f>
        <v/>
      </c>
      <c r="J580" s="292" t="str">
        <f aca="true">IF(576&lt;=$K$1,MATCH(575.5,INDIRECT("$K$4:$K$1374"),1),"")</f>
        <v/>
      </c>
      <c r="K580" s="292" t="n">
        <f aca="false">$K$516+COUNTIF($Q$517:Q580,"&gt;0")</f>
        <v>0</v>
      </c>
      <c r="L580" s="292" t="str">
        <f aca="false">"Наушники и гарнитуры"</f>
        <v>Наушники и гарнитуры</v>
      </c>
      <c r="M580" s="292" t="str">
        <f aca="false">IF(ISBLANK('Наушники и гарнитуры'!$A$52),"",'Наушники и гарнитуры'!$A$52)</f>
        <v>BM100 Fuente универсальные наушники с микрофоном</v>
      </c>
      <c r="N580" s="292" t="str">
        <f aca="false">IF(ISBLANK('Наушники и гарнитуры'!$D$53),"",'Наушники и гарнитуры'!$D$53)</f>
        <v>6941991121722</v>
      </c>
      <c r="O580" s="292" t="str">
        <f aca="false">IF(ISBLANK('Наушники и гарнитуры'!$E$53),"",'Наушники и гарнитуры'!$E$53)</f>
        <v>белый</v>
      </c>
      <c r="P580" s="292" t="str">
        <f aca="false">"ед."</f>
        <v>ед.</v>
      </c>
      <c r="Q580" s="292" t="n">
        <f aca="false">N('Наушники и гарнитуры'!$G$53)</f>
        <v>0</v>
      </c>
      <c r="R580" s="299" t="n">
        <f aca="false">IF(ISBLANK('Наушники и гарнитуры'!$F$53),"",'Наушники и гарнитуры'!$F$53)</f>
        <v>63.61</v>
      </c>
      <c r="S580" s="292" t="str">
        <f aca="false">IF(ISBLANK('Наушники и гарнитуры'!$H$53),"",'Наушники и гарнитуры'!$H$53)</f>
        <v/>
      </c>
    </row>
    <row r="581" customFormat="false" ht="66" hidden="false" customHeight="true" outlineLevel="0" collapsed="false">
      <c r="A581" s="291" t="str">
        <f aca="true">IF(ISNUMBER($J581),INDIRECT("L"&amp;($J581+4)),"")</f>
        <v/>
      </c>
      <c r="B581" s="291" t="str">
        <f aca="true">IF(ISNUMBER($J581),INDIRECT("M"&amp;($J581+4)),"")</f>
        <v/>
      </c>
      <c r="C581" s="296" t="str">
        <f aca="true">IF(ISNUMBER($J581),INDIRECT("N"&amp;($J581+4)),"")</f>
        <v/>
      </c>
      <c r="D581" s="291" t="str">
        <f aca="true">IF(ISNUMBER($J581),INDIRECT("O"&amp;($J581+4)),"")</f>
        <v/>
      </c>
      <c r="E581" s="291" t="str">
        <f aca="true">IF(ISNUMBER($J581),INDIRECT("P"&amp;($J581+4)),"")</f>
        <v/>
      </c>
      <c r="F581" s="300" t="str">
        <f aca="true">IF(ISNUMBER($J581),INDIRECT("Q"&amp;($J581+4)),"")</f>
        <v/>
      </c>
      <c r="G581" s="298" t="str">
        <f aca="true">IF(ISNUMBER($J581),INDIRECT("R"&amp;($J581+4)),"")</f>
        <v/>
      </c>
      <c r="H581" s="298" t="str">
        <f aca="true">IF(ISNUMBER($J581),INDIRECT("S"&amp;($J581+4)),"")</f>
        <v/>
      </c>
      <c r="J581" s="292" t="str">
        <f aca="true">IF(577&lt;=$K$1,MATCH(576.5,INDIRECT("$K$4:$K$1374"),1),"")</f>
        <v/>
      </c>
      <c r="K581" s="292" t="n">
        <f aca="false">$K$516+COUNTIF($Q$517:Q581,"&gt;0")</f>
        <v>0</v>
      </c>
      <c r="L581" s="292" t="str">
        <f aca="false">"Наушники и гарнитуры"</f>
        <v>Наушники и гарнитуры</v>
      </c>
      <c r="M581" s="292" t="str">
        <f aca="false">IF(ISBLANK('Наушники и гарнитуры'!$A$54),"",'Наушники и гарнитуры'!$A$54)</f>
        <v>BM100 Pro Fuente универсальные наушники с микрофоном</v>
      </c>
      <c r="N581" s="292" t="str">
        <f aca="false">IF(ISBLANK('Наушники и гарнитуры'!$D$54),"",'Наушники и гарнитуры'!$D$54)</f>
        <v>6941991121753</v>
      </c>
      <c r="O581" s="292" t="str">
        <f aca="false">IF(ISBLANK('Наушники и гарнитуры'!$E$54),"",'Наушники и гарнитуры'!$E$54)</f>
        <v>черный</v>
      </c>
      <c r="P581" s="292" t="str">
        <f aca="false">"ед."</f>
        <v>ед.</v>
      </c>
      <c r="Q581" s="292" t="n">
        <f aca="false">N('Наушники и гарнитуры'!$G$54)</f>
        <v>0</v>
      </c>
      <c r="R581" s="299" t="n">
        <f aca="false">IF(ISBLANK('Наушники и гарнитуры'!$F$54),"",'Наушники и гарнитуры'!$F$54)</f>
        <v>65.24</v>
      </c>
      <c r="S581" s="292" t="str">
        <f aca="false">IF(ISBLANK('Наушники и гарнитуры'!$H$54),"",'Наушники и гарнитуры'!$H$54)</f>
        <v/>
      </c>
    </row>
    <row r="582" customFormat="false" ht="66" hidden="false" customHeight="true" outlineLevel="0" collapsed="false">
      <c r="A582" s="291" t="str">
        <f aca="true">IF(ISNUMBER($J582),INDIRECT("L"&amp;($J582+4)),"")</f>
        <v/>
      </c>
      <c r="B582" s="291" t="str">
        <f aca="true">IF(ISNUMBER($J582),INDIRECT("M"&amp;($J582+4)),"")</f>
        <v/>
      </c>
      <c r="C582" s="296" t="str">
        <f aca="true">IF(ISNUMBER($J582),INDIRECT("N"&amp;($J582+4)),"")</f>
        <v/>
      </c>
      <c r="D582" s="291" t="str">
        <f aca="true">IF(ISNUMBER($J582),INDIRECT("O"&amp;($J582+4)),"")</f>
        <v/>
      </c>
      <c r="E582" s="291" t="str">
        <f aca="true">IF(ISNUMBER($J582),INDIRECT("P"&amp;($J582+4)),"")</f>
        <v/>
      </c>
      <c r="F582" s="300" t="str">
        <f aca="true">IF(ISNUMBER($J582),INDIRECT("Q"&amp;($J582+4)),"")</f>
        <v/>
      </c>
      <c r="G582" s="298" t="str">
        <f aca="true">IF(ISNUMBER($J582),INDIRECT("R"&amp;($J582+4)),"")</f>
        <v/>
      </c>
      <c r="H582" s="298" t="str">
        <f aca="true">IF(ISNUMBER($J582),INDIRECT("S"&amp;($J582+4)),"")</f>
        <v/>
      </c>
      <c r="J582" s="292" t="str">
        <f aca="true">IF(578&lt;=$K$1,MATCH(577.5,INDIRECT("$K$4:$K$1374"),1),"")</f>
        <v/>
      </c>
      <c r="K582" s="292" t="n">
        <f aca="false">$K$516+COUNTIF($Q$517:Q582,"&gt;0")</f>
        <v>0</v>
      </c>
      <c r="L582" s="292" t="str">
        <f aca="false">"Наушники и гарнитуры"</f>
        <v>Наушники и гарнитуры</v>
      </c>
      <c r="M582" s="292" t="str">
        <f aca="false">IF(ISBLANK('Наушники и гарнитуры'!$A$54),"",'Наушники и гарнитуры'!$A$54)</f>
        <v>BM100 Pro Fuente универсальные наушники с микрофоном</v>
      </c>
      <c r="N582" s="292" t="str">
        <f aca="false">IF(ISBLANK('Наушники и гарнитуры'!$D$55),"",'Наушники и гарнитуры'!$D$55)</f>
        <v>6941991121760</v>
      </c>
      <c r="O582" s="292" t="str">
        <f aca="false">IF(ISBLANK('Наушники и гарнитуры'!$E$55),"",'Наушники и гарнитуры'!$E$55)</f>
        <v>белый</v>
      </c>
      <c r="P582" s="292" t="str">
        <f aca="false">"ед."</f>
        <v>ед.</v>
      </c>
      <c r="Q582" s="292" t="n">
        <f aca="false">N('Наушники и гарнитуры'!$G$55)</f>
        <v>0</v>
      </c>
      <c r="R582" s="299" t="n">
        <f aca="false">IF(ISBLANK('Наушники и гарнитуры'!$F$55),"",'Наушники и гарнитуры'!$F$55)</f>
        <v>65.24</v>
      </c>
      <c r="S582" s="292" t="str">
        <f aca="false">IF(ISBLANK('Наушники и гарнитуры'!$H$55),"",'Наушники и гарнитуры'!$H$55)</f>
        <v/>
      </c>
    </row>
    <row r="583" customFormat="false" ht="66" hidden="false" customHeight="true" outlineLevel="0" collapsed="false">
      <c r="A583" s="291" t="str">
        <f aca="true">IF(ISNUMBER($J583),INDIRECT("L"&amp;($J583+4)),"")</f>
        <v/>
      </c>
      <c r="B583" s="291" t="str">
        <f aca="true">IF(ISNUMBER($J583),INDIRECT("M"&amp;($J583+4)),"")</f>
        <v/>
      </c>
      <c r="C583" s="296" t="str">
        <f aca="true">IF(ISNUMBER($J583),INDIRECT("N"&amp;($J583+4)),"")</f>
        <v/>
      </c>
      <c r="D583" s="291" t="str">
        <f aca="true">IF(ISNUMBER($J583),INDIRECT("O"&amp;($J583+4)),"")</f>
        <v/>
      </c>
      <c r="E583" s="291" t="str">
        <f aca="true">IF(ISNUMBER($J583),INDIRECT("P"&amp;($J583+4)),"")</f>
        <v/>
      </c>
      <c r="F583" s="300" t="str">
        <f aca="true">IF(ISNUMBER($J583),INDIRECT("Q"&amp;($J583+4)),"")</f>
        <v/>
      </c>
      <c r="G583" s="298" t="str">
        <f aca="true">IF(ISNUMBER($J583),INDIRECT("R"&amp;($J583+4)),"")</f>
        <v/>
      </c>
      <c r="H583" s="298" t="str">
        <f aca="true">IF(ISNUMBER($J583),INDIRECT("S"&amp;($J583+4)),"")</f>
        <v/>
      </c>
      <c r="J583" s="292" t="str">
        <f aca="true">IF(579&lt;=$K$1,MATCH(578.5,INDIRECT("$K$4:$K$1374"),1),"")</f>
        <v/>
      </c>
      <c r="K583" s="292" t="n">
        <f aca="false">$K$516+COUNTIF($Q$517:Q583,"&gt;0")</f>
        <v>0</v>
      </c>
      <c r="L583" s="292" t="str">
        <f aca="false">"Наушники и гарнитуры"</f>
        <v>Наушники и гарнитуры</v>
      </c>
      <c r="M583" s="292" t="str">
        <f aca="false">IF(ISBLANK('Наушники и гарнитуры'!$A$56),"",'Наушники и гарнитуры'!$A$56)</f>
        <v>BM100 Max Fuente универсальные наушники с микрофоном</v>
      </c>
      <c r="N583" s="292" t="str">
        <f aca="false">IF(ISBLANK('Наушники и гарнитуры'!$D$56),"",'Наушники и гарнитуры'!$D$56)</f>
        <v>6941991121791</v>
      </c>
      <c r="O583" s="292" t="str">
        <f aca="false">IF(ISBLANK('Наушники и гарнитуры'!$E$56),"",'Наушники и гарнитуры'!$E$56)</f>
        <v>черный</v>
      </c>
      <c r="P583" s="292" t="str">
        <f aca="false">"ед."</f>
        <v>ед.</v>
      </c>
      <c r="Q583" s="292" t="n">
        <f aca="false">N('Наушники и гарнитуры'!$G$56)</f>
        <v>0</v>
      </c>
      <c r="R583" s="299" t="n">
        <f aca="false">IF(ISBLANK('Наушники и гарнитуры'!$F$56),"",'Наушники и гарнитуры'!$F$56)</f>
        <v>63.61</v>
      </c>
      <c r="S583" s="292" t="str">
        <f aca="false">IF(ISBLANK('Наушники и гарнитуры'!$H$56),"",'Наушники и гарнитуры'!$H$56)</f>
        <v/>
      </c>
    </row>
    <row r="584" customFormat="false" ht="66" hidden="false" customHeight="true" outlineLevel="0" collapsed="false">
      <c r="A584" s="291" t="str">
        <f aca="true">IF(ISNUMBER($J584),INDIRECT("L"&amp;($J584+4)),"")</f>
        <v/>
      </c>
      <c r="B584" s="291" t="str">
        <f aca="true">IF(ISNUMBER($J584),INDIRECT("M"&amp;($J584+4)),"")</f>
        <v/>
      </c>
      <c r="C584" s="296" t="str">
        <f aca="true">IF(ISNUMBER($J584),INDIRECT("N"&amp;($J584+4)),"")</f>
        <v/>
      </c>
      <c r="D584" s="291" t="str">
        <f aca="true">IF(ISNUMBER($J584),INDIRECT("O"&amp;($J584+4)),"")</f>
        <v/>
      </c>
      <c r="E584" s="291" t="str">
        <f aca="true">IF(ISNUMBER($J584),INDIRECT("P"&amp;($J584+4)),"")</f>
        <v/>
      </c>
      <c r="F584" s="300" t="str">
        <f aca="true">IF(ISNUMBER($J584),INDIRECT("Q"&amp;($J584+4)),"")</f>
        <v/>
      </c>
      <c r="G584" s="298" t="str">
        <f aca="true">IF(ISNUMBER($J584),INDIRECT("R"&amp;($J584+4)),"")</f>
        <v/>
      </c>
      <c r="H584" s="298" t="str">
        <f aca="true">IF(ISNUMBER($J584),INDIRECT("S"&amp;($J584+4)),"")</f>
        <v/>
      </c>
      <c r="J584" s="292" t="str">
        <f aca="true">IF(580&lt;=$K$1,MATCH(579.5,INDIRECT("$K$4:$K$1374"),1),"")</f>
        <v/>
      </c>
      <c r="K584" s="292" t="n">
        <f aca="false">$K$516+COUNTIF($Q$517:Q584,"&gt;0")</f>
        <v>0</v>
      </c>
      <c r="L584" s="292" t="str">
        <f aca="false">"Наушники и гарнитуры"</f>
        <v>Наушники и гарнитуры</v>
      </c>
      <c r="M584" s="292" t="str">
        <f aca="false">IF(ISBLANK('Наушники и гарнитуры'!$A$56),"",'Наушники и гарнитуры'!$A$56)</f>
        <v>BM100 Max Fuente универсальные наушники с микрофоном</v>
      </c>
      <c r="N584" s="292" t="str">
        <f aca="false">IF(ISBLANK('Наушники и гарнитуры'!$D$57),"",'Наушники и гарнитуры'!$D$57)</f>
        <v>6941991121807</v>
      </c>
      <c r="O584" s="292" t="str">
        <f aca="false">IF(ISBLANK('Наушники и гарнитуры'!$E$57),"",'Наушники и гарнитуры'!$E$57)</f>
        <v>белый</v>
      </c>
      <c r="P584" s="292" t="str">
        <f aca="false">"ед."</f>
        <v>ед.</v>
      </c>
      <c r="Q584" s="292" t="n">
        <f aca="false">N('Наушники и гарнитуры'!$G$57)</f>
        <v>0</v>
      </c>
      <c r="R584" s="299" t="n">
        <f aca="false">IF(ISBLANK('Наушники и гарнитуры'!$F$57),"",'Наушники и гарнитуры'!$F$57)</f>
        <v>63.61</v>
      </c>
      <c r="S584" s="292" t="str">
        <f aca="false">IF(ISBLANK('Наушники и гарнитуры'!$H$57),"",'Наушники и гарнитуры'!$H$57)</f>
        <v/>
      </c>
    </row>
    <row r="585" customFormat="false" ht="66" hidden="false" customHeight="true" outlineLevel="0" collapsed="false">
      <c r="A585" s="291" t="str">
        <f aca="true">IF(ISNUMBER($J585),INDIRECT("L"&amp;($J585+4)),"")</f>
        <v/>
      </c>
      <c r="B585" s="291" t="str">
        <f aca="true">IF(ISNUMBER($J585),INDIRECT("M"&amp;($J585+4)),"")</f>
        <v/>
      </c>
      <c r="C585" s="296" t="str">
        <f aca="true">IF(ISNUMBER($J585),INDIRECT("N"&amp;($J585+4)),"")</f>
        <v/>
      </c>
      <c r="D585" s="291" t="str">
        <f aca="true">IF(ISNUMBER($J585),INDIRECT("O"&amp;($J585+4)),"")</f>
        <v/>
      </c>
      <c r="E585" s="291" t="str">
        <f aca="true">IF(ISNUMBER($J585),INDIRECT("P"&amp;($J585+4)),"")</f>
        <v/>
      </c>
      <c r="F585" s="300" t="str">
        <f aca="true">IF(ISNUMBER($J585),INDIRECT("Q"&amp;($J585+4)),"")</f>
        <v/>
      </c>
      <c r="G585" s="298" t="str">
        <f aca="true">IF(ISNUMBER($J585),INDIRECT("R"&amp;($J585+4)),"")</f>
        <v/>
      </c>
      <c r="H585" s="298" t="str">
        <f aca="true">IF(ISNUMBER($J585),INDIRECT("S"&amp;($J585+4)),"")</f>
        <v/>
      </c>
      <c r="J585" s="292" t="str">
        <f aca="true">IF(581&lt;=$K$1,MATCH(580.5,INDIRECT("$K$4:$K$1374"),1),"")</f>
        <v/>
      </c>
      <c r="K585" s="292" t="n">
        <f aca="false">$K$516+COUNTIF($Q$517:Q585,"&gt;0")</f>
        <v>0</v>
      </c>
      <c r="L585" s="292" t="str">
        <f aca="false">"Наушники и гарнитуры"</f>
        <v>Наушники и гарнитуры</v>
      </c>
      <c r="M585" s="292" t="str">
        <f aca="false">IF(ISBLANK('Наушники и гарнитуры'!$A$58),"",'Наушники и гарнитуры'!$A$58)</f>
        <v>BM96 Brilliant универсальные наушники с микрофоном</v>
      </c>
      <c r="N585" s="292" t="str">
        <f aca="false">IF(ISBLANK('Наушники и гарнитуры'!$D$58),"",'Наушники и гарнитуры'!$D$58)</f>
        <v>6941991118098</v>
      </c>
      <c r="O585" s="292" t="str">
        <f aca="false">IF(ISBLANK('Наушники и гарнитуры'!$E$58),"",'Наушники и гарнитуры'!$E$58)</f>
        <v>белый</v>
      </c>
      <c r="P585" s="292" t="str">
        <f aca="false">"ед."</f>
        <v>ед.</v>
      </c>
      <c r="Q585" s="292" t="n">
        <f aca="false">N('Наушники и гарнитуры'!$G$58)</f>
        <v>0</v>
      </c>
      <c r="R585" s="299" t="n">
        <f aca="false">IF(ISBLANK('Наушники и гарнитуры'!$F$58),"",'Наушники и гарнитуры'!$F$58)</f>
        <v>70.13</v>
      </c>
      <c r="S585" s="292" t="str">
        <f aca="false">IF(ISBLANK('Наушники и гарнитуры'!$H$58),"",'Наушники и гарнитуры'!$H$58)</f>
        <v/>
      </c>
    </row>
    <row r="586" customFormat="false" ht="66" hidden="false" customHeight="true" outlineLevel="0" collapsed="false">
      <c r="A586" s="291" t="str">
        <f aca="true">IF(ISNUMBER($J586),INDIRECT("L"&amp;($J586+4)),"")</f>
        <v/>
      </c>
      <c r="B586" s="291" t="str">
        <f aca="true">IF(ISNUMBER($J586),INDIRECT("M"&amp;($J586+4)),"")</f>
        <v/>
      </c>
      <c r="C586" s="296" t="str">
        <f aca="true">IF(ISNUMBER($J586),INDIRECT("N"&amp;($J586+4)),"")</f>
        <v/>
      </c>
      <c r="D586" s="291" t="str">
        <f aca="true">IF(ISNUMBER($J586),INDIRECT("O"&amp;($J586+4)),"")</f>
        <v/>
      </c>
      <c r="E586" s="291" t="str">
        <f aca="true">IF(ISNUMBER($J586),INDIRECT("P"&amp;($J586+4)),"")</f>
        <v/>
      </c>
      <c r="F586" s="300" t="str">
        <f aca="true">IF(ISNUMBER($J586),INDIRECT("Q"&amp;($J586+4)),"")</f>
        <v/>
      </c>
      <c r="G586" s="298" t="str">
        <f aca="true">IF(ISNUMBER($J586),INDIRECT("R"&amp;($J586+4)),"")</f>
        <v/>
      </c>
      <c r="H586" s="298" t="str">
        <f aca="true">IF(ISNUMBER($J586),INDIRECT("S"&amp;($J586+4)),"")</f>
        <v/>
      </c>
      <c r="J586" s="292" t="str">
        <f aca="true">IF(582&lt;=$K$1,MATCH(581.5,INDIRECT("$K$4:$K$1374"),1),"")</f>
        <v/>
      </c>
      <c r="K586" s="292" t="n">
        <f aca="false">$K$516+COUNTIF($Q$517:Q586,"&gt;0")</f>
        <v>0</v>
      </c>
      <c r="L586" s="292" t="str">
        <f aca="false">"Наушники и гарнитуры"</f>
        <v>Наушники и гарнитуры</v>
      </c>
      <c r="M586" s="292" t="str">
        <f aca="false">IF(ISBLANK('Наушники и гарнитуры'!$A$59),"",'Наушники и гарнитуры'!$A$59)</f>
        <v>BM95 Excepcional универсальные наушники с микрофоном</v>
      </c>
      <c r="N586" s="292" t="str">
        <f aca="false">IF(ISBLANK('Наушники и гарнитуры'!$D$59),"",'Наушники и гарнитуры'!$D$59)</f>
        <v>6941991115868</v>
      </c>
      <c r="O586" s="292" t="str">
        <f aca="false">IF(ISBLANK('Наушники и гарнитуры'!$E$59),"",'Наушники и гарнитуры'!$E$59)</f>
        <v>металлик</v>
      </c>
      <c r="P586" s="292" t="str">
        <f aca="false">"ед."</f>
        <v>ед.</v>
      </c>
      <c r="Q586" s="292" t="n">
        <f aca="false">N('Наушники и гарнитуры'!$G$59)</f>
        <v>0</v>
      </c>
      <c r="R586" s="299" t="n">
        <f aca="false">IF(ISBLANK('Наушники и гарнитуры'!$F$59),"",'Наушники и гарнитуры'!$F$59)</f>
        <v>79.92</v>
      </c>
      <c r="S586" s="292" t="str">
        <f aca="false">IF(ISBLANK('Наушники и гарнитуры'!$H$59),"",'Наушники и гарнитуры'!$H$59)</f>
        <v/>
      </c>
    </row>
    <row r="587" customFormat="false" ht="66" hidden="false" customHeight="true" outlineLevel="0" collapsed="false">
      <c r="A587" s="291" t="str">
        <f aca="true">IF(ISNUMBER($J587),INDIRECT("L"&amp;($J587+4)),"")</f>
        <v/>
      </c>
      <c r="B587" s="291" t="str">
        <f aca="true">IF(ISNUMBER($J587),INDIRECT("M"&amp;($J587+4)),"")</f>
        <v/>
      </c>
      <c r="C587" s="296" t="str">
        <f aca="true">IF(ISNUMBER($J587),INDIRECT("N"&amp;($J587+4)),"")</f>
        <v/>
      </c>
      <c r="D587" s="291" t="str">
        <f aca="true">IF(ISNUMBER($J587),INDIRECT("O"&amp;($J587+4)),"")</f>
        <v/>
      </c>
      <c r="E587" s="291" t="str">
        <f aca="true">IF(ISNUMBER($J587),INDIRECT("P"&amp;($J587+4)),"")</f>
        <v/>
      </c>
      <c r="F587" s="300" t="str">
        <f aca="true">IF(ISNUMBER($J587),INDIRECT("Q"&amp;($J587+4)),"")</f>
        <v/>
      </c>
      <c r="G587" s="298" t="str">
        <f aca="true">IF(ISNUMBER($J587),INDIRECT("R"&amp;($J587+4)),"")</f>
        <v/>
      </c>
      <c r="H587" s="298" t="str">
        <f aca="true">IF(ISNUMBER($J587),INDIRECT("S"&amp;($J587+4)),"")</f>
        <v/>
      </c>
      <c r="J587" s="292" t="str">
        <f aca="true">IF(583&lt;=$K$1,MATCH(582.5,INDIRECT("$K$4:$K$1374"),1),"")</f>
        <v/>
      </c>
      <c r="K587" s="292" t="n">
        <f aca="false">$K$516+COUNTIF($Q$517:Q587,"&gt;0")</f>
        <v>0</v>
      </c>
      <c r="L587" s="292" t="str">
        <f aca="false">"Наушники и гарнитуры"</f>
        <v>Наушники и гарнитуры</v>
      </c>
      <c r="M587" s="292" t="str">
        <f aca="false">IF(ISBLANK('Наушники и гарнитуры'!$A$59),"",'Наушники и гарнитуры'!$A$59)</f>
        <v>BM95 Excepcional универсальные наушники с микрофоном</v>
      </c>
      <c r="N587" s="292" t="str">
        <f aca="false">IF(ISBLANK('Наушники и гарнитуры'!$D$60),"",'Наушники и гарнитуры'!$D$60)</f>
        <v>6941991115875</v>
      </c>
      <c r="O587" s="292" t="str">
        <f aca="false">IF(ISBLANK('Наушники и гарнитуры'!$E$60),"",'Наушники и гарнитуры'!$E$60)</f>
        <v>серебро</v>
      </c>
      <c r="P587" s="292" t="str">
        <f aca="false">"ед."</f>
        <v>ед.</v>
      </c>
      <c r="Q587" s="292" t="n">
        <f aca="false">N('Наушники и гарнитуры'!$G$60)</f>
        <v>0</v>
      </c>
      <c r="R587" s="299" t="n">
        <f aca="false">IF(ISBLANK('Наушники и гарнитуры'!$F$60),"",'Наушники и гарнитуры'!$F$60)</f>
        <v>79.92</v>
      </c>
      <c r="S587" s="292" t="str">
        <f aca="false">IF(ISBLANK('Наушники и гарнитуры'!$H$60),"",'Наушники и гарнитуры'!$H$60)</f>
        <v/>
      </c>
    </row>
    <row r="588" customFormat="false" ht="66" hidden="false" customHeight="true" outlineLevel="0" collapsed="false">
      <c r="A588" s="291" t="str">
        <f aca="true">IF(ISNUMBER($J588),INDIRECT("L"&amp;($J588+4)),"")</f>
        <v/>
      </c>
      <c r="B588" s="291" t="str">
        <f aca="true">IF(ISNUMBER($J588),INDIRECT("M"&amp;($J588+4)),"")</f>
        <v/>
      </c>
      <c r="C588" s="296" t="str">
        <f aca="true">IF(ISNUMBER($J588),INDIRECT("N"&amp;($J588+4)),"")</f>
        <v/>
      </c>
      <c r="D588" s="291" t="str">
        <f aca="true">IF(ISNUMBER($J588),INDIRECT("O"&amp;($J588+4)),"")</f>
        <v/>
      </c>
      <c r="E588" s="291" t="str">
        <f aca="true">IF(ISNUMBER($J588),INDIRECT("P"&amp;($J588+4)),"")</f>
        <v/>
      </c>
      <c r="F588" s="300" t="str">
        <f aca="true">IF(ISNUMBER($J588),INDIRECT("Q"&amp;($J588+4)),"")</f>
        <v/>
      </c>
      <c r="G588" s="298" t="str">
        <f aca="true">IF(ISNUMBER($J588),INDIRECT("R"&amp;($J588+4)),"")</f>
        <v/>
      </c>
      <c r="H588" s="298" t="str">
        <f aca="true">IF(ISNUMBER($J588),INDIRECT("S"&amp;($J588+4)),"")</f>
        <v/>
      </c>
      <c r="J588" s="292" t="str">
        <f aca="true">IF(584&lt;=$K$1,MATCH(583.5,INDIRECT("$K$4:$K$1374"),1),"")</f>
        <v/>
      </c>
      <c r="K588" s="292" t="n">
        <f aca="false">$K$516+COUNTIF($Q$517:Q588,"&gt;0")</f>
        <v>0</v>
      </c>
      <c r="L588" s="292" t="str">
        <f aca="false">"Наушники и гарнитуры"</f>
        <v>Наушники и гарнитуры</v>
      </c>
      <c r="M588" s="292" t="str">
        <f aca="false">IF(ISBLANK('Наушники и гарнитуры'!$A$61),"",'Наушники и гарнитуры'!$A$61)</f>
        <v>BM94 Sonar универсальные наушники с микрофоном</v>
      </c>
      <c r="N588" s="292" t="str">
        <f aca="false">IF(ISBLANK('Наушники и гарнитуры'!$D$61),"",'Наушники и гарнитуры'!$D$61)</f>
        <v>6941991115820</v>
      </c>
      <c r="O588" s="292" t="str">
        <f aca="false">IF(ISBLANK('Наушники и гарнитуры'!$E$61),"",'Наушники и гарнитуры'!$E$61)</f>
        <v>чёрный</v>
      </c>
      <c r="P588" s="292" t="str">
        <f aca="false">"ед."</f>
        <v>ед.</v>
      </c>
      <c r="Q588" s="292" t="n">
        <f aca="false">N('Наушники и гарнитуры'!$G$61)</f>
        <v>0</v>
      </c>
      <c r="R588" s="299" t="n">
        <f aca="false">IF(ISBLANK('Наушники и гарнитуры'!$F$61),"",'Наушники и гарнитуры'!$F$61)</f>
        <v>58.71</v>
      </c>
      <c r="S588" s="292" t="str">
        <f aca="false">IF(ISBLANK('Наушники и гарнитуры'!$H$61),"",'Наушники и гарнитуры'!$H$61)</f>
        <v/>
      </c>
    </row>
    <row r="589" customFormat="false" ht="66" hidden="false" customHeight="true" outlineLevel="0" collapsed="false">
      <c r="A589" s="291" t="str">
        <f aca="true">IF(ISNUMBER($J589),INDIRECT("L"&amp;($J589+4)),"")</f>
        <v/>
      </c>
      <c r="B589" s="291" t="str">
        <f aca="true">IF(ISNUMBER($J589),INDIRECT("M"&amp;($J589+4)),"")</f>
        <v/>
      </c>
      <c r="C589" s="296" t="str">
        <f aca="true">IF(ISNUMBER($J589),INDIRECT("N"&amp;($J589+4)),"")</f>
        <v/>
      </c>
      <c r="D589" s="291" t="str">
        <f aca="true">IF(ISNUMBER($J589),INDIRECT("O"&amp;($J589+4)),"")</f>
        <v/>
      </c>
      <c r="E589" s="291" t="str">
        <f aca="true">IF(ISNUMBER($J589),INDIRECT("P"&amp;($J589+4)),"")</f>
        <v/>
      </c>
      <c r="F589" s="300" t="str">
        <f aca="true">IF(ISNUMBER($J589),INDIRECT("Q"&amp;($J589+4)),"")</f>
        <v/>
      </c>
      <c r="G589" s="298" t="str">
        <f aca="true">IF(ISNUMBER($J589),INDIRECT("R"&amp;($J589+4)),"")</f>
        <v/>
      </c>
      <c r="H589" s="298" t="str">
        <f aca="true">IF(ISNUMBER($J589),INDIRECT("S"&amp;($J589+4)),"")</f>
        <v/>
      </c>
      <c r="J589" s="292" t="str">
        <f aca="true">IF(585&lt;=$K$1,MATCH(584.5,INDIRECT("$K$4:$K$1374"),1),"")</f>
        <v/>
      </c>
      <c r="K589" s="292" t="n">
        <f aca="false">$K$516+COUNTIF($Q$517:Q589,"&gt;0")</f>
        <v>0</v>
      </c>
      <c r="L589" s="292" t="str">
        <f aca="false">"Наушники и гарнитуры"</f>
        <v>Наушники и гарнитуры</v>
      </c>
      <c r="M589" s="292" t="str">
        <f aca="false">IF(ISBLANK('Наушники и гарнитуры'!$A$61),"",'Наушники и гарнитуры'!$A$61)</f>
        <v>BM94 Sonar универсальные наушники с микрофоном</v>
      </c>
      <c r="N589" s="292" t="str">
        <f aca="false">IF(ISBLANK('Наушники и гарнитуры'!$D$62),"",'Наушники и гарнитуры'!$D$62)</f>
        <v>6941991115837</v>
      </c>
      <c r="O589" s="292" t="str">
        <f aca="false">IF(ISBLANK('Наушники и гарнитуры'!$E$62),"",'Наушники и гарнитуры'!$E$62)</f>
        <v>белый</v>
      </c>
      <c r="P589" s="292" t="str">
        <f aca="false">"ед."</f>
        <v>ед.</v>
      </c>
      <c r="Q589" s="292" t="n">
        <f aca="false">N('Наушники и гарнитуры'!$G$62)</f>
        <v>0</v>
      </c>
      <c r="R589" s="299" t="n">
        <f aca="false">IF(ISBLANK('Наушники и гарнитуры'!$F$62),"",'Наушники и гарнитуры'!$F$62)</f>
        <v>58.71</v>
      </c>
      <c r="S589" s="292" t="str">
        <f aca="false">IF(ISBLANK('Наушники и гарнитуры'!$H$62),"",'Наушники и гарнитуры'!$H$62)</f>
        <v/>
      </c>
    </row>
    <row r="590" customFormat="false" ht="66" hidden="false" customHeight="true" outlineLevel="0" collapsed="false">
      <c r="A590" s="291" t="str">
        <f aca="true">IF(ISNUMBER($J590),INDIRECT("L"&amp;($J590+4)),"")</f>
        <v/>
      </c>
      <c r="B590" s="291" t="str">
        <f aca="true">IF(ISNUMBER($J590),INDIRECT("M"&amp;($J590+4)),"")</f>
        <v/>
      </c>
      <c r="C590" s="296" t="str">
        <f aca="true">IF(ISNUMBER($J590),INDIRECT("N"&amp;($J590+4)),"")</f>
        <v/>
      </c>
      <c r="D590" s="291" t="str">
        <f aca="true">IF(ISNUMBER($J590),INDIRECT("O"&amp;($J590+4)),"")</f>
        <v/>
      </c>
      <c r="E590" s="291" t="str">
        <f aca="true">IF(ISNUMBER($J590),INDIRECT("P"&amp;($J590+4)),"")</f>
        <v/>
      </c>
      <c r="F590" s="300" t="str">
        <f aca="true">IF(ISNUMBER($J590),INDIRECT("Q"&amp;($J590+4)),"")</f>
        <v/>
      </c>
      <c r="G590" s="298" t="str">
        <f aca="true">IF(ISNUMBER($J590),INDIRECT("R"&amp;($J590+4)),"")</f>
        <v/>
      </c>
      <c r="H590" s="298" t="str">
        <f aca="true">IF(ISNUMBER($J590),INDIRECT("S"&amp;($J590+4)),"")</f>
        <v/>
      </c>
      <c r="J590" s="292" t="str">
        <f aca="true">IF(586&lt;=$K$1,MATCH(585.5,INDIRECT("$K$4:$K$1374"),1),"")</f>
        <v/>
      </c>
      <c r="K590" s="292" t="n">
        <f aca="false">$K$516+COUNTIF($Q$517:Q590,"&gt;0")</f>
        <v>0</v>
      </c>
      <c r="L590" s="292" t="str">
        <f aca="false">"Наушники и гарнитуры"</f>
        <v>Наушники и гарнитуры</v>
      </c>
      <c r="M590" s="292" t="str">
        <f aca="false">IF(ISBLANK('Наушники и гарнитуры'!$A$63),"",'Наушники и гарнитуры'!$A$63)</f>
        <v>BM87 Element универсальные металлические наушники с микрофоном</v>
      </c>
      <c r="N590" s="292" t="str">
        <f aca="false">IF(ISBLANK('Наушники и гарнитуры'!$D$63),"",'Наушники и гарнитуры'!$D$63)</f>
        <v>6941991106323</v>
      </c>
      <c r="O590" s="292" t="str">
        <f aca="false">IF(ISBLANK('Наушники и гарнитуры'!$E$63),"",'Наушники и гарнитуры'!$E$63)</f>
        <v>черный</v>
      </c>
      <c r="P590" s="292" t="str">
        <f aca="false">"ед."</f>
        <v>ед.</v>
      </c>
      <c r="Q590" s="292" t="n">
        <f aca="false">N('Наушники и гарнитуры'!$G$63)</f>
        <v>0</v>
      </c>
      <c r="R590" s="299" t="n">
        <f aca="false">IF(ISBLANK('Наушники и гарнитуры'!$F$63),"",'Наушники и гарнитуры'!$F$63)</f>
        <v>130.48</v>
      </c>
      <c r="S590" s="292" t="str">
        <f aca="false">IF(ISBLANK('Наушники и гарнитуры'!$H$63),"",'Наушники и гарнитуры'!$H$63)</f>
        <v/>
      </c>
    </row>
    <row r="591" customFormat="false" ht="66" hidden="false" customHeight="true" outlineLevel="0" collapsed="false">
      <c r="A591" s="291" t="str">
        <f aca="true">IF(ISNUMBER($J591),INDIRECT("L"&amp;($J591+4)),"")</f>
        <v/>
      </c>
      <c r="B591" s="291" t="str">
        <f aca="true">IF(ISNUMBER($J591),INDIRECT("M"&amp;($J591+4)),"")</f>
        <v/>
      </c>
      <c r="C591" s="296" t="str">
        <f aca="true">IF(ISNUMBER($J591),INDIRECT("N"&amp;($J591+4)),"")</f>
        <v/>
      </c>
      <c r="D591" s="291" t="str">
        <f aca="true">IF(ISNUMBER($J591),INDIRECT("O"&amp;($J591+4)),"")</f>
        <v/>
      </c>
      <c r="E591" s="291" t="str">
        <f aca="true">IF(ISNUMBER($J591),INDIRECT("P"&amp;($J591+4)),"")</f>
        <v/>
      </c>
      <c r="F591" s="300" t="str">
        <f aca="true">IF(ISNUMBER($J591),INDIRECT("Q"&amp;($J591+4)),"")</f>
        <v/>
      </c>
      <c r="G591" s="298" t="str">
        <f aca="true">IF(ISNUMBER($J591),INDIRECT("R"&amp;($J591+4)),"")</f>
        <v/>
      </c>
      <c r="H591" s="298" t="str">
        <f aca="true">IF(ISNUMBER($J591),INDIRECT("S"&amp;($J591+4)),"")</f>
        <v/>
      </c>
      <c r="J591" s="292" t="str">
        <f aca="true">IF(587&lt;=$K$1,MATCH(586.5,INDIRECT("$K$4:$K$1374"),1),"")</f>
        <v/>
      </c>
      <c r="K591" s="292" t="n">
        <f aca="false">$K$516+COUNTIF($Q$517:Q591,"&gt;0")</f>
        <v>0</v>
      </c>
      <c r="L591" s="292" t="str">
        <f aca="false">"Наушники и гарнитуры"</f>
        <v>Наушники и гарнитуры</v>
      </c>
      <c r="M591" s="292" t="str">
        <f aca="false">IF(ISBLANK('Наушники и гарнитуры'!$A$64),"",'Наушники и гарнитуры'!$A$64)</f>
        <v>BM84 Berry универсальные наушники с микрофоном</v>
      </c>
      <c r="N591" s="292" t="str">
        <f aca="false">IF(ISBLANK('Наушники и гарнитуры'!$D$64),"",'Наушники и гарнитуры'!$D$64)</f>
        <v>6941991105241</v>
      </c>
      <c r="O591" s="292" t="str">
        <f aca="false">IF(ISBLANK('Наушники и гарнитуры'!$E$64),"",'Наушники и гарнитуры'!$E$64)</f>
        <v>черный</v>
      </c>
      <c r="P591" s="292" t="str">
        <f aca="false">"ед."</f>
        <v>ед.</v>
      </c>
      <c r="Q591" s="292" t="n">
        <f aca="false">N('Наушники и гарнитуры'!$G$64)</f>
        <v>0</v>
      </c>
      <c r="R591" s="299" t="n">
        <f aca="false">IF(ISBLANK('Наушники и гарнитуры'!$F$64),"",'Наушники и гарнитуры'!$F$64)</f>
        <v>78.29</v>
      </c>
      <c r="S591" s="292" t="str">
        <f aca="false">IF(ISBLANK('Наушники и гарнитуры'!$H$64),"",'Наушники и гарнитуры'!$H$64)</f>
        <v/>
      </c>
    </row>
    <row r="592" customFormat="false" ht="66" hidden="false" customHeight="true" outlineLevel="0" collapsed="false">
      <c r="A592" s="291" t="str">
        <f aca="true">IF(ISNUMBER($J592),INDIRECT("L"&amp;($J592+4)),"")</f>
        <v/>
      </c>
      <c r="B592" s="291" t="str">
        <f aca="true">IF(ISNUMBER($J592),INDIRECT("M"&amp;($J592+4)),"")</f>
        <v/>
      </c>
      <c r="C592" s="296" t="str">
        <f aca="true">IF(ISNUMBER($J592),INDIRECT("N"&amp;($J592+4)),"")</f>
        <v/>
      </c>
      <c r="D592" s="291" t="str">
        <f aca="true">IF(ISNUMBER($J592),INDIRECT("O"&amp;($J592+4)),"")</f>
        <v/>
      </c>
      <c r="E592" s="291" t="str">
        <f aca="true">IF(ISNUMBER($J592),INDIRECT("P"&amp;($J592+4)),"")</f>
        <v/>
      </c>
      <c r="F592" s="300" t="str">
        <f aca="true">IF(ISNUMBER($J592),INDIRECT("Q"&amp;($J592+4)),"")</f>
        <v/>
      </c>
      <c r="G592" s="298" t="str">
        <f aca="true">IF(ISNUMBER($J592),INDIRECT("R"&amp;($J592+4)),"")</f>
        <v/>
      </c>
      <c r="H592" s="298" t="str">
        <f aca="true">IF(ISNUMBER($J592),INDIRECT("S"&amp;($J592+4)),"")</f>
        <v/>
      </c>
      <c r="J592" s="292" t="str">
        <f aca="true">IF(588&lt;=$K$1,MATCH(587.5,INDIRECT("$K$4:$K$1374"),1),"")</f>
        <v/>
      </c>
      <c r="K592" s="292" t="n">
        <f aca="false">$K$516+COUNTIF($Q$517:Q592,"&gt;0")</f>
        <v>0</v>
      </c>
      <c r="L592" s="292" t="str">
        <f aca="false">"Наушники и гарнитуры"</f>
        <v>Наушники и гарнитуры</v>
      </c>
      <c r="M592" s="292" t="str">
        <f aca="false">IF(ISBLANK('Наушники и гарнитуры'!$A$64),"",'Наушники и гарнитуры'!$A$64)</f>
        <v>BM84 Berry универсальные наушники с микрофоном</v>
      </c>
      <c r="N592" s="292" t="str">
        <f aca="false">IF(ISBLANK('Наушники и гарнитуры'!$D$65),"",'Наушники и гарнитуры'!$D$65)</f>
        <v>6941991105258</v>
      </c>
      <c r="O592" s="292" t="str">
        <f aca="false">IF(ISBLANK('Наушники и гарнитуры'!$E$65),"",'Наушники и гарнитуры'!$E$65)</f>
        <v>белый</v>
      </c>
      <c r="P592" s="292" t="str">
        <f aca="false">"ед."</f>
        <v>ед.</v>
      </c>
      <c r="Q592" s="292" t="n">
        <f aca="false">N('Наушники и гарнитуры'!$G$65)</f>
        <v>0</v>
      </c>
      <c r="R592" s="299" t="n">
        <f aca="false">IF(ISBLANK('Наушники и гарнитуры'!$F$65),"",'Наушники и гарнитуры'!$F$65)</f>
        <v>78.29</v>
      </c>
      <c r="S592" s="292" t="str">
        <f aca="false">IF(ISBLANK('Наушники и гарнитуры'!$H$65),"",'Наушники и гарнитуры'!$H$65)</f>
        <v/>
      </c>
    </row>
    <row r="593" customFormat="false" ht="66" hidden="false" customHeight="true" outlineLevel="0" collapsed="false">
      <c r="A593" s="291" t="str">
        <f aca="true">IF(ISNUMBER($J593),INDIRECT("L"&amp;($J593+4)),"")</f>
        <v/>
      </c>
      <c r="B593" s="291" t="str">
        <f aca="true">IF(ISNUMBER($J593),INDIRECT("M"&amp;($J593+4)),"")</f>
        <v/>
      </c>
      <c r="C593" s="296" t="str">
        <f aca="true">IF(ISNUMBER($J593),INDIRECT("N"&amp;($J593+4)),"")</f>
        <v/>
      </c>
      <c r="D593" s="291" t="str">
        <f aca="true">IF(ISNUMBER($J593),INDIRECT("O"&amp;($J593+4)),"")</f>
        <v/>
      </c>
      <c r="E593" s="291" t="str">
        <f aca="true">IF(ISNUMBER($J593),INDIRECT("P"&amp;($J593+4)),"")</f>
        <v/>
      </c>
      <c r="F593" s="300" t="str">
        <f aca="true">IF(ISNUMBER($J593),INDIRECT("Q"&amp;($J593+4)),"")</f>
        <v/>
      </c>
      <c r="G593" s="298" t="str">
        <f aca="true">IF(ISNUMBER($J593),INDIRECT("R"&amp;($J593+4)),"")</f>
        <v/>
      </c>
      <c r="H593" s="298" t="str">
        <f aca="true">IF(ISNUMBER($J593),INDIRECT("S"&amp;($J593+4)),"")</f>
        <v/>
      </c>
      <c r="J593" s="292" t="str">
        <f aca="true">IF(589&lt;=$K$1,MATCH(588.5,INDIRECT("$K$4:$K$1374"),1),"")</f>
        <v/>
      </c>
      <c r="K593" s="292" t="n">
        <f aca="false">$K$516+COUNTIF($Q$517:Q593,"&gt;0")</f>
        <v>0</v>
      </c>
      <c r="L593" s="292" t="str">
        <f aca="false">"Наушники и гарнитуры"</f>
        <v>Наушники и гарнитуры</v>
      </c>
      <c r="M593" s="292" t="str">
        <f aca="false">IF(ISBLANK('Наушники и гарнитуры'!$A$66),"",'Наушники и гарнитуры'!$A$66)</f>
        <v>BM83 Craft универсальные наушники с микрофоном</v>
      </c>
      <c r="N593" s="292" t="str">
        <f aca="false">IF(ISBLANK('Наушники и гарнитуры'!$D$66),"",'Наушники и гарнитуры'!$D$66)</f>
        <v>6941991101960</v>
      </c>
      <c r="O593" s="292" t="str">
        <f aca="false">IF(ISBLANK('Наушники и гарнитуры'!$E$66),"",'Наушники и гарнитуры'!$E$66)</f>
        <v>черный</v>
      </c>
      <c r="P593" s="292" t="str">
        <f aca="false">"ед."</f>
        <v>ед.</v>
      </c>
      <c r="Q593" s="292" t="n">
        <f aca="false">N('Наушники и гарнитуры'!$G$66)</f>
        <v>0</v>
      </c>
      <c r="R593" s="299" t="n">
        <f aca="false">IF(ISBLANK('Наушники и гарнитуры'!$F$66),"",'Наушники и гарнитуры'!$F$66)</f>
        <v>63.61</v>
      </c>
      <c r="S593" s="292" t="str">
        <f aca="false">IF(ISBLANK('Наушники и гарнитуры'!$H$66),"",'Наушники и гарнитуры'!$H$66)</f>
        <v/>
      </c>
    </row>
    <row r="594" customFormat="false" ht="66" hidden="false" customHeight="true" outlineLevel="0" collapsed="false">
      <c r="A594" s="291" t="str">
        <f aca="true">IF(ISNUMBER($J594),INDIRECT("L"&amp;($J594+4)),"")</f>
        <v/>
      </c>
      <c r="B594" s="291" t="str">
        <f aca="true">IF(ISNUMBER($J594),INDIRECT("M"&amp;($J594+4)),"")</f>
        <v/>
      </c>
      <c r="C594" s="296" t="str">
        <f aca="true">IF(ISNUMBER($J594),INDIRECT("N"&amp;($J594+4)),"")</f>
        <v/>
      </c>
      <c r="D594" s="291" t="str">
        <f aca="true">IF(ISNUMBER($J594),INDIRECT("O"&amp;($J594+4)),"")</f>
        <v/>
      </c>
      <c r="E594" s="291" t="str">
        <f aca="true">IF(ISNUMBER($J594),INDIRECT("P"&amp;($J594+4)),"")</f>
        <v/>
      </c>
      <c r="F594" s="300" t="str">
        <f aca="true">IF(ISNUMBER($J594),INDIRECT("Q"&amp;($J594+4)),"")</f>
        <v/>
      </c>
      <c r="G594" s="298" t="str">
        <f aca="true">IF(ISNUMBER($J594),INDIRECT("R"&amp;($J594+4)),"")</f>
        <v/>
      </c>
      <c r="H594" s="298" t="str">
        <f aca="true">IF(ISNUMBER($J594),INDIRECT("S"&amp;($J594+4)),"")</f>
        <v/>
      </c>
      <c r="J594" s="292" t="str">
        <f aca="true">IF(590&lt;=$K$1,MATCH(589.5,INDIRECT("$K$4:$K$1374"),1),"")</f>
        <v/>
      </c>
      <c r="K594" s="292" t="n">
        <f aca="false">$K$516+COUNTIF($Q$517:Q594,"&gt;0")</f>
        <v>0</v>
      </c>
      <c r="L594" s="292" t="str">
        <f aca="false">"Наушники и гарнитуры"</f>
        <v>Наушники и гарнитуры</v>
      </c>
      <c r="M594" s="292" t="str">
        <f aca="false">IF(ISBLANK('Наушники и гарнитуры'!$A$66),"",'Наушники и гарнитуры'!$A$66)</f>
        <v>BM83 Craft универсальные наушники с микрофоном</v>
      </c>
      <c r="N594" s="292" t="str">
        <f aca="false">IF(ISBLANK('Наушники и гарнитуры'!$D$67),"",'Наушники и гарнитуры'!$D$67)</f>
        <v>6941991101977</v>
      </c>
      <c r="O594" s="292" t="str">
        <f aca="false">IF(ISBLANK('Наушники и гарнитуры'!$E$67),"",'Наушники и гарнитуры'!$E$67)</f>
        <v>белый</v>
      </c>
      <c r="P594" s="292" t="str">
        <f aca="false">"ед."</f>
        <v>ед.</v>
      </c>
      <c r="Q594" s="292" t="n">
        <f aca="false">N('Наушники и гарнитуры'!$G$67)</f>
        <v>0</v>
      </c>
      <c r="R594" s="299" t="n">
        <f aca="false">IF(ISBLANK('Наушники и гарнитуры'!$F$67),"",'Наушники и гарнитуры'!$F$67)</f>
        <v>63.61</v>
      </c>
      <c r="S594" s="292" t="str">
        <f aca="false">IF(ISBLANK('Наушники и гарнитуры'!$H$67),"",'Наушники и гарнитуры'!$H$67)</f>
        <v/>
      </c>
    </row>
    <row r="595" customFormat="false" ht="66" hidden="false" customHeight="true" outlineLevel="0" collapsed="false">
      <c r="A595" s="291" t="str">
        <f aca="true">IF(ISNUMBER($J595),INDIRECT("L"&amp;($J595+4)),"")</f>
        <v/>
      </c>
      <c r="B595" s="291" t="str">
        <f aca="true">IF(ISNUMBER($J595),INDIRECT("M"&amp;($J595+4)),"")</f>
        <v/>
      </c>
      <c r="C595" s="296" t="str">
        <f aca="true">IF(ISNUMBER($J595),INDIRECT("N"&amp;($J595+4)),"")</f>
        <v/>
      </c>
      <c r="D595" s="291" t="str">
        <f aca="true">IF(ISNUMBER($J595),INDIRECT("O"&amp;($J595+4)),"")</f>
        <v/>
      </c>
      <c r="E595" s="291" t="str">
        <f aca="true">IF(ISNUMBER($J595),INDIRECT("P"&amp;($J595+4)),"")</f>
        <v/>
      </c>
      <c r="F595" s="300" t="str">
        <f aca="true">IF(ISNUMBER($J595),INDIRECT("Q"&amp;($J595+4)),"")</f>
        <v/>
      </c>
      <c r="G595" s="298" t="str">
        <f aca="true">IF(ISNUMBER($J595),INDIRECT("R"&amp;($J595+4)),"")</f>
        <v/>
      </c>
      <c r="H595" s="298" t="str">
        <f aca="true">IF(ISNUMBER($J595),INDIRECT("S"&amp;($J595+4)),"")</f>
        <v/>
      </c>
      <c r="J595" s="292" t="str">
        <f aca="true">IF(591&lt;=$K$1,MATCH(590.5,INDIRECT("$K$4:$K$1374"),1),"")</f>
        <v/>
      </c>
      <c r="K595" s="292" t="n">
        <f aca="false">$K$516+COUNTIF($Q$517:Q595,"&gt;0")</f>
        <v>0</v>
      </c>
      <c r="L595" s="292" t="str">
        <f aca="false">"Наушники и гарнитуры"</f>
        <v>Наушники и гарнитуры</v>
      </c>
      <c r="M595" s="292" t="str">
        <f aca="false">IF(ISBLANK('Наушники и гарнитуры'!$A$68),"",'Наушники и гарнитуры'!$A$68)</f>
        <v>BM77 Ascending универсальные наушники с микрофоном</v>
      </c>
      <c r="N595" s="292" t="str">
        <f aca="false">IF(ISBLANK('Наушники и гарнитуры'!$D$68),"",'Наушники и гарнитуры'!$D$68)</f>
        <v>6941991102950</v>
      </c>
      <c r="O595" s="292" t="str">
        <f aca="false">IF(ISBLANK('Наушники и гарнитуры'!$E$68),"",'Наушники и гарнитуры'!$E$68)</f>
        <v>черный</v>
      </c>
      <c r="P595" s="292" t="str">
        <f aca="false">"ед."</f>
        <v>ед.</v>
      </c>
      <c r="Q595" s="292" t="n">
        <f aca="false">N('Наушники и гарнитуры'!$G$68)</f>
        <v>0</v>
      </c>
      <c r="R595" s="299" t="n">
        <f aca="false">IF(ISBLANK('Наушники и гарнитуры'!$F$68),"",'Наушники и гарнитуры'!$F$68)</f>
        <v>50.56</v>
      </c>
      <c r="S595" s="292" t="str">
        <f aca="false">IF(ISBLANK('Наушники и гарнитуры'!$H$68),"",'Наушники и гарнитуры'!$H$68)</f>
        <v/>
      </c>
    </row>
    <row r="596" customFormat="false" ht="66" hidden="false" customHeight="true" outlineLevel="0" collapsed="false">
      <c r="A596" s="291" t="str">
        <f aca="true">IF(ISNUMBER($J596),INDIRECT("L"&amp;($J596+4)),"")</f>
        <v/>
      </c>
      <c r="B596" s="291" t="str">
        <f aca="true">IF(ISNUMBER($J596),INDIRECT("M"&amp;($J596+4)),"")</f>
        <v/>
      </c>
      <c r="C596" s="296" t="str">
        <f aca="true">IF(ISNUMBER($J596),INDIRECT("N"&amp;($J596+4)),"")</f>
        <v/>
      </c>
      <c r="D596" s="291" t="str">
        <f aca="true">IF(ISNUMBER($J596),INDIRECT("O"&amp;($J596+4)),"")</f>
        <v/>
      </c>
      <c r="E596" s="291" t="str">
        <f aca="true">IF(ISNUMBER($J596),INDIRECT("P"&amp;($J596+4)),"")</f>
        <v/>
      </c>
      <c r="F596" s="300" t="str">
        <f aca="true">IF(ISNUMBER($J596),INDIRECT("Q"&amp;($J596+4)),"")</f>
        <v/>
      </c>
      <c r="G596" s="298" t="str">
        <f aca="true">IF(ISNUMBER($J596),INDIRECT("R"&amp;($J596+4)),"")</f>
        <v/>
      </c>
      <c r="H596" s="298" t="str">
        <f aca="true">IF(ISNUMBER($J596),INDIRECT("S"&amp;($J596+4)),"")</f>
        <v/>
      </c>
      <c r="J596" s="292" t="str">
        <f aca="true">IF(592&lt;=$K$1,MATCH(591.5,INDIRECT("$K$4:$K$1374"),1),"")</f>
        <v/>
      </c>
      <c r="K596" s="292" t="n">
        <f aca="false">$K$516+COUNTIF($Q$517:Q596,"&gt;0")</f>
        <v>0</v>
      </c>
      <c r="L596" s="292" t="str">
        <f aca="false">"Наушники и гарнитуры"</f>
        <v>Наушники и гарнитуры</v>
      </c>
      <c r="M596" s="292" t="str">
        <f aca="false">IF(ISBLANK('Наушники и гарнитуры'!$A$68),"",'Наушники и гарнитуры'!$A$68)</f>
        <v>BM77 Ascending универсальные наушники с микрофоном</v>
      </c>
      <c r="N596" s="292" t="str">
        <f aca="false">IF(ISBLANK('Наушники и гарнитуры'!$D$69),"",'Наушники и гарнитуры'!$D$69)</f>
        <v>6941991102967</v>
      </c>
      <c r="O596" s="292" t="str">
        <f aca="false">IF(ISBLANK('Наушники и гарнитуры'!$E$69),"",'Наушники и гарнитуры'!$E$69)</f>
        <v>белый</v>
      </c>
      <c r="P596" s="292" t="str">
        <f aca="false">"ед."</f>
        <v>ед.</v>
      </c>
      <c r="Q596" s="292" t="n">
        <f aca="false">N('Наушники и гарнитуры'!$G$69)</f>
        <v>0</v>
      </c>
      <c r="R596" s="299" t="n">
        <f aca="false">IF(ISBLANK('Наушники и гарнитуры'!$F$69),"",'Наушники и гарнитуры'!$F$69)</f>
        <v>50.56</v>
      </c>
      <c r="S596" s="292" t="str">
        <f aca="false">IF(ISBLANK('Наушники и гарнитуры'!$H$69),"",'Наушники и гарнитуры'!$H$69)</f>
        <v/>
      </c>
    </row>
    <row r="597" customFormat="false" ht="66" hidden="false" customHeight="true" outlineLevel="0" collapsed="false">
      <c r="A597" s="291" t="str">
        <f aca="true">IF(ISNUMBER($J597),INDIRECT("L"&amp;($J597+4)),"")</f>
        <v/>
      </c>
      <c r="B597" s="291" t="str">
        <f aca="true">IF(ISNUMBER($J597),INDIRECT("M"&amp;($J597+4)),"")</f>
        <v/>
      </c>
      <c r="C597" s="296" t="str">
        <f aca="true">IF(ISNUMBER($J597),INDIRECT("N"&amp;($J597+4)),"")</f>
        <v/>
      </c>
      <c r="D597" s="291" t="str">
        <f aca="true">IF(ISNUMBER($J597),INDIRECT("O"&amp;($J597+4)),"")</f>
        <v/>
      </c>
      <c r="E597" s="291" t="str">
        <f aca="true">IF(ISNUMBER($J597),INDIRECT("P"&amp;($J597+4)),"")</f>
        <v/>
      </c>
      <c r="F597" s="300" t="str">
        <f aca="true">IF(ISNUMBER($J597),INDIRECT("Q"&amp;($J597+4)),"")</f>
        <v/>
      </c>
      <c r="G597" s="298" t="str">
        <f aca="true">IF(ISNUMBER($J597),INDIRECT("R"&amp;($J597+4)),"")</f>
        <v/>
      </c>
      <c r="H597" s="298" t="str">
        <f aca="true">IF(ISNUMBER($J597),INDIRECT("S"&amp;($J597+4)),"")</f>
        <v/>
      </c>
      <c r="J597" s="292" t="str">
        <f aca="true">IF(593&lt;=$K$1,MATCH(592.5,INDIRECT("$K$4:$K$1374"),1),"")</f>
        <v/>
      </c>
      <c r="K597" s="292" t="n">
        <f aca="false">$K$516+COUNTIF($Q$517:Q597,"&gt;0")</f>
        <v>0</v>
      </c>
      <c r="L597" s="292" t="str">
        <f aca="false">"Наушники и гарнитуры"</f>
        <v>Наушники и гарнитуры</v>
      </c>
      <c r="M597" s="292" t="str">
        <f aca="false">IF(ISBLANK('Наушники и гарнитуры'!$A$70),"",'Наушники и гарнитуры'!$A$70)</f>
        <v>BM76 Ocean универсальные наушники с микрофоном</v>
      </c>
      <c r="N597" s="292" t="str">
        <f aca="false">IF(ISBLANK('Наушники и гарнитуры'!$D$70),"",'Наушники и гарнитуры'!$D$70)</f>
        <v>6974443388268</v>
      </c>
      <c r="O597" s="292" t="str">
        <f aca="false">IF(ISBLANK('Наушники и гарнитуры'!$E$70),"",'Наушники и гарнитуры'!$E$70)</f>
        <v>черный</v>
      </c>
      <c r="P597" s="292" t="str">
        <f aca="false">"ед."</f>
        <v>ед.</v>
      </c>
      <c r="Q597" s="292" t="n">
        <f aca="false">N('Наушники и гарнитуры'!$G$70)</f>
        <v>0</v>
      </c>
      <c r="R597" s="299" t="n">
        <f aca="false">IF(ISBLANK('Наушники и гарнитуры'!$F$70),"",'Наушники и гарнитуры'!$F$70)</f>
        <v>57.08</v>
      </c>
      <c r="S597" s="292" t="str">
        <f aca="false">IF(ISBLANK('Наушники и гарнитуры'!$H$70),"",'Наушники и гарнитуры'!$H$70)</f>
        <v/>
      </c>
    </row>
    <row r="598" customFormat="false" ht="66" hidden="false" customHeight="true" outlineLevel="0" collapsed="false">
      <c r="A598" s="291" t="str">
        <f aca="true">IF(ISNUMBER($J598),INDIRECT("L"&amp;($J598+4)),"")</f>
        <v/>
      </c>
      <c r="B598" s="291" t="str">
        <f aca="true">IF(ISNUMBER($J598),INDIRECT("M"&amp;($J598+4)),"")</f>
        <v/>
      </c>
      <c r="C598" s="296" t="str">
        <f aca="true">IF(ISNUMBER($J598),INDIRECT("N"&amp;($J598+4)),"")</f>
        <v/>
      </c>
      <c r="D598" s="291" t="str">
        <f aca="true">IF(ISNUMBER($J598),INDIRECT("O"&amp;($J598+4)),"")</f>
        <v/>
      </c>
      <c r="E598" s="291" t="str">
        <f aca="true">IF(ISNUMBER($J598),INDIRECT("P"&amp;($J598+4)),"")</f>
        <v/>
      </c>
      <c r="F598" s="300" t="str">
        <f aca="true">IF(ISNUMBER($J598),INDIRECT("Q"&amp;($J598+4)),"")</f>
        <v/>
      </c>
      <c r="G598" s="298" t="str">
        <f aca="true">IF(ISNUMBER($J598),INDIRECT("R"&amp;($J598+4)),"")</f>
        <v/>
      </c>
      <c r="H598" s="298" t="str">
        <f aca="true">IF(ISNUMBER($J598),INDIRECT("S"&amp;($J598+4)),"")</f>
        <v/>
      </c>
      <c r="J598" s="292" t="str">
        <f aca="true">IF(594&lt;=$K$1,MATCH(593.5,INDIRECT("$K$4:$K$1374"),1),"")</f>
        <v/>
      </c>
      <c r="K598" s="292" t="n">
        <f aca="false">$K$516+COUNTIF($Q$517:Q598,"&gt;0")</f>
        <v>0</v>
      </c>
      <c r="L598" s="292" t="str">
        <f aca="false">"Наушники и гарнитуры"</f>
        <v>Наушники и гарнитуры</v>
      </c>
      <c r="M598" s="292" t="str">
        <f aca="false">IF(ISBLANK('Наушники и гарнитуры'!$A$70),"",'Наушники и гарнитуры'!$A$70)</f>
        <v>BM76 Ocean универсальные наушники с микрофоном</v>
      </c>
      <c r="N598" s="292" t="str">
        <f aca="false">IF(ISBLANK('Наушники и гарнитуры'!$D$71),"",'Наушники и гарнитуры'!$D$71)</f>
        <v>6974443388275</v>
      </c>
      <c r="O598" s="292" t="str">
        <f aca="false">IF(ISBLANK('Наушники и гарнитуры'!$E$71),"",'Наушники и гарнитуры'!$E$71)</f>
        <v>белый</v>
      </c>
      <c r="P598" s="292" t="str">
        <f aca="false">"ед."</f>
        <v>ед.</v>
      </c>
      <c r="Q598" s="292" t="n">
        <f aca="false">N('Наушники и гарнитуры'!$G$71)</f>
        <v>0</v>
      </c>
      <c r="R598" s="299" t="n">
        <f aca="false">IF(ISBLANK('Наушники и гарнитуры'!$F$71),"",'Наушники и гарнитуры'!$F$71)</f>
        <v>57.08</v>
      </c>
      <c r="S598" s="292" t="str">
        <f aca="false">IF(ISBLANK('Наушники и гарнитуры'!$H$71),"",'Наушники и гарнитуры'!$H$71)</f>
        <v/>
      </c>
    </row>
    <row r="599" customFormat="false" ht="66" hidden="false" customHeight="true" outlineLevel="0" collapsed="false">
      <c r="A599" s="291" t="str">
        <f aca="true">IF(ISNUMBER($J599),INDIRECT("L"&amp;($J599+4)),"")</f>
        <v/>
      </c>
      <c r="B599" s="291" t="str">
        <f aca="true">IF(ISNUMBER($J599),INDIRECT("M"&amp;($J599+4)),"")</f>
        <v/>
      </c>
      <c r="C599" s="296" t="str">
        <f aca="true">IF(ISNUMBER($J599),INDIRECT("N"&amp;($J599+4)),"")</f>
        <v/>
      </c>
      <c r="D599" s="291" t="str">
        <f aca="true">IF(ISNUMBER($J599),INDIRECT("O"&amp;($J599+4)),"")</f>
        <v/>
      </c>
      <c r="E599" s="291" t="str">
        <f aca="true">IF(ISNUMBER($J599),INDIRECT("P"&amp;($J599+4)),"")</f>
        <v/>
      </c>
      <c r="F599" s="300" t="str">
        <f aca="true">IF(ISNUMBER($J599),INDIRECT("Q"&amp;($J599+4)),"")</f>
        <v/>
      </c>
      <c r="G599" s="298" t="str">
        <f aca="true">IF(ISNUMBER($J599),INDIRECT("R"&amp;($J599+4)),"")</f>
        <v/>
      </c>
      <c r="H599" s="298" t="str">
        <f aca="true">IF(ISNUMBER($J599),INDIRECT("S"&amp;($J599+4)),"")</f>
        <v/>
      </c>
      <c r="J599" s="292" t="str">
        <f aca="true">IF(595&lt;=$K$1,MATCH(594.5,INDIRECT("$K$4:$K$1374"),1),"")</f>
        <v/>
      </c>
      <c r="K599" s="292" t="n">
        <f aca="false">$K$516+COUNTIF($Q$517:Q599,"&gt;0")</f>
        <v>0</v>
      </c>
      <c r="L599" s="292" t="str">
        <f aca="false">"Наушники и гарнитуры"</f>
        <v>Наушники и гарнитуры</v>
      </c>
      <c r="M599" s="292" t="str">
        <f aca="false">IF(ISBLANK('Наушники и гарнитуры'!$A$72),"",'Наушники и гарнитуры'!$A$72)</f>
        <v>BM74 Singer универсальные наушники с микрофоном</v>
      </c>
      <c r="N599" s="292" t="str">
        <f aca="false">IF(ISBLANK('Наушники и гарнитуры'!$D$72),"",'Наушники и гарнитуры'!$D$72)</f>
        <v>6974443388220</v>
      </c>
      <c r="O599" s="292" t="str">
        <f aca="false">IF(ISBLANK('Наушники и гарнитуры'!$E$72),"",'Наушники и гарнитуры'!$E$72)</f>
        <v>черный</v>
      </c>
      <c r="P599" s="292" t="str">
        <f aca="false">"ед."</f>
        <v>ед.</v>
      </c>
      <c r="Q599" s="292" t="n">
        <f aca="false">N('Наушники и гарнитуры'!$G$72)</f>
        <v>0</v>
      </c>
      <c r="R599" s="299" t="n">
        <f aca="false">IF(ISBLANK('Наушники и гарнитуры'!$F$72),"",'Наушники и гарнитуры'!$F$72)</f>
        <v>55.45</v>
      </c>
      <c r="S599" s="292" t="str">
        <f aca="false">IF(ISBLANK('Наушники и гарнитуры'!$H$72),"",'Наушники и гарнитуры'!$H$72)</f>
        <v/>
      </c>
    </row>
    <row r="600" customFormat="false" ht="66" hidden="false" customHeight="true" outlineLevel="0" collapsed="false">
      <c r="A600" s="291" t="str">
        <f aca="true">IF(ISNUMBER($J600),INDIRECT("L"&amp;($J600+4)),"")</f>
        <v/>
      </c>
      <c r="B600" s="291" t="str">
        <f aca="true">IF(ISNUMBER($J600),INDIRECT("M"&amp;($J600+4)),"")</f>
        <v/>
      </c>
      <c r="C600" s="296" t="str">
        <f aca="true">IF(ISNUMBER($J600),INDIRECT("N"&amp;($J600+4)),"")</f>
        <v/>
      </c>
      <c r="D600" s="291" t="str">
        <f aca="true">IF(ISNUMBER($J600),INDIRECT("O"&amp;($J600+4)),"")</f>
        <v/>
      </c>
      <c r="E600" s="291" t="str">
        <f aca="true">IF(ISNUMBER($J600),INDIRECT("P"&amp;($J600+4)),"")</f>
        <v/>
      </c>
      <c r="F600" s="300" t="str">
        <f aca="true">IF(ISNUMBER($J600),INDIRECT("Q"&amp;($J600+4)),"")</f>
        <v/>
      </c>
      <c r="G600" s="298" t="str">
        <f aca="true">IF(ISNUMBER($J600),INDIRECT("R"&amp;($J600+4)),"")</f>
        <v/>
      </c>
      <c r="H600" s="298" t="str">
        <f aca="true">IF(ISNUMBER($J600),INDIRECT("S"&amp;($J600+4)),"")</f>
        <v/>
      </c>
      <c r="J600" s="292" t="str">
        <f aca="true">IF(596&lt;=$K$1,MATCH(595.5,INDIRECT("$K$4:$K$1374"),1),"")</f>
        <v/>
      </c>
      <c r="K600" s="292" t="n">
        <f aca="false">$K$516+COUNTIF($Q$517:Q600,"&gt;0")</f>
        <v>0</v>
      </c>
      <c r="L600" s="292" t="str">
        <f aca="false">"Наушники и гарнитуры"</f>
        <v>Наушники и гарнитуры</v>
      </c>
      <c r="M600" s="292" t="str">
        <f aca="false">IF(ISBLANK('Наушники и гарнитуры'!$A$72),"",'Наушники и гарнитуры'!$A$72)</f>
        <v>BM74 Singer универсальные наушники с микрофоном</v>
      </c>
      <c r="N600" s="292" t="str">
        <f aca="false">IF(ISBLANK('Наушники и гарнитуры'!$D$73),"",'Наушники и гарнитуры'!$D$73)</f>
        <v>6974443388237</v>
      </c>
      <c r="O600" s="292" t="str">
        <f aca="false">IF(ISBLANK('Наушники и гарнитуры'!$E$73),"",'Наушники и гарнитуры'!$E$73)</f>
        <v>белый</v>
      </c>
      <c r="P600" s="292" t="str">
        <f aca="false">"ед."</f>
        <v>ед.</v>
      </c>
      <c r="Q600" s="292" t="n">
        <f aca="false">N('Наушники и гарнитуры'!$G$73)</f>
        <v>0</v>
      </c>
      <c r="R600" s="299" t="n">
        <f aca="false">IF(ISBLANK('Наушники и гарнитуры'!$F$73),"",'Наушники и гарнитуры'!$F$73)</f>
        <v>55.45</v>
      </c>
      <c r="S600" s="292" t="str">
        <f aca="false">IF(ISBLANK('Наушники и гарнитуры'!$H$73),"",'Наушники и гарнитуры'!$H$73)</f>
        <v/>
      </c>
    </row>
    <row r="601" customFormat="false" ht="66" hidden="false" customHeight="true" outlineLevel="0" collapsed="false">
      <c r="A601" s="291" t="str">
        <f aca="true">IF(ISNUMBER($J601),INDIRECT("L"&amp;($J601+4)),"")</f>
        <v/>
      </c>
      <c r="B601" s="291" t="str">
        <f aca="true">IF(ISNUMBER($J601),INDIRECT("M"&amp;($J601+4)),"")</f>
        <v/>
      </c>
      <c r="C601" s="296" t="str">
        <f aca="true">IF(ISNUMBER($J601),INDIRECT("N"&amp;($J601+4)),"")</f>
        <v/>
      </c>
      <c r="D601" s="291" t="str">
        <f aca="true">IF(ISNUMBER($J601),INDIRECT("O"&amp;($J601+4)),"")</f>
        <v/>
      </c>
      <c r="E601" s="291" t="str">
        <f aca="true">IF(ISNUMBER($J601),INDIRECT("P"&amp;($J601+4)),"")</f>
        <v/>
      </c>
      <c r="F601" s="300" t="str">
        <f aca="true">IF(ISNUMBER($J601),INDIRECT("Q"&amp;($J601+4)),"")</f>
        <v/>
      </c>
      <c r="G601" s="298" t="str">
        <f aca="true">IF(ISNUMBER($J601),INDIRECT("R"&amp;($J601+4)),"")</f>
        <v/>
      </c>
      <c r="H601" s="298" t="str">
        <f aca="true">IF(ISNUMBER($J601),INDIRECT("S"&amp;($J601+4)),"")</f>
        <v/>
      </c>
      <c r="J601" s="292" t="str">
        <f aca="true">IF(597&lt;=$K$1,MATCH(596.5,INDIRECT("$K$4:$K$1374"),1),"")</f>
        <v/>
      </c>
      <c r="K601" s="292" t="n">
        <f aca="false">$K$516+COUNTIF($Q$517:Q601,"&gt;0")</f>
        <v>0</v>
      </c>
      <c r="L601" s="292" t="str">
        <f aca="false">"Наушники и гарнитуры"</f>
        <v>Наушники и гарнитуры</v>
      </c>
      <c r="M601" s="292" t="str">
        <f aca="false">IF(ISBLANK('Наушники и гарнитуры'!$A$74),"",'Наушники и гарнитуры'!$A$74)</f>
        <v>BM71 Light song универсальные наушники с микрофоном</v>
      </c>
      <c r="N601" s="292" t="str">
        <f aca="false">IF(ISBLANK('Наушники и гарнитуры'!$D$74),"",'Наушники и гарнитуры'!$D$74)</f>
        <v>6974443386639</v>
      </c>
      <c r="O601" s="292" t="str">
        <f aca="false">IF(ISBLANK('Наушники и гарнитуры'!$E$74),"",'Наушники и гарнитуры'!$E$74)</f>
        <v>черный</v>
      </c>
      <c r="P601" s="292" t="str">
        <f aca="false">"ед."</f>
        <v>ед.</v>
      </c>
      <c r="Q601" s="292" t="n">
        <f aca="false">N('Наушники и гарнитуры'!$G$74)</f>
        <v>0</v>
      </c>
      <c r="R601" s="299" t="n">
        <f aca="false">IF(ISBLANK('Наушники и гарнитуры'!$F$74),"",'Наушники и гарнитуры'!$F$74)</f>
        <v>84.81</v>
      </c>
      <c r="S601" s="292" t="str">
        <f aca="false">IF(ISBLANK('Наушники и гарнитуры'!$H$74),"",'Наушники и гарнитуры'!$H$74)</f>
        <v/>
      </c>
    </row>
    <row r="602" customFormat="false" ht="66" hidden="false" customHeight="true" outlineLevel="0" collapsed="false">
      <c r="A602" s="291" t="str">
        <f aca="true">IF(ISNUMBER($J602),INDIRECT("L"&amp;($J602+4)),"")</f>
        <v/>
      </c>
      <c r="B602" s="291" t="str">
        <f aca="true">IF(ISNUMBER($J602),INDIRECT("M"&amp;($J602+4)),"")</f>
        <v/>
      </c>
      <c r="C602" s="296" t="str">
        <f aca="true">IF(ISNUMBER($J602),INDIRECT("N"&amp;($J602+4)),"")</f>
        <v/>
      </c>
      <c r="D602" s="291" t="str">
        <f aca="true">IF(ISNUMBER($J602),INDIRECT("O"&amp;($J602+4)),"")</f>
        <v/>
      </c>
      <c r="E602" s="291" t="str">
        <f aca="true">IF(ISNUMBER($J602),INDIRECT("P"&amp;($J602+4)),"")</f>
        <v/>
      </c>
      <c r="F602" s="300" t="str">
        <f aca="true">IF(ISNUMBER($J602),INDIRECT("Q"&amp;($J602+4)),"")</f>
        <v/>
      </c>
      <c r="G602" s="298" t="str">
        <f aca="true">IF(ISNUMBER($J602),INDIRECT("R"&amp;($J602+4)),"")</f>
        <v/>
      </c>
      <c r="H602" s="298" t="str">
        <f aca="true">IF(ISNUMBER($J602),INDIRECT("S"&amp;($J602+4)),"")</f>
        <v/>
      </c>
      <c r="J602" s="292" t="str">
        <f aca="true">IF(598&lt;=$K$1,MATCH(597.5,INDIRECT("$K$4:$K$1374"),1),"")</f>
        <v/>
      </c>
      <c r="K602" s="292" t="n">
        <f aca="false">$K$516+COUNTIF($Q$517:Q602,"&gt;0")</f>
        <v>0</v>
      </c>
      <c r="L602" s="292" t="str">
        <f aca="false">"Наушники и гарнитуры"</f>
        <v>Наушники и гарнитуры</v>
      </c>
      <c r="M602" s="292" t="str">
        <f aca="false">IF(ISBLANK('Наушники и гарнитуры'!$A$74),"",'Наушники и гарнитуры'!$A$74)</f>
        <v>BM71 Light song универсальные наушники с микрофоном</v>
      </c>
      <c r="N602" s="292" t="str">
        <f aca="false">IF(ISBLANK('Наушники и гарнитуры'!$D$75),"",'Наушники и гарнитуры'!$D$75)</f>
        <v>6974443386646</v>
      </c>
      <c r="O602" s="292" t="str">
        <f aca="false">IF(ISBLANK('Наушники и гарнитуры'!$E$75),"",'Наушники и гарнитуры'!$E$75)</f>
        <v>белый</v>
      </c>
      <c r="P602" s="292" t="str">
        <f aca="false">"ед."</f>
        <v>ед.</v>
      </c>
      <c r="Q602" s="292" t="n">
        <f aca="false">N('Наушники и гарнитуры'!$G$75)</f>
        <v>0</v>
      </c>
      <c r="R602" s="299" t="n">
        <f aca="false">IF(ISBLANK('Наушники и гарнитуры'!$F$75),"",'Наушники и гарнитуры'!$F$75)</f>
        <v>84.81</v>
      </c>
      <c r="S602" s="292" t="str">
        <f aca="false">IF(ISBLANK('Наушники и гарнитуры'!$H$75),"",'Наушники и гарнитуры'!$H$75)</f>
        <v/>
      </c>
    </row>
    <row r="603" customFormat="false" ht="66" hidden="false" customHeight="true" outlineLevel="0" collapsed="false">
      <c r="A603" s="291" t="str">
        <f aca="true">IF(ISNUMBER($J603),INDIRECT("L"&amp;($J603+4)),"")</f>
        <v/>
      </c>
      <c r="B603" s="291" t="str">
        <f aca="true">IF(ISNUMBER($J603),INDIRECT("M"&amp;($J603+4)),"")</f>
        <v/>
      </c>
      <c r="C603" s="296" t="str">
        <f aca="true">IF(ISNUMBER($J603),INDIRECT("N"&amp;($J603+4)),"")</f>
        <v/>
      </c>
      <c r="D603" s="291" t="str">
        <f aca="true">IF(ISNUMBER($J603),INDIRECT("O"&amp;($J603+4)),"")</f>
        <v/>
      </c>
      <c r="E603" s="291" t="str">
        <f aca="true">IF(ISNUMBER($J603),INDIRECT("P"&amp;($J603+4)),"")</f>
        <v/>
      </c>
      <c r="F603" s="300" t="str">
        <f aca="true">IF(ISNUMBER($J603),INDIRECT("Q"&amp;($J603+4)),"")</f>
        <v/>
      </c>
      <c r="G603" s="298" t="str">
        <f aca="true">IF(ISNUMBER($J603),INDIRECT("R"&amp;($J603+4)),"")</f>
        <v/>
      </c>
      <c r="H603" s="298" t="str">
        <f aca="true">IF(ISNUMBER($J603),INDIRECT("S"&amp;($J603+4)),"")</f>
        <v/>
      </c>
      <c r="J603" s="292" t="str">
        <f aca="true">IF(599&lt;=$K$1,MATCH(598.5,INDIRECT("$K$4:$K$1374"),1),"")</f>
        <v/>
      </c>
      <c r="K603" s="292" t="n">
        <f aca="false">$K$516+COUNTIF($Q$517:Q603,"&gt;0")</f>
        <v>0</v>
      </c>
      <c r="L603" s="292" t="str">
        <f aca="false">"Наушники и гарнитуры"</f>
        <v>Наушники и гарнитуры</v>
      </c>
      <c r="M603" s="292" t="str">
        <f aca="false">IF(ISBLANK('Наушники и гарнитуры'!$A$76),"",'Наушники и гарнитуры'!$A$76)</f>
        <v>BM67 Talent универсальные наушники с микрофоном</v>
      </c>
      <c r="N603" s="292" t="str">
        <f aca="false">IF(ISBLANK('Наушники и гарнитуры'!$D$76),"",'Наушники и гарнитуры'!$D$76)</f>
        <v>6974443382891</v>
      </c>
      <c r="O603" s="292" t="str">
        <f aca="false">IF(ISBLANK('Наушники и гарнитуры'!$E$76),"",'Наушники и гарнитуры'!$E$76)</f>
        <v>черный</v>
      </c>
      <c r="P603" s="292" t="str">
        <f aca="false">"ед."</f>
        <v>ед.</v>
      </c>
      <c r="Q603" s="292" t="n">
        <f aca="false">N('Наушники и гарнитуры'!$G$76)</f>
        <v>0</v>
      </c>
      <c r="R603" s="299" t="n">
        <f aca="false">IF(ISBLANK('Наушники и гарнитуры'!$F$76),"",'Наушники и гарнитуры'!$F$76)</f>
        <v>84.81</v>
      </c>
      <c r="S603" s="292" t="str">
        <f aca="false">IF(ISBLANK('Наушники и гарнитуры'!$H$76),"",'Наушники и гарнитуры'!$H$76)</f>
        <v/>
      </c>
    </row>
    <row r="604" customFormat="false" ht="66" hidden="false" customHeight="true" outlineLevel="0" collapsed="false">
      <c r="A604" s="291" t="str">
        <f aca="true">IF(ISNUMBER($J604),INDIRECT("L"&amp;($J604+4)),"")</f>
        <v/>
      </c>
      <c r="B604" s="291" t="str">
        <f aca="true">IF(ISNUMBER($J604),INDIRECT("M"&amp;($J604+4)),"")</f>
        <v/>
      </c>
      <c r="C604" s="296" t="str">
        <f aca="true">IF(ISNUMBER($J604),INDIRECT("N"&amp;($J604+4)),"")</f>
        <v/>
      </c>
      <c r="D604" s="291" t="str">
        <f aca="true">IF(ISNUMBER($J604),INDIRECT("O"&amp;($J604+4)),"")</f>
        <v/>
      </c>
      <c r="E604" s="291" t="str">
        <f aca="true">IF(ISNUMBER($J604),INDIRECT("P"&amp;($J604+4)),"")</f>
        <v/>
      </c>
      <c r="F604" s="300" t="str">
        <f aca="true">IF(ISNUMBER($J604),INDIRECT("Q"&amp;($J604+4)),"")</f>
        <v/>
      </c>
      <c r="G604" s="298" t="str">
        <f aca="true">IF(ISNUMBER($J604),INDIRECT("R"&amp;($J604+4)),"")</f>
        <v/>
      </c>
      <c r="H604" s="298" t="str">
        <f aca="true">IF(ISNUMBER($J604),INDIRECT("S"&amp;($J604+4)),"")</f>
        <v/>
      </c>
      <c r="J604" s="292" t="str">
        <f aca="true">IF(600&lt;=$K$1,MATCH(599.5,INDIRECT("$K$4:$K$1374"),1),"")</f>
        <v/>
      </c>
      <c r="K604" s="292" t="n">
        <f aca="false">$K$516+COUNTIF($Q$517:Q604,"&gt;0")</f>
        <v>0</v>
      </c>
      <c r="L604" s="292" t="str">
        <f aca="false">"Наушники и гарнитуры"</f>
        <v>Наушники и гарнитуры</v>
      </c>
      <c r="M604" s="292" t="str">
        <f aca="false">IF(ISBLANK('Наушники и гарнитуры'!$A$76),"",'Наушники и гарнитуры'!$A$76)</f>
        <v>BM67 Talent универсальные наушники с микрофоном</v>
      </c>
      <c r="N604" s="292" t="str">
        <f aca="false">IF(ISBLANK('Наушники и гарнитуры'!$D$77),"",'Наушники и гарнитуры'!$D$77)</f>
        <v>6974443382907</v>
      </c>
      <c r="O604" s="292" t="str">
        <f aca="false">IF(ISBLANK('Наушники и гарнитуры'!$E$77),"",'Наушники и гарнитуры'!$E$77)</f>
        <v>белый</v>
      </c>
      <c r="P604" s="292" t="str">
        <f aca="false">"ед."</f>
        <v>ед.</v>
      </c>
      <c r="Q604" s="292" t="n">
        <f aca="false">N('Наушники и гарнитуры'!$G$77)</f>
        <v>0</v>
      </c>
      <c r="R604" s="299" t="n">
        <f aca="false">IF(ISBLANK('Наушники и гарнитуры'!$F$77),"",'Наушники и гарнитуры'!$F$77)</f>
        <v>84.81</v>
      </c>
      <c r="S604" s="292" t="str">
        <f aca="false">IF(ISBLANK('Наушники и гарнитуры'!$H$77),"",'Наушники и гарнитуры'!$H$77)</f>
        <v/>
      </c>
    </row>
    <row r="605" customFormat="false" ht="66" hidden="false" customHeight="true" outlineLevel="0" collapsed="false">
      <c r="A605" s="291" t="str">
        <f aca="true">IF(ISNUMBER($J605),INDIRECT("L"&amp;($J605+4)),"")</f>
        <v/>
      </c>
      <c r="B605" s="291" t="str">
        <f aca="true">IF(ISNUMBER($J605),INDIRECT("M"&amp;($J605+4)),"")</f>
        <v/>
      </c>
      <c r="C605" s="296" t="str">
        <f aca="true">IF(ISNUMBER($J605),INDIRECT("N"&amp;($J605+4)),"")</f>
        <v/>
      </c>
      <c r="D605" s="291" t="str">
        <f aca="true">IF(ISNUMBER($J605),INDIRECT("O"&amp;($J605+4)),"")</f>
        <v/>
      </c>
      <c r="E605" s="291" t="str">
        <f aca="true">IF(ISNUMBER($J605),INDIRECT("P"&amp;($J605+4)),"")</f>
        <v/>
      </c>
      <c r="F605" s="300" t="str">
        <f aca="true">IF(ISNUMBER($J605),INDIRECT("Q"&amp;($J605+4)),"")</f>
        <v/>
      </c>
      <c r="G605" s="298" t="str">
        <f aca="true">IF(ISNUMBER($J605),INDIRECT("R"&amp;($J605+4)),"")</f>
        <v/>
      </c>
      <c r="H605" s="298" t="str">
        <f aca="true">IF(ISNUMBER($J605),INDIRECT("S"&amp;($J605+4)),"")</f>
        <v/>
      </c>
      <c r="J605" s="292" t="str">
        <f aca="true">IF(601&lt;=$K$1,MATCH(600.5,INDIRECT("$K$4:$K$1374"),1),"")</f>
        <v/>
      </c>
      <c r="K605" s="292" t="n">
        <f aca="false">$K$516+COUNTIF($Q$517:Q605,"&gt;0")</f>
        <v>0</v>
      </c>
      <c r="L605" s="292" t="str">
        <f aca="false">"Наушники и гарнитуры"</f>
        <v>Наушники и гарнитуры</v>
      </c>
      <c r="M605" s="292" t="str">
        <f aca="false">IF(ISBLANK('Наушники и гарнитуры'!$A$78),"",'Наушники и гарнитуры'!$A$78)</f>
        <v>BM61 Wanderer универсальные наушники с микрофоном</v>
      </c>
      <c r="N605" s="292" t="str">
        <f aca="false">IF(ISBLANK('Наушники и гарнитуры'!$D$78),"",'Наушники и гарнитуры'!$D$78)</f>
        <v>6931474746054</v>
      </c>
      <c r="O605" s="292" t="str">
        <f aca="false">IF(ISBLANK('Наушники и гарнитуры'!$E$78),"",'Наушники и гарнитуры'!$E$78)</f>
        <v>черный</v>
      </c>
      <c r="P605" s="292" t="str">
        <f aca="false">"ед."</f>
        <v>ед.</v>
      </c>
      <c r="Q605" s="292" t="n">
        <f aca="false">N('Наушники и гарнитуры'!$G$78)</f>
        <v>0</v>
      </c>
      <c r="R605" s="299" t="n">
        <f aca="false">IF(ISBLANK('Наушники и гарнитуры'!$F$78),"",'Наушники и гарнитуры'!$F$78)</f>
        <v>53.82</v>
      </c>
      <c r="S605" s="292" t="str">
        <f aca="false">IF(ISBLANK('Наушники и гарнитуры'!$H$78),"",'Наушники и гарнитуры'!$H$78)</f>
        <v/>
      </c>
    </row>
    <row r="606" customFormat="false" ht="66" hidden="false" customHeight="true" outlineLevel="0" collapsed="false">
      <c r="A606" s="291" t="str">
        <f aca="true">IF(ISNUMBER($J606),INDIRECT("L"&amp;($J606+4)),"")</f>
        <v/>
      </c>
      <c r="B606" s="291" t="str">
        <f aca="true">IF(ISNUMBER($J606),INDIRECT("M"&amp;($J606+4)),"")</f>
        <v/>
      </c>
      <c r="C606" s="296" t="str">
        <f aca="true">IF(ISNUMBER($J606),INDIRECT("N"&amp;($J606+4)),"")</f>
        <v/>
      </c>
      <c r="D606" s="291" t="str">
        <f aca="true">IF(ISNUMBER($J606),INDIRECT("O"&amp;($J606+4)),"")</f>
        <v/>
      </c>
      <c r="E606" s="291" t="str">
        <f aca="true">IF(ISNUMBER($J606),INDIRECT("P"&amp;($J606+4)),"")</f>
        <v/>
      </c>
      <c r="F606" s="300" t="str">
        <f aca="true">IF(ISNUMBER($J606),INDIRECT("Q"&amp;($J606+4)),"")</f>
        <v/>
      </c>
      <c r="G606" s="298" t="str">
        <f aca="true">IF(ISNUMBER($J606),INDIRECT("R"&amp;($J606+4)),"")</f>
        <v/>
      </c>
      <c r="H606" s="298" t="str">
        <f aca="true">IF(ISNUMBER($J606),INDIRECT("S"&amp;($J606+4)),"")</f>
        <v/>
      </c>
      <c r="J606" s="292" t="str">
        <f aca="true">IF(602&lt;=$K$1,MATCH(601.5,INDIRECT("$K$4:$K$1374"),1),"")</f>
        <v/>
      </c>
      <c r="K606" s="292" t="n">
        <f aca="false">$K$516+COUNTIF($Q$517:Q606,"&gt;0")</f>
        <v>0</v>
      </c>
      <c r="L606" s="292" t="str">
        <f aca="false">"Наушники и гарнитуры"</f>
        <v>Наушники и гарнитуры</v>
      </c>
      <c r="M606" s="292" t="str">
        <f aca="false">IF(ISBLANK('Наушники и гарнитуры'!$A$78),"",'Наушники и гарнитуры'!$A$78)</f>
        <v>BM61 Wanderer универсальные наушники с микрофоном</v>
      </c>
      <c r="N606" s="292" t="str">
        <f aca="false">IF(ISBLANK('Наушники и гарнитуры'!$D$79),"",'Наушники и гарнитуры'!$D$79)</f>
        <v>6931474746061</v>
      </c>
      <c r="O606" s="292" t="str">
        <f aca="false">IF(ISBLANK('Наушники и гарнитуры'!$E$79),"",'Наушники и гарнитуры'!$E$79)</f>
        <v>белый</v>
      </c>
      <c r="P606" s="292" t="str">
        <f aca="false">"ед."</f>
        <v>ед.</v>
      </c>
      <c r="Q606" s="292" t="n">
        <f aca="false">N('Наушники и гарнитуры'!$G$79)</f>
        <v>0</v>
      </c>
      <c r="R606" s="299" t="n">
        <f aca="false">IF(ISBLANK('Наушники и гарнитуры'!$F$79),"",'Наушники и гарнитуры'!$F$79)</f>
        <v>53.82</v>
      </c>
      <c r="S606" s="292" t="str">
        <f aca="false">IF(ISBLANK('Наушники и гарнитуры'!$H$79),"",'Наушники и гарнитуры'!$H$79)</f>
        <v/>
      </c>
    </row>
    <row r="607" customFormat="false" ht="66" hidden="false" customHeight="true" outlineLevel="0" collapsed="false">
      <c r="A607" s="291" t="str">
        <f aca="true">IF(ISNUMBER($J607),INDIRECT("L"&amp;($J607+4)),"")</f>
        <v/>
      </c>
      <c r="B607" s="291" t="str">
        <f aca="true">IF(ISNUMBER($J607),INDIRECT("M"&amp;($J607+4)),"")</f>
        <v/>
      </c>
      <c r="C607" s="296" t="str">
        <f aca="true">IF(ISNUMBER($J607),INDIRECT("N"&amp;($J607+4)),"")</f>
        <v/>
      </c>
      <c r="D607" s="291" t="str">
        <f aca="true">IF(ISNUMBER($J607),INDIRECT("O"&amp;($J607+4)),"")</f>
        <v/>
      </c>
      <c r="E607" s="291" t="str">
        <f aca="true">IF(ISNUMBER($J607),INDIRECT("P"&amp;($J607+4)),"")</f>
        <v/>
      </c>
      <c r="F607" s="300" t="str">
        <f aca="true">IF(ISNUMBER($J607),INDIRECT("Q"&amp;($J607+4)),"")</f>
        <v/>
      </c>
      <c r="G607" s="298" t="str">
        <f aca="true">IF(ISNUMBER($J607),INDIRECT("R"&amp;($J607+4)),"")</f>
        <v/>
      </c>
      <c r="H607" s="298" t="str">
        <f aca="true">IF(ISNUMBER($J607),INDIRECT("S"&amp;($J607+4)),"")</f>
        <v/>
      </c>
      <c r="J607" s="292" t="str">
        <f aca="true">IF(603&lt;=$K$1,MATCH(602.5,INDIRECT("$K$4:$K$1374"),1),"")</f>
        <v/>
      </c>
      <c r="K607" s="292" t="n">
        <f aca="false">$K$516+COUNTIF($Q$517:Q607,"&gt;0")</f>
        <v>0</v>
      </c>
      <c r="L607" s="292" t="str">
        <f aca="false">"Наушники и гарнитуры"</f>
        <v>Наушники и гарнитуры</v>
      </c>
      <c r="M607" s="292" t="str">
        <f aca="false">IF(ISBLANK('Наушники и гарнитуры'!$A$80),"",'Наушники и гарнитуры'!$A$80)</f>
        <v>BM57 Platinum универсальные наушники с микрофоном</v>
      </c>
      <c r="N607" s="292" t="str">
        <f aca="false">IF(ISBLANK('Наушники и гарнитуры'!$D$80),"",'Наушники и гарнитуры'!$D$80)</f>
        <v>6931474739216</v>
      </c>
      <c r="O607" s="292" t="str">
        <f aca="false">IF(ISBLANK('Наушники и гарнитуры'!$E$80),"",'Наушники и гарнитуры'!$E$80)</f>
        <v>черный</v>
      </c>
      <c r="P607" s="292" t="str">
        <f aca="false">"ед."</f>
        <v>ед.</v>
      </c>
      <c r="Q607" s="292" t="n">
        <f aca="false">N('Наушники и гарнитуры'!$G$80)</f>
        <v>0</v>
      </c>
      <c r="R607" s="299" t="n">
        <f aca="false">IF(ISBLANK('Наушники и гарнитуры'!$F$80),"",'Наушники и гарнитуры'!$F$80)</f>
        <v>81.55</v>
      </c>
      <c r="S607" s="292" t="str">
        <f aca="false">IF(ISBLANK('Наушники и гарнитуры'!$H$80),"",'Наушники и гарнитуры'!$H$80)</f>
        <v/>
      </c>
    </row>
    <row r="608" customFormat="false" ht="66" hidden="false" customHeight="true" outlineLevel="0" collapsed="false">
      <c r="A608" s="291" t="str">
        <f aca="true">IF(ISNUMBER($J608),INDIRECT("L"&amp;($J608+4)),"")</f>
        <v/>
      </c>
      <c r="B608" s="291" t="str">
        <f aca="true">IF(ISNUMBER($J608),INDIRECT("M"&amp;($J608+4)),"")</f>
        <v/>
      </c>
      <c r="C608" s="296" t="str">
        <f aca="true">IF(ISNUMBER($J608),INDIRECT("N"&amp;($J608+4)),"")</f>
        <v/>
      </c>
      <c r="D608" s="291" t="str">
        <f aca="true">IF(ISNUMBER($J608),INDIRECT("O"&amp;($J608+4)),"")</f>
        <v/>
      </c>
      <c r="E608" s="291" t="str">
        <f aca="true">IF(ISNUMBER($J608),INDIRECT("P"&amp;($J608+4)),"")</f>
        <v/>
      </c>
      <c r="F608" s="300" t="str">
        <f aca="true">IF(ISNUMBER($J608),INDIRECT("Q"&amp;($J608+4)),"")</f>
        <v/>
      </c>
      <c r="G608" s="298" t="str">
        <f aca="true">IF(ISNUMBER($J608),INDIRECT("R"&amp;($J608+4)),"")</f>
        <v/>
      </c>
      <c r="H608" s="298" t="str">
        <f aca="true">IF(ISNUMBER($J608),INDIRECT("S"&amp;($J608+4)),"")</f>
        <v/>
      </c>
      <c r="J608" s="292" t="str">
        <f aca="true">IF(604&lt;=$K$1,MATCH(603.5,INDIRECT("$K$4:$K$1374"),1),"")</f>
        <v/>
      </c>
      <c r="K608" s="292" t="n">
        <f aca="false">$K$516+COUNTIF($Q$517:Q608,"&gt;0")</f>
        <v>0</v>
      </c>
      <c r="L608" s="292" t="str">
        <f aca="false">"Наушники и гарнитуры"</f>
        <v>Наушники и гарнитуры</v>
      </c>
      <c r="M608" s="292" t="str">
        <f aca="false">IF(ISBLANK('Наушники и гарнитуры'!$A$81),"",'Наушники и гарнитуры'!$A$81)</f>
        <v>BM54 Maya универсальные наушники с микрофоном</v>
      </c>
      <c r="N608" s="292" t="str">
        <f aca="false">IF(ISBLANK('Наушники и гарнитуры'!$D$81),"",'Наушники и гарнитуры'!$D$81)</f>
        <v>6931474735287</v>
      </c>
      <c r="O608" s="292" t="str">
        <f aca="false">IF(ISBLANK('Наушники и гарнитуры'!$E$81),"",'Наушники и гарнитуры'!$E$81)</f>
        <v>черный</v>
      </c>
      <c r="P608" s="292" t="str">
        <f aca="false">"ед."</f>
        <v>ед.</v>
      </c>
      <c r="Q608" s="292" t="n">
        <f aca="false">N('Наушники и гарнитуры'!$G$81)</f>
        <v>0</v>
      </c>
      <c r="R608" s="299" t="n">
        <f aca="false">IF(ISBLANK('Наушники и гарнитуры'!$F$81),"",'Наушники и гарнитуры'!$F$81)</f>
        <v>73.39</v>
      </c>
      <c r="S608" s="292" t="str">
        <f aca="false">IF(ISBLANK('Наушники и гарнитуры'!$H$81),"",'Наушники и гарнитуры'!$H$81)</f>
        <v/>
      </c>
    </row>
    <row r="609" customFormat="false" ht="66" hidden="false" customHeight="true" outlineLevel="0" collapsed="false">
      <c r="A609" s="291" t="str">
        <f aca="true">IF(ISNUMBER($J609),INDIRECT("L"&amp;($J609+4)),"")</f>
        <v/>
      </c>
      <c r="B609" s="291" t="str">
        <f aca="true">IF(ISNUMBER($J609),INDIRECT("M"&amp;($J609+4)),"")</f>
        <v/>
      </c>
      <c r="C609" s="296" t="str">
        <f aca="true">IF(ISNUMBER($J609),INDIRECT("N"&amp;($J609+4)),"")</f>
        <v/>
      </c>
      <c r="D609" s="291" t="str">
        <f aca="true">IF(ISNUMBER($J609),INDIRECT("O"&amp;($J609+4)),"")</f>
        <v/>
      </c>
      <c r="E609" s="291" t="str">
        <f aca="true">IF(ISNUMBER($J609),INDIRECT("P"&amp;($J609+4)),"")</f>
        <v/>
      </c>
      <c r="F609" s="300" t="str">
        <f aca="true">IF(ISNUMBER($J609),INDIRECT("Q"&amp;($J609+4)),"")</f>
        <v/>
      </c>
      <c r="G609" s="298" t="str">
        <f aca="true">IF(ISNUMBER($J609),INDIRECT("R"&amp;($J609+4)),"")</f>
        <v/>
      </c>
      <c r="H609" s="298" t="str">
        <f aca="true">IF(ISNUMBER($J609),INDIRECT("S"&amp;($J609+4)),"")</f>
        <v/>
      </c>
      <c r="J609" s="292" t="str">
        <f aca="true">IF(605&lt;=$K$1,MATCH(604.5,INDIRECT("$K$4:$K$1374"),1),"")</f>
        <v/>
      </c>
      <c r="K609" s="292" t="n">
        <f aca="false">$K$516+COUNTIF($Q$517:Q609,"&gt;0")</f>
        <v>0</v>
      </c>
      <c r="L609" s="292" t="str">
        <f aca="false">"Наушники и гарнитуры"</f>
        <v>Наушники и гарнитуры</v>
      </c>
      <c r="M609" s="292" t="str">
        <f aca="false">IF(ISBLANK('Наушники и гарнитуры'!$A$81),"",'Наушники и гарнитуры'!$A$81)</f>
        <v>BM54 Maya универсальные наушники с микрофоном</v>
      </c>
      <c r="N609" s="292" t="str">
        <f aca="false">IF(ISBLANK('Наушники и гарнитуры'!$D$82),"",'Наушники и гарнитуры'!$D$82)</f>
        <v>6931474735294</v>
      </c>
      <c r="O609" s="292" t="str">
        <f aca="false">IF(ISBLANK('Наушники и гарнитуры'!$E$82),"",'Наушники и гарнитуры'!$E$82)</f>
        <v>белый</v>
      </c>
      <c r="P609" s="292" t="str">
        <f aca="false">"ед."</f>
        <v>ед.</v>
      </c>
      <c r="Q609" s="292" t="n">
        <f aca="false">N('Наушники и гарнитуры'!$G$82)</f>
        <v>0</v>
      </c>
      <c r="R609" s="299" t="n">
        <f aca="false">IF(ISBLANK('Наушники и гарнитуры'!$F$82),"",'Наушники и гарнитуры'!$F$82)</f>
        <v>73.39</v>
      </c>
      <c r="S609" s="292" t="str">
        <f aca="false">IF(ISBLANK('Наушники и гарнитуры'!$H$82),"",'Наушники и гарнитуры'!$H$82)</f>
        <v/>
      </c>
    </row>
    <row r="610" customFormat="false" ht="66" hidden="false" customHeight="true" outlineLevel="0" collapsed="false">
      <c r="A610" s="291" t="str">
        <f aca="true">IF(ISNUMBER($J610),INDIRECT("L"&amp;($J610+4)),"")</f>
        <v/>
      </c>
      <c r="B610" s="291" t="str">
        <f aca="true">IF(ISNUMBER($J610),INDIRECT("M"&amp;($J610+4)),"")</f>
        <v/>
      </c>
      <c r="C610" s="296" t="str">
        <f aca="true">IF(ISNUMBER($J610),INDIRECT("N"&amp;($J610+4)),"")</f>
        <v/>
      </c>
      <c r="D610" s="291" t="str">
        <f aca="true">IF(ISNUMBER($J610),INDIRECT("O"&amp;($J610+4)),"")</f>
        <v/>
      </c>
      <c r="E610" s="291" t="str">
        <f aca="true">IF(ISNUMBER($J610),INDIRECT("P"&amp;($J610+4)),"")</f>
        <v/>
      </c>
      <c r="F610" s="300" t="str">
        <f aca="true">IF(ISNUMBER($J610),INDIRECT("Q"&amp;($J610+4)),"")</f>
        <v/>
      </c>
      <c r="G610" s="298" t="str">
        <f aca="true">IF(ISNUMBER($J610),INDIRECT("R"&amp;($J610+4)),"")</f>
        <v/>
      </c>
      <c r="H610" s="298" t="str">
        <f aca="true">IF(ISNUMBER($J610),INDIRECT("S"&amp;($J610+4)),"")</f>
        <v/>
      </c>
      <c r="J610" s="292" t="str">
        <f aca="true">IF(606&lt;=$K$1,MATCH(605.5,INDIRECT("$K$4:$K$1374"),1),"")</f>
        <v/>
      </c>
      <c r="K610" s="292" t="n">
        <f aca="false">$K$516+COUNTIF($Q$517:Q610,"&gt;0")</f>
        <v>0</v>
      </c>
      <c r="L610" s="292" t="str">
        <f aca="false">"Наушники и гарнитуры"</f>
        <v>Наушники и гарнитуры</v>
      </c>
      <c r="M610" s="292" t="str">
        <f aca="false">IF(ISBLANK('Наушники и гарнитуры'!$A$83),"",'Наушники и гарнитуры'!$A$83)</f>
        <v>BM36 Acura универсальные наушники с микрофоном</v>
      </c>
      <c r="N610" s="292" t="str">
        <f aca="false">IF(ISBLANK('Наушники и гарнитуры'!$D$83),"",'Наушники и гарнитуры'!$D$83)</f>
        <v>6931474709691</v>
      </c>
      <c r="O610" s="292" t="str">
        <f aca="false">IF(ISBLANK('Наушники и гарнитуры'!$E$83),"",'Наушники и гарнитуры'!$E$83)</f>
        <v>черный</v>
      </c>
      <c r="P610" s="292" t="str">
        <f aca="false">"ед."</f>
        <v>ед.</v>
      </c>
      <c r="Q610" s="292" t="n">
        <f aca="false">N('Наушники и гарнитуры'!$G$83)</f>
        <v>0</v>
      </c>
      <c r="R610" s="299" t="n">
        <f aca="false">IF(ISBLANK('Наушники и гарнитуры'!$F$83),"",'Наушники и гарнитуры'!$F$83)</f>
        <v>81.55</v>
      </c>
      <c r="S610" s="292" t="str">
        <f aca="false">IF(ISBLANK('Наушники и гарнитуры'!$H$83),"",'Наушники и гарнитуры'!$H$83)</f>
        <v/>
      </c>
    </row>
    <row r="611" customFormat="false" ht="66" hidden="false" customHeight="true" outlineLevel="0" collapsed="false">
      <c r="A611" s="291" t="str">
        <f aca="true">IF(ISNUMBER($J611),INDIRECT("L"&amp;($J611+4)),"")</f>
        <v/>
      </c>
      <c r="B611" s="291" t="str">
        <f aca="true">IF(ISNUMBER($J611),INDIRECT("M"&amp;($J611+4)),"")</f>
        <v/>
      </c>
      <c r="C611" s="296" t="str">
        <f aca="true">IF(ISNUMBER($J611),INDIRECT("N"&amp;($J611+4)),"")</f>
        <v/>
      </c>
      <c r="D611" s="291" t="str">
        <f aca="true">IF(ISNUMBER($J611),INDIRECT("O"&amp;($J611+4)),"")</f>
        <v/>
      </c>
      <c r="E611" s="291" t="str">
        <f aca="true">IF(ISNUMBER($J611),INDIRECT("P"&amp;($J611+4)),"")</f>
        <v/>
      </c>
      <c r="F611" s="300" t="str">
        <f aca="true">IF(ISNUMBER($J611),INDIRECT("Q"&amp;($J611+4)),"")</f>
        <v/>
      </c>
      <c r="G611" s="298" t="str">
        <f aca="true">IF(ISNUMBER($J611),INDIRECT("R"&amp;($J611+4)),"")</f>
        <v/>
      </c>
      <c r="H611" s="298" t="str">
        <f aca="true">IF(ISNUMBER($J611),INDIRECT("S"&amp;($J611+4)),"")</f>
        <v/>
      </c>
      <c r="J611" s="292" t="str">
        <f aca="true">IF(607&lt;=$K$1,MATCH(606.5,INDIRECT("$K$4:$K$1374"),1),"")</f>
        <v/>
      </c>
      <c r="K611" s="292" t="n">
        <f aca="false">$K$516+COUNTIF($Q$517:Q611,"&gt;0")</f>
        <v>0</v>
      </c>
      <c r="L611" s="292" t="str">
        <f aca="false">"Наушники и гарнитуры"</f>
        <v>Наушники и гарнитуры</v>
      </c>
      <c r="M611" s="292" t="str">
        <f aca="false">IF(ISBLANK('Наушники и гарнитуры'!$A$83),"",'Наушники и гарнитуры'!$A$83)</f>
        <v>BM36 Acura универсальные наушники с микрофоном</v>
      </c>
      <c r="N611" s="292" t="str">
        <f aca="false">IF(ISBLANK('Наушники и гарнитуры'!$D$84),"",'Наушники и гарнитуры'!$D$84)</f>
        <v>6931474709707</v>
      </c>
      <c r="O611" s="292" t="str">
        <f aca="false">IF(ISBLANK('Наушники и гарнитуры'!$E$84),"",'Наушники и гарнитуры'!$E$84)</f>
        <v>белый</v>
      </c>
      <c r="P611" s="292" t="str">
        <f aca="false">"ед."</f>
        <v>ед.</v>
      </c>
      <c r="Q611" s="292" t="n">
        <f aca="false">N('Наушники и гарнитуры'!$G$84)</f>
        <v>0</v>
      </c>
      <c r="R611" s="299" t="n">
        <f aca="false">IF(ISBLANK('Наушники и гарнитуры'!$F$84),"",'Наушники и гарнитуры'!$F$84)</f>
        <v>81.55</v>
      </c>
      <c r="S611" s="292" t="str">
        <f aca="false">IF(ISBLANK('Наушники и гарнитуры'!$H$84),"",'Наушники и гарнитуры'!$H$84)</f>
        <v/>
      </c>
    </row>
    <row r="612" customFormat="false" ht="66" hidden="false" customHeight="true" outlineLevel="0" collapsed="false">
      <c r="A612" s="291" t="str">
        <f aca="true">IF(ISNUMBER($J612),INDIRECT("L"&amp;($J612+4)),"")</f>
        <v/>
      </c>
      <c r="B612" s="291" t="str">
        <f aca="true">IF(ISNUMBER($J612),INDIRECT("M"&amp;($J612+4)),"")</f>
        <v/>
      </c>
      <c r="C612" s="296" t="str">
        <f aca="true">IF(ISNUMBER($J612),INDIRECT("N"&amp;($J612+4)),"")</f>
        <v/>
      </c>
      <c r="D612" s="291" t="str">
        <f aca="true">IF(ISNUMBER($J612),INDIRECT("O"&amp;($J612+4)),"")</f>
        <v/>
      </c>
      <c r="E612" s="291" t="str">
        <f aca="true">IF(ISNUMBER($J612),INDIRECT("P"&amp;($J612+4)),"")</f>
        <v/>
      </c>
      <c r="F612" s="300" t="str">
        <f aca="true">IF(ISNUMBER($J612),INDIRECT("Q"&amp;($J612+4)),"")</f>
        <v/>
      </c>
      <c r="G612" s="298" t="str">
        <f aca="true">IF(ISNUMBER($J612),INDIRECT("R"&amp;($J612+4)),"")</f>
        <v/>
      </c>
      <c r="H612" s="298" t="str">
        <f aca="true">IF(ISNUMBER($J612),INDIRECT("S"&amp;($J612+4)),"")</f>
        <v/>
      </c>
      <c r="J612" s="292" t="str">
        <f aca="true">IF(608&lt;=$K$1,MATCH(607.5,INDIRECT("$K$4:$K$1374"),1),"")</f>
        <v/>
      </c>
      <c r="K612" s="292" t="n">
        <f aca="false">$K$516+COUNTIF($Q$517:Q612,"&gt;0")</f>
        <v>0</v>
      </c>
      <c r="L612" s="292" t="str">
        <f aca="false">"Наушники и гарнитуры"</f>
        <v>Наушники и гарнитуры</v>
      </c>
      <c r="M612" s="292" t="str">
        <f aca="false">IF(ISBLANK('Наушники и гарнитуры'!$A$85),"",'Наушники и гарнитуры'!$A$85)</f>
        <v>BM31 Mysterious универсальные наушники с микрофоном</v>
      </c>
      <c r="N612" s="292" t="str">
        <f aca="false">IF(ISBLANK('Наушники и гарнитуры'!$D$85),"",'Наушники и гарнитуры'!$D$85)</f>
        <v>6931474704313</v>
      </c>
      <c r="O612" s="292" t="str">
        <f aca="false">IF(ISBLANK('Наушники и гарнитуры'!$E$85),"",'Наушники и гарнитуры'!$E$85)</f>
        <v>черный</v>
      </c>
      <c r="P612" s="292" t="str">
        <f aca="false">"ед."</f>
        <v>ед.</v>
      </c>
      <c r="Q612" s="292" t="n">
        <f aca="false">N('Наушники и гарнитуры'!$G$85)</f>
        <v>0</v>
      </c>
      <c r="R612" s="299" t="n">
        <f aca="false">IF(ISBLANK('Наушники и гарнитуры'!$F$85),"",'Наушники и гарнитуры'!$F$85)</f>
        <v>78.29</v>
      </c>
      <c r="S612" s="292" t="str">
        <f aca="false">IF(ISBLANK('Наушники и гарнитуры'!$H$85),"",'Наушники и гарнитуры'!$H$85)</f>
        <v/>
      </c>
    </row>
    <row r="613" customFormat="false" ht="66" hidden="false" customHeight="true" outlineLevel="0" collapsed="false">
      <c r="A613" s="291" t="str">
        <f aca="true">IF(ISNUMBER($J613),INDIRECT("L"&amp;($J613+4)),"")</f>
        <v/>
      </c>
      <c r="B613" s="291" t="str">
        <f aca="true">IF(ISNUMBER($J613),INDIRECT("M"&amp;($J613+4)),"")</f>
        <v/>
      </c>
      <c r="C613" s="296" t="str">
        <f aca="true">IF(ISNUMBER($J613),INDIRECT("N"&amp;($J613+4)),"")</f>
        <v/>
      </c>
      <c r="D613" s="291" t="str">
        <f aca="true">IF(ISNUMBER($J613),INDIRECT("O"&amp;($J613+4)),"")</f>
        <v/>
      </c>
      <c r="E613" s="291" t="str">
        <f aca="true">IF(ISNUMBER($J613),INDIRECT("P"&amp;($J613+4)),"")</f>
        <v/>
      </c>
      <c r="F613" s="300" t="str">
        <f aca="true">IF(ISNUMBER($J613),INDIRECT("Q"&amp;($J613+4)),"")</f>
        <v/>
      </c>
      <c r="G613" s="298" t="str">
        <f aca="true">IF(ISNUMBER($J613),INDIRECT("R"&amp;($J613+4)),"")</f>
        <v/>
      </c>
      <c r="H613" s="298" t="str">
        <f aca="true">IF(ISNUMBER($J613),INDIRECT("S"&amp;($J613+4)),"")</f>
        <v/>
      </c>
      <c r="J613" s="292" t="str">
        <f aca="true">IF(609&lt;=$K$1,MATCH(608.5,INDIRECT("$K$4:$K$1374"),1),"")</f>
        <v/>
      </c>
      <c r="K613" s="292" t="n">
        <f aca="false">$K$516+COUNTIF($Q$517:Q613,"&gt;0")</f>
        <v>0</v>
      </c>
      <c r="L613" s="292" t="str">
        <f aca="false">"Наушники и гарнитуры"</f>
        <v>Наушники и гарнитуры</v>
      </c>
      <c r="M613" s="292" t="str">
        <f aca="false">IF(ISBLANK('Наушники и гарнитуры'!$A$85),"",'Наушники и гарнитуры'!$A$85)</f>
        <v>BM31 Mysterious универсальные наушники с микрофоном</v>
      </c>
      <c r="N613" s="292" t="str">
        <f aca="false">IF(ISBLANK('Наушники и гарнитуры'!$D$86),"",'Наушники и гарнитуры'!$D$86)</f>
        <v>6931474704320</v>
      </c>
      <c r="O613" s="292" t="str">
        <f aca="false">IF(ISBLANK('Наушники и гарнитуры'!$E$86),"",'Наушники и гарнитуры'!$E$86)</f>
        <v>белый</v>
      </c>
      <c r="P613" s="292" t="str">
        <f aca="false">"ед."</f>
        <v>ед.</v>
      </c>
      <c r="Q613" s="292" t="n">
        <f aca="false">N('Наушники и гарнитуры'!$G$86)</f>
        <v>0</v>
      </c>
      <c r="R613" s="299" t="n">
        <f aca="false">IF(ISBLANK('Наушники и гарнитуры'!$F$86),"",'Наушники и гарнитуры'!$F$86)</f>
        <v>78.29</v>
      </c>
      <c r="S613" s="292" t="str">
        <f aca="false">IF(ISBLANK('Наушники и гарнитуры'!$H$86),"",'Наушники и гарнитуры'!$H$86)</f>
        <v/>
      </c>
    </row>
    <row r="614" customFormat="false" ht="66" hidden="false" customHeight="true" outlineLevel="0" collapsed="false">
      <c r="A614" s="291" t="str">
        <f aca="true">IF(ISNUMBER($J614),INDIRECT("L"&amp;($J614+4)),"")</f>
        <v/>
      </c>
      <c r="B614" s="291" t="str">
        <f aca="true">IF(ISNUMBER($J614),INDIRECT("M"&amp;($J614+4)),"")</f>
        <v/>
      </c>
      <c r="C614" s="296" t="str">
        <f aca="true">IF(ISNUMBER($J614),INDIRECT("N"&amp;($J614+4)),"")</f>
        <v/>
      </c>
      <c r="D614" s="291" t="str">
        <f aca="true">IF(ISNUMBER($J614),INDIRECT("O"&amp;($J614+4)),"")</f>
        <v/>
      </c>
      <c r="E614" s="291" t="str">
        <f aca="true">IF(ISNUMBER($J614),INDIRECT("P"&amp;($J614+4)),"")</f>
        <v/>
      </c>
      <c r="F614" s="300" t="str">
        <f aca="true">IF(ISNUMBER($J614),INDIRECT("Q"&amp;($J614+4)),"")</f>
        <v/>
      </c>
      <c r="G614" s="298" t="str">
        <f aca="true">IF(ISNUMBER($J614),INDIRECT("R"&amp;($J614+4)),"")</f>
        <v/>
      </c>
      <c r="H614" s="298" t="str">
        <f aca="true">IF(ISNUMBER($J614),INDIRECT("S"&amp;($J614+4)),"")</f>
        <v/>
      </c>
      <c r="J614" s="292" t="str">
        <f aca="true">IF(610&lt;=$K$1,MATCH(609.5,INDIRECT("$K$4:$K$1374"),1),"")</f>
        <v/>
      </c>
      <c r="K614" s="292" t="n">
        <f aca="false">$K$516+COUNTIF($Q$517:Q614,"&gt;0")</f>
        <v>0</v>
      </c>
      <c r="L614" s="292" t="str">
        <f aca="false">"Наушники TWS"</f>
        <v>Наушники TWS</v>
      </c>
      <c r="M614" s="292" t="str">
        <f aca="false">IF(ISBLANK('Наушники TWS'!$A$5),"",'Наушники TWS'!$A$5)</f>
        <v>FQ16 Star ANC+ENC  гарнитура с ИИ переводом (App)</v>
      </c>
      <c r="N614" s="292" t="str">
        <f aca="false">IF(ISBLANK('Наушники TWS'!$D$5),"",'Наушники TWS'!$D$5)</f>
        <v>6941991127663</v>
      </c>
      <c r="O614" s="292" t="str">
        <f aca="false">IF(ISBLANK('Наушники TWS'!$E$5),"",'Наушники TWS'!$E$5)</f>
        <v>чёрный</v>
      </c>
      <c r="P614" s="292" t="str">
        <f aca="false">"ед."</f>
        <v>ед.</v>
      </c>
      <c r="Q614" s="292" t="n">
        <f aca="false">N('Наушники TWS'!$G$5)</f>
        <v>0</v>
      </c>
      <c r="R614" s="299" t="n">
        <f aca="false">IF(ISBLANK('Наушники TWS'!$F$5),"",'Наушники TWS'!$F$5)</f>
        <v>782.85</v>
      </c>
      <c r="S614" s="292" t="str">
        <f aca="false">IF(ISBLANK('Наушники TWS'!$H$5),"",'Наушники TWS'!$H$5)</f>
        <v/>
      </c>
    </row>
    <row r="615" customFormat="false" ht="66" hidden="false" customHeight="true" outlineLevel="0" collapsed="false">
      <c r="A615" s="291" t="str">
        <f aca="true">IF(ISNUMBER($J615),INDIRECT("L"&amp;($J615+4)),"")</f>
        <v/>
      </c>
      <c r="B615" s="291" t="str">
        <f aca="true">IF(ISNUMBER($J615),INDIRECT("M"&amp;($J615+4)),"")</f>
        <v/>
      </c>
      <c r="C615" s="296" t="str">
        <f aca="true">IF(ISNUMBER($J615),INDIRECT("N"&amp;($J615+4)),"")</f>
        <v/>
      </c>
      <c r="D615" s="291" t="str">
        <f aca="true">IF(ISNUMBER($J615),INDIRECT("O"&amp;($J615+4)),"")</f>
        <v/>
      </c>
      <c r="E615" s="291" t="str">
        <f aca="true">IF(ISNUMBER($J615),INDIRECT("P"&amp;($J615+4)),"")</f>
        <v/>
      </c>
      <c r="F615" s="300" t="str">
        <f aca="true">IF(ISNUMBER($J615),INDIRECT("Q"&amp;($J615+4)),"")</f>
        <v/>
      </c>
      <c r="G615" s="298" t="str">
        <f aca="true">IF(ISNUMBER($J615),INDIRECT("R"&amp;($J615+4)),"")</f>
        <v/>
      </c>
      <c r="H615" s="298" t="str">
        <f aca="true">IF(ISNUMBER($J615),INDIRECT("S"&amp;($J615+4)),"")</f>
        <v/>
      </c>
      <c r="J615" s="292" t="str">
        <f aca="true">IF(611&lt;=$K$1,MATCH(610.5,INDIRECT("$K$4:$K$1374"),1),"")</f>
        <v/>
      </c>
      <c r="K615" s="292" t="n">
        <f aca="false">$K$516+COUNTIF($Q$517:Q615,"&gt;0")</f>
        <v>0</v>
      </c>
      <c r="L615" s="292" t="str">
        <f aca="false">"Наушники TWS"</f>
        <v>Наушники TWS</v>
      </c>
      <c r="M615" s="292" t="str">
        <f aca="false">IF(ISBLANK('Наушники TWS'!$A$5),"",'Наушники TWS'!$A$5)</f>
        <v>FQ16 Star ANC+ENC  гарнитура с ИИ переводом (App)</v>
      </c>
      <c r="N615" s="292" t="str">
        <f aca="false">IF(ISBLANK('Наушники TWS'!$D$6),"",'Наушники TWS'!$D$6)</f>
        <v>6941991127670</v>
      </c>
      <c r="O615" s="292" t="str">
        <f aca="false">IF(ISBLANK('Наушники TWS'!$E$6),"",'Наушники TWS'!$E$6)</f>
        <v>белый</v>
      </c>
      <c r="P615" s="292" t="str">
        <f aca="false">"ед."</f>
        <v>ед.</v>
      </c>
      <c r="Q615" s="292" t="n">
        <f aca="false">N('Наушники TWS'!$G$6)</f>
        <v>0</v>
      </c>
      <c r="R615" s="299" t="n">
        <f aca="false">IF(ISBLANK('Наушники TWS'!$F$6),"",'Наушники TWS'!$F$6)</f>
        <v>782.85</v>
      </c>
      <c r="S615" s="292" t="str">
        <f aca="false">IF(ISBLANK('Наушники TWS'!$H$6),"",'Наушники TWS'!$H$6)</f>
        <v/>
      </c>
    </row>
    <row r="616" customFormat="false" ht="66" hidden="false" customHeight="true" outlineLevel="0" collapsed="false">
      <c r="A616" s="291" t="str">
        <f aca="true">IF(ISNUMBER($J616),INDIRECT("L"&amp;($J616+4)),"")</f>
        <v/>
      </c>
      <c r="B616" s="291" t="str">
        <f aca="true">IF(ISNUMBER($J616),INDIRECT("M"&amp;($J616+4)),"")</f>
        <v/>
      </c>
      <c r="C616" s="296" t="str">
        <f aca="true">IF(ISNUMBER($J616),INDIRECT("N"&amp;($J616+4)),"")</f>
        <v/>
      </c>
      <c r="D616" s="291" t="str">
        <f aca="true">IF(ISNUMBER($J616),INDIRECT("O"&amp;($J616+4)),"")</f>
        <v/>
      </c>
      <c r="E616" s="291" t="str">
        <f aca="true">IF(ISNUMBER($J616),INDIRECT("P"&amp;($J616+4)),"")</f>
        <v/>
      </c>
      <c r="F616" s="300" t="str">
        <f aca="true">IF(ISNUMBER($J616),INDIRECT("Q"&amp;($J616+4)),"")</f>
        <v/>
      </c>
      <c r="G616" s="298" t="str">
        <f aca="true">IF(ISNUMBER($J616),INDIRECT("R"&amp;($J616+4)),"")</f>
        <v/>
      </c>
      <c r="H616" s="298" t="str">
        <f aca="true">IF(ISNUMBER($J616),INDIRECT("S"&amp;($J616+4)),"")</f>
        <v/>
      </c>
      <c r="J616" s="292" t="str">
        <f aca="true">IF(612&lt;=$K$1,MATCH(611.5,INDIRECT("$K$4:$K$1374"),1),"")</f>
        <v/>
      </c>
      <c r="K616" s="292" t="n">
        <f aca="false">$K$516+COUNTIF($Q$517:Q616,"&gt;0")</f>
        <v>0</v>
      </c>
      <c r="L616" s="292" t="str">
        <f aca="false">"Наушники TWS"</f>
        <v>Наушники TWS</v>
      </c>
      <c r="M616" s="292" t="str">
        <f aca="false">IF(ISBLANK('Наушники TWS'!$A$7),"",'Наушники TWS'!$A$7)</f>
        <v>FQ13 Astute ANC+ENC беспроводная BT гарнитура</v>
      </c>
      <c r="N616" s="292" t="str">
        <f aca="false">IF(ISBLANK('Наушники TWS'!$D$7),"",'Наушники TWS'!$D$7)</f>
        <v>6941991129629</v>
      </c>
      <c r="O616" s="292" t="str">
        <f aca="false">IF(ISBLANK('Наушники TWS'!$E$7),"",'Наушники TWS'!$E$7)</f>
        <v>чёрный</v>
      </c>
      <c r="P616" s="292" t="str">
        <f aca="false">"ед."</f>
        <v>ед.</v>
      </c>
      <c r="Q616" s="292" t="n">
        <f aca="false">N('Наушники TWS'!$G$7)</f>
        <v>0</v>
      </c>
      <c r="R616" s="299" t="n">
        <f aca="false">IF(ISBLANK('Наушники TWS'!$F$7),"",'Наушники TWS'!$F$7)</f>
        <v>627.91</v>
      </c>
      <c r="S616" s="292" t="str">
        <f aca="false">IF(ISBLANK('Наушники TWS'!$H$7),"",'Наушники TWS'!$H$7)</f>
        <v/>
      </c>
    </row>
    <row r="617" customFormat="false" ht="66" hidden="false" customHeight="true" outlineLevel="0" collapsed="false">
      <c r="A617" s="291" t="str">
        <f aca="true">IF(ISNUMBER($J617),INDIRECT("L"&amp;($J617+4)),"")</f>
        <v/>
      </c>
      <c r="B617" s="291" t="str">
        <f aca="true">IF(ISNUMBER($J617),INDIRECT("M"&amp;($J617+4)),"")</f>
        <v/>
      </c>
      <c r="C617" s="296" t="str">
        <f aca="true">IF(ISNUMBER($J617),INDIRECT("N"&amp;($J617+4)),"")</f>
        <v/>
      </c>
      <c r="D617" s="291" t="str">
        <f aca="true">IF(ISNUMBER($J617),INDIRECT("O"&amp;($J617+4)),"")</f>
        <v/>
      </c>
      <c r="E617" s="291" t="str">
        <f aca="true">IF(ISNUMBER($J617),INDIRECT("P"&amp;($J617+4)),"")</f>
        <v/>
      </c>
      <c r="F617" s="300" t="str">
        <f aca="true">IF(ISNUMBER($J617),INDIRECT("Q"&amp;($J617+4)),"")</f>
        <v/>
      </c>
      <c r="G617" s="298" t="str">
        <f aca="true">IF(ISNUMBER($J617),INDIRECT("R"&amp;($J617+4)),"")</f>
        <v/>
      </c>
      <c r="H617" s="298" t="str">
        <f aca="true">IF(ISNUMBER($J617),INDIRECT("S"&amp;($J617+4)),"")</f>
        <v/>
      </c>
      <c r="J617" s="292" t="str">
        <f aca="true">IF(613&lt;=$K$1,MATCH(612.5,INDIRECT("$K$4:$K$1374"),1),"")</f>
        <v/>
      </c>
      <c r="K617" s="292" t="n">
        <f aca="false">$K$516+COUNTIF($Q$517:Q617,"&gt;0")</f>
        <v>0</v>
      </c>
      <c r="L617" s="292" t="str">
        <f aca="false">"Наушники TWS"</f>
        <v>Наушники TWS</v>
      </c>
      <c r="M617" s="292" t="str">
        <f aca="false">IF(ISBLANK('Наушники TWS'!$A$7),"",'Наушники TWS'!$A$7)</f>
        <v>FQ13 Astute ANC+ENC беспроводная BT гарнитура</v>
      </c>
      <c r="N617" s="292" t="str">
        <f aca="false">IF(ISBLANK('Наушники TWS'!$D$8),"",'Наушники TWS'!$D$8)</f>
        <v>6941991129636</v>
      </c>
      <c r="O617" s="292" t="str">
        <f aca="false">IF(ISBLANK('Наушники TWS'!$E$8),"",'Наушники TWS'!$E$8)</f>
        <v>белый</v>
      </c>
      <c r="P617" s="292" t="str">
        <f aca="false">"ед."</f>
        <v>ед.</v>
      </c>
      <c r="Q617" s="292" t="n">
        <f aca="false">N('Наушники TWS'!$G$8)</f>
        <v>0</v>
      </c>
      <c r="R617" s="299" t="n">
        <f aca="false">IF(ISBLANK('Наушники TWS'!$F$8),"",'Наушники TWS'!$F$8)</f>
        <v>627.91</v>
      </c>
      <c r="S617" s="292" t="str">
        <f aca="false">IF(ISBLANK('Наушники TWS'!$H$8),"",'Наушники TWS'!$H$8)</f>
        <v/>
      </c>
    </row>
    <row r="618" customFormat="false" ht="66" hidden="false" customHeight="true" outlineLevel="0" collapsed="false">
      <c r="A618" s="291" t="str">
        <f aca="true">IF(ISNUMBER($J618),INDIRECT("L"&amp;($J618+4)),"")</f>
        <v/>
      </c>
      <c r="B618" s="291" t="str">
        <f aca="true">IF(ISNUMBER($J618),INDIRECT("M"&amp;($J618+4)),"")</f>
        <v/>
      </c>
      <c r="C618" s="296" t="str">
        <f aca="true">IF(ISNUMBER($J618),INDIRECT("N"&amp;($J618+4)),"")</f>
        <v/>
      </c>
      <c r="D618" s="291" t="str">
        <f aca="true">IF(ISNUMBER($J618),INDIRECT("O"&amp;($J618+4)),"")</f>
        <v/>
      </c>
      <c r="E618" s="291" t="str">
        <f aca="true">IF(ISNUMBER($J618),INDIRECT("P"&amp;($J618+4)),"")</f>
        <v/>
      </c>
      <c r="F618" s="300" t="str">
        <f aca="true">IF(ISNUMBER($J618),INDIRECT("Q"&amp;($J618+4)),"")</f>
        <v/>
      </c>
      <c r="G618" s="298" t="str">
        <f aca="true">IF(ISNUMBER($J618),INDIRECT("R"&amp;($J618+4)),"")</f>
        <v/>
      </c>
      <c r="H618" s="298" t="str">
        <f aca="true">IF(ISNUMBER($J618),INDIRECT("S"&amp;($J618+4)),"")</f>
        <v/>
      </c>
      <c r="J618" s="292" t="str">
        <f aca="true">IF(614&lt;=$K$1,MATCH(613.5,INDIRECT("$K$4:$K$1374"),1),"")</f>
        <v/>
      </c>
      <c r="K618" s="292" t="n">
        <f aca="false">$K$516+COUNTIF($Q$517:Q618,"&gt;0")</f>
        <v>0</v>
      </c>
      <c r="L618" s="292" t="str">
        <f aca="false">"Наушники TWS"</f>
        <v>Наушники TWS</v>
      </c>
      <c r="M618" s="292" t="str">
        <f aca="false">IF(ISBLANK('Наушники TWS'!$A$9),"",'Наушники TWS'!$A$9)</f>
        <v>FQ12 Nice sound беспроводная BT гарнитура</v>
      </c>
      <c r="N618" s="292" t="str">
        <f aca="false">IF(ISBLANK('Наушники TWS'!$D$9),"",'Наушники TWS'!$D$9)</f>
        <v>6941991124624</v>
      </c>
      <c r="O618" s="292" t="str">
        <f aca="false">IF(ISBLANK('Наушники TWS'!$E$9),"",'Наушники TWS'!$E$9)</f>
        <v>чёрный</v>
      </c>
      <c r="P618" s="292" t="str">
        <f aca="false">"ед."</f>
        <v>ед.</v>
      </c>
      <c r="Q618" s="292" t="n">
        <f aca="false">N('Наушники TWS'!$G$9)</f>
        <v>0</v>
      </c>
      <c r="R618" s="299" t="n">
        <f aca="false">IF(ISBLANK('Наушники TWS'!$F$9),"",'Наушники TWS'!$F$9)</f>
        <v>554.52</v>
      </c>
      <c r="S618" s="292" t="str">
        <f aca="false">IF(ISBLANK('Наушники TWS'!$H$9),"",'Наушники TWS'!$H$9)</f>
        <v/>
      </c>
    </row>
    <row r="619" customFormat="false" ht="66" hidden="false" customHeight="true" outlineLevel="0" collapsed="false">
      <c r="A619" s="291" t="str">
        <f aca="true">IF(ISNUMBER($J619),INDIRECT("L"&amp;($J619+4)),"")</f>
        <v/>
      </c>
      <c r="B619" s="291" t="str">
        <f aca="true">IF(ISNUMBER($J619),INDIRECT("M"&amp;($J619+4)),"")</f>
        <v/>
      </c>
      <c r="C619" s="296" t="str">
        <f aca="true">IF(ISNUMBER($J619),INDIRECT("N"&amp;($J619+4)),"")</f>
        <v/>
      </c>
      <c r="D619" s="291" t="str">
        <f aca="true">IF(ISNUMBER($J619),INDIRECT("O"&amp;($J619+4)),"")</f>
        <v/>
      </c>
      <c r="E619" s="291" t="str">
        <f aca="true">IF(ISNUMBER($J619),INDIRECT("P"&amp;($J619+4)),"")</f>
        <v/>
      </c>
      <c r="F619" s="300" t="str">
        <f aca="true">IF(ISNUMBER($J619),INDIRECT("Q"&amp;($J619+4)),"")</f>
        <v/>
      </c>
      <c r="G619" s="298" t="str">
        <f aca="true">IF(ISNUMBER($J619),INDIRECT("R"&amp;($J619+4)),"")</f>
        <v/>
      </c>
      <c r="H619" s="298" t="str">
        <f aca="true">IF(ISNUMBER($J619),INDIRECT("S"&amp;($J619+4)),"")</f>
        <v/>
      </c>
      <c r="J619" s="292" t="str">
        <f aca="true">IF(615&lt;=$K$1,MATCH(614.5,INDIRECT("$K$4:$K$1374"),1),"")</f>
        <v/>
      </c>
      <c r="K619" s="292" t="n">
        <f aca="false">$K$516+COUNTIF($Q$517:Q619,"&gt;0")</f>
        <v>0</v>
      </c>
      <c r="L619" s="292" t="str">
        <f aca="false">"Наушники TWS"</f>
        <v>Наушники TWS</v>
      </c>
      <c r="M619" s="292" t="str">
        <f aca="false">IF(ISBLANK('Наушники TWS'!$A$10),"",'Наушники TWS'!$A$10)</f>
        <v>FQ9 Peaceful беспроводная BT гарнитура</v>
      </c>
      <c r="N619" s="292" t="str">
        <f aca="false">IF(ISBLANK('Наушники TWS'!$D$10),"",'Наушники TWS'!$D$10)</f>
        <v>6941991122453</v>
      </c>
      <c r="O619" s="292" t="str">
        <f aca="false">IF(ISBLANK('Наушники TWS'!$E$10),"",'Наушники TWS'!$E$10)</f>
        <v>чёрный</v>
      </c>
      <c r="P619" s="292" t="str">
        <f aca="false">"ед."</f>
        <v>ед.</v>
      </c>
      <c r="Q619" s="292" t="n">
        <f aca="false">N('Наушники TWS'!$G$10)</f>
        <v>0</v>
      </c>
      <c r="R619" s="299" t="n">
        <f aca="false">IF(ISBLANK('Наушники TWS'!$F$10),"",'Наушники TWS'!$F$10)</f>
        <v>521.9</v>
      </c>
      <c r="S619" s="292" t="str">
        <f aca="false">IF(ISBLANK('Наушники TWS'!$H$10),"",'Наушники TWS'!$H$10)</f>
        <v/>
      </c>
    </row>
    <row r="620" customFormat="false" ht="66" hidden="false" customHeight="true" outlineLevel="0" collapsed="false">
      <c r="A620" s="291" t="str">
        <f aca="true">IF(ISNUMBER($J620),INDIRECT("L"&amp;($J620+4)),"")</f>
        <v/>
      </c>
      <c r="B620" s="291" t="str">
        <f aca="true">IF(ISNUMBER($J620),INDIRECT("M"&amp;($J620+4)),"")</f>
        <v/>
      </c>
      <c r="C620" s="296" t="str">
        <f aca="true">IF(ISNUMBER($J620),INDIRECT("N"&amp;($J620+4)),"")</f>
        <v/>
      </c>
      <c r="D620" s="291" t="str">
        <f aca="true">IF(ISNUMBER($J620),INDIRECT("O"&amp;($J620+4)),"")</f>
        <v/>
      </c>
      <c r="E620" s="291" t="str">
        <f aca="true">IF(ISNUMBER($J620),INDIRECT("P"&amp;($J620+4)),"")</f>
        <v/>
      </c>
      <c r="F620" s="300" t="str">
        <f aca="true">IF(ISNUMBER($J620),INDIRECT("Q"&amp;($J620+4)),"")</f>
        <v/>
      </c>
      <c r="G620" s="298" t="str">
        <f aca="true">IF(ISNUMBER($J620),INDIRECT("R"&amp;($J620+4)),"")</f>
        <v/>
      </c>
      <c r="H620" s="298" t="str">
        <f aca="true">IF(ISNUMBER($J620),INDIRECT("S"&amp;($J620+4)),"")</f>
        <v/>
      </c>
      <c r="J620" s="292" t="str">
        <f aca="true">IF(616&lt;=$K$1,MATCH(615.5,INDIRECT("$K$4:$K$1374"),1),"")</f>
        <v/>
      </c>
      <c r="K620" s="292" t="n">
        <f aca="false">$K$516+COUNTIF($Q$517:Q620,"&gt;0")</f>
        <v>0</v>
      </c>
      <c r="L620" s="292" t="str">
        <f aca="false">"Наушники TWS"</f>
        <v>Наушники TWS</v>
      </c>
      <c r="M620" s="292" t="str">
        <f aca="false">IF(ISBLANK('Наушники TWS'!$A$11),"",'Наушники TWS'!$A$11)</f>
        <v>FQ9 Plus Peaceful беспроводная BT  гарнитура с ANC+ENC шумоподавлением</v>
      </c>
      <c r="N620" s="292" t="str">
        <f aca="false">IF(ISBLANK('Наушники TWS'!$D$11),"",'Наушники TWS'!$D$11)</f>
        <v>6941991122477</v>
      </c>
      <c r="O620" s="292" t="str">
        <f aca="false">IF(ISBLANK('Наушники TWS'!$E$11),"",'Наушники TWS'!$E$11)</f>
        <v>чёрный</v>
      </c>
      <c r="P620" s="292" t="str">
        <f aca="false">"ед."</f>
        <v>ед.</v>
      </c>
      <c r="Q620" s="292" t="n">
        <f aca="false">N('Наушники TWS'!$G$11)</f>
        <v>0</v>
      </c>
      <c r="R620" s="299" t="n">
        <f aca="false">IF(ISBLANK('Наушники TWS'!$F$11),"",'Наушники TWS'!$F$11)</f>
        <v>685</v>
      </c>
      <c r="S620" s="292" t="str">
        <f aca="false">IF(ISBLANK('Наушники TWS'!$H$11),"",'Наушники TWS'!$H$11)</f>
        <v/>
      </c>
    </row>
    <row r="621" customFormat="false" ht="66" hidden="false" customHeight="true" outlineLevel="0" collapsed="false">
      <c r="A621" s="291" t="str">
        <f aca="true">IF(ISNUMBER($J621),INDIRECT("L"&amp;($J621+4)),"")</f>
        <v/>
      </c>
      <c r="B621" s="291" t="str">
        <f aca="true">IF(ISNUMBER($J621),INDIRECT("M"&amp;($J621+4)),"")</f>
        <v/>
      </c>
      <c r="C621" s="296" t="str">
        <f aca="true">IF(ISNUMBER($J621),INDIRECT("N"&amp;($J621+4)),"")</f>
        <v/>
      </c>
      <c r="D621" s="291" t="str">
        <f aca="true">IF(ISNUMBER($J621),INDIRECT("O"&amp;($J621+4)),"")</f>
        <v/>
      </c>
      <c r="E621" s="291" t="str">
        <f aca="true">IF(ISNUMBER($J621),INDIRECT("P"&amp;($J621+4)),"")</f>
        <v/>
      </c>
      <c r="F621" s="300" t="str">
        <f aca="true">IF(ISNUMBER($J621),INDIRECT("Q"&amp;($J621+4)),"")</f>
        <v/>
      </c>
      <c r="G621" s="298" t="str">
        <f aca="true">IF(ISNUMBER($J621),INDIRECT("R"&amp;($J621+4)),"")</f>
        <v/>
      </c>
      <c r="H621" s="298" t="str">
        <f aca="true">IF(ISNUMBER($J621),INDIRECT("S"&amp;($J621+4)),"")</f>
        <v/>
      </c>
      <c r="J621" s="292" t="str">
        <f aca="true">IF(617&lt;=$K$1,MATCH(616.5,INDIRECT("$K$4:$K$1374"),1),"")</f>
        <v/>
      </c>
      <c r="K621" s="292" t="n">
        <f aca="false">$K$516+COUNTIF($Q$517:Q621,"&gt;0")</f>
        <v>0</v>
      </c>
      <c r="L621" s="292" t="str">
        <f aca="false">"Наушники TWS"</f>
        <v>Наушники TWS</v>
      </c>
      <c r="M621" s="292" t="str">
        <f aca="false">IF(ISBLANK('Наушники TWS'!$A$14),"",'Наушники TWS'!$A$14)</f>
        <v>BW101 Stellix беспроводная BT гарнитура</v>
      </c>
      <c r="N621" s="292" t="str">
        <f aca="false">IF(ISBLANK('Наушники TWS'!$D$14),"",'Наушники TWS'!$D$14)</f>
        <v>6941991130069</v>
      </c>
      <c r="O621" s="292" t="str">
        <f aca="false">IF(ISBLANK('Наушники TWS'!$E$14),"",'Наушники TWS'!$E$14)</f>
        <v>белый</v>
      </c>
      <c r="P621" s="292" t="str">
        <f aca="false">"ед."</f>
        <v>ед.</v>
      </c>
      <c r="Q621" s="292" t="n">
        <f aca="false">N('Наушники TWS'!$G$14)</f>
        <v>0</v>
      </c>
      <c r="R621" s="299" t="n">
        <f aca="false">IF(ISBLANK('Наушники TWS'!$F$14),"",'Наушники TWS'!$F$14)</f>
        <v>375.12</v>
      </c>
      <c r="S621" s="292" t="str">
        <f aca="false">IF(ISBLANK('Наушники TWS'!$H$14),"",'Наушники TWS'!$H$14)</f>
        <v/>
      </c>
    </row>
    <row r="622" customFormat="false" ht="66" hidden="false" customHeight="true" outlineLevel="0" collapsed="false">
      <c r="A622" s="291" t="str">
        <f aca="true">IF(ISNUMBER($J622),INDIRECT("L"&amp;($J622+4)),"")</f>
        <v/>
      </c>
      <c r="B622" s="291" t="str">
        <f aca="true">IF(ISNUMBER($J622),INDIRECT("M"&amp;($J622+4)),"")</f>
        <v/>
      </c>
      <c r="C622" s="296" t="str">
        <f aca="true">IF(ISNUMBER($J622),INDIRECT("N"&amp;($J622+4)),"")</f>
        <v/>
      </c>
      <c r="D622" s="291" t="str">
        <f aca="true">IF(ISNUMBER($J622),INDIRECT("O"&amp;($J622+4)),"")</f>
        <v/>
      </c>
      <c r="E622" s="291" t="str">
        <f aca="true">IF(ISNUMBER($J622),INDIRECT("P"&amp;($J622+4)),"")</f>
        <v/>
      </c>
      <c r="F622" s="300" t="str">
        <f aca="true">IF(ISNUMBER($J622),INDIRECT("Q"&amp;($J622+4)),"")</f>
        <v/>
      </c>
      <c r="G622" s="298" t="str">
        <f aca="true">IF(ISNUMBER($J622),INDIRECT("R"&amp;($J622+4)),"")</f>
        <v/>
      </c>
      <c r="H622" s="298" t="str">
        <f aca="true">IF(ISNUMBER($J622),INDIRECT("S"&amp;($J622+4)),"")</f>
        <v/>
      </c>
      <c r="J622" s="292" t="str">
        <f aca="true">IF(618&lt;=$K$1,MATCH(617.5,INDIRECT("$K$4:$K$1374"),1),"")</f>
        <v/>
      </c>
      <c r="K622" s="292" t="n">
        <f aca="false">$K$516+COUNTIF($Q$517:Q622,"&gt;0")</f>
        <v>0</v>
      </c>
      <c r="L622" s="292" t="str">
        <f aca="false">"Наушники TWS"</f>
        <v>Наушники TWS</v>
      </c>
      <c r="M622" s="292" t="str">
        <f aca="false">IF(ISBLANK('Наушники TWS'!$A$15),"",'Наушники TWS'!$A$15)</f>
        <v>BW100 Sunshine беспроводная BT гарнитура клипсы</v>
      </c>
      <c r="N622" s="292" t="str">
        <f aca="false">IF(ISBLANK('Наушники TWS'!$D$15),"",'Наушники TWS'!$D$15)</f>
        <v>6941991129223</v>
      </c>
      <c r="O622" s="292" t="str">
        <f aca="false">IF(ISBLANK('Наушники TWS'!$E$15),"",'Наушники TWS'!$E$15)</f>
        <v>черный</v>
      </c>
      <c r="P622" s="292" t="str">
        <f aca="false">"ед."</f>
        <v>ед.</v>
      </c>
      <c r="Q622" s="292" t="n">
        <f aca="false">N('Наушники TWS'!$G$15)</f>
        <v>0</v>
      </c>
      <c r="R622" s="299" t="n">
        <f aca="false">IF(ISBLANK('Наушники TWS'!$F$15),"",'Наушники TWS'!$F$15)</f>
        <v>562.67</v>
      </c>
      <c r="S622" s="292" t="str">
        <f aca="false">IF(ISBLANK('Наушники TWS'!$H$15),"",'Наушники TWS'!$H$15)</f>
        <v/>
      </c>
    </row>
    <row r="623" customFormat="false" ht="66" hidden="false" customHeight="true" outlineLevel="0" collapsed="false">
      <c r="A623" s="291" t="str">
        <f aca="true">IF(ISNUMBER($J623),INDIRECT("L"&amp;($J623+4)),"")</f>
        <v/>
      </c>
      <c r="B623" s="291" t="str">
        <f aca="true">IF(ISNUMBER($J623),INDIRECT("M"&amp;($J623+4)),"")</f>
        <v/>
      </c>
      <c r="C623" s="296" t="str">
        <f aca="true">IF(ISNUMBER($J623),INDIRECT("N"&amp;($J623+4)),"")</f>
        <v/>
      </c>
      <c r="D623" s="291" t="str">
        <f aca="true">IF(ISNUMBER($J623),INDIRECT("O"&amp;($J623+4)),"")</f>
        <v/>
      </c>
      <c r="E623" s="291" t="str">
        <f aca="true">IF(ISNUMBER($J623),INDIRECT("P"&amp;($J623+4)),"")</f>
        <v/>
      </c>
      <c r="F623" s="300" t="str">
        <f aca="true">IF(ISNUMBER($J623),INDIRECT("Q"&amp;($J623+4)),"")</f>
        <v/>
      </c>
      <c r="G623" s="298" t="str">
        <f aca="true">IF(ISNUMBER($J623),INDIRECT("R"&amp;($J623+4)),"")</f>
        <v/>
      </c>
      <c r="H623" s="298" t="str">
        <f aca="true">IF(ISNUMBER($J623),INDIRECT("S"&amp;($J623+4)),"")</f>
        <v/>
      </c>
      <c r="J623" s="292" t="str">
        <f aca="true">IF(619&lt;=$K$1,MATCH(618.5,INDIRECT("$K$4:$K$1374"),1),"")</f>
        <v/>
      </c>
      <c r="K623" s="292" t="n">
        <f aca="false">$K$516+COUNTIF($Q$517:Q623,"&gt;0")</f>
        <v>0</v>
      </c>
      <c r="L623" s="292" t="str">
        <f aca="false">"Наушники TWS"</f>
        <v>Наушники TWS</v>
      </c>
      <c r="M623" s="292" t="str">
        <f aca="false">IF(ISBLANK('Наушники TWS'!$A$16),"",'Наушники TWS'!$A$16)</f>
        <v>BW99 беспроводная ВТ гарнитура с ANC шумоподавлением</v>
      </c>
      <c r="N623" s="292" t="str">
        <f aca="false">IF(ISBLANK('Наушники TWS'!$D$16),"",'Наушники TWS'!$D$16)</f>
        <v>6941991127137</v>
      </c>
      <c r="O623" s="292" t="str">
        <f aca="false">IF(ISBLANK('Наушники TWS'!$E$16),"",'Наушники TWS'!$E$16)</f>
        <v>белый</v>
      </c>
      <c r="P623" s="292" t="str">
        <f aca="false">"ед."</f>
        <v>ед.</v>
      </c>
      <c r="Q623" s="292" t="n">
        <f aca="false">N('Наушники TWS'!$G$16)</f>
        <v>0</v>
      </c>
      <c r="R623" s="299" t="n">
        <f aca="false">IF(ISBLANK('Наушники TWS'!$F$16),"",'Наушники TWS'!$F$16)</f>
        <v>587.14</v>
      </c>
      <c r="S623" s="292" t="str">
        <f aca="false">IF(ISBLANK('Наушники TWS'!$H$16),"",'Наушники TWS'!$H$16)</f>
        <v/>
      </c>
    </row>
    <row r="624" customFormat="false" ht="66" hidden="false" customHeight="true" outlineLevel="0" collapsed="false">
      <c r="A624" s="291" t="str">
        <f aca="true">IF(ISNUMBER($J624),INDIRECT("L"&amp;($J624+4)),"")</f>
        <v/>
      </c>
      <c r="B624" s="291" t="str">
        <f aca="true">IF(ISNUMBER($J624),INDIRECT("M"&amp;($J624+4)),"")</f>
        <v/>
      </c>
      <c r="C624" s="296" t="str">
        <f aca="true">IF(ISNUMBER($J624),INDIRECT("N"&amp;($J624+4)),"")</f>
        <v/>
      </c>
      <c r="D624" s="291" t="str">
        <f aca="true">IF(ISNUMBER($J624),INDIRECT("O"&amp;($J624+4)),"")</f>
        <v/>
      </c>
      <c r="E624" s="291" t="str">
        <f aca="true">IF(ISNUMBER($J624),INDIRECT("P"&amp;($J624+4)),"")</f>
        <v/>
      </c>
      <c r="F624" s="300" t="str">
        <f aca="true">IF(ISNUMBER($J624),INDIRECT("Q"&amp;($J624+4)),"")</f>
        <v/>
      </c>
      <c r="G624" s="298" t="str">
        <f aca="true">IF(ISNUMBER($J624),INDIRECT("R"&amp;($J624+4)),"")</f>
        <v/>
      </c>
      <c r="H624" s="298" t="str">
        <f aca="true">IF(ISNUMBER($J624),INDIRECT("S"&amp;($J624+4)),"")</f>
        <v/>
      </c>
      <c r="J624" s="292" t="str">
        <f aca="true">IF(620&lt;=$K$1,MATCH(619.5,INDIRECT("$K$4:$K$1374"),1),"")</f>
        <v/>
      </c>
      <c r="K624" s="292" t="n">
        <f aca="false">$K$516+COUNTIF($Q$517:Q624,"&gt;0")</f>
        <v>0</v>
      </c>
      <c r="L624" s="292" t="str">
        <f aca="false">"Наушники TWS"</f>
        <v>Наушники TWS</v>
      </c>
      <c r="M624" s="292" t="str">
        <f aca="false">IF(ISBLANK('Наушники TWS'!$A$17),"",'Наушники TWS'!$A$17)</f>
        <v>BW98 беспроводная гарнитура</v>
      </c>
      <c r="N624" s="292" t="str">
        <f aca="false">IF(ISBLANK('Наушники TWS'!$D$17),"",'Наушники TWS'!$D$17)</f>
        <v>6941991126536</v>
      </c>
      <c r="O624" s="292" t="str">
        <f aca="false">IF(ISBLANK('Наушники TWS'!$E$17),"",'Наушники TWS'!$E$17)</f>
        <v>белый</v>
      </c>
      <c r="P624" s="292" t="str">
        <f aca="false">"ед."</f>
        <v>ед.</v>
      </c>
      <c r="Q624" s="292" t="n">
        <f aca="false">N('Наушники TWS'!$G$17)</f>
        <v>0</v>
      </c>
      <c r="R624" s="299" t="n">
        <f aca="false">IF(ISBLANK('Наушники TWS'!$F$17),"",'Наушники TWS'!$F$17)</f>
        <v>489.28</v>
      </c>
      <c r="S624" s="292" t="str">
        <f aca="false">IF(ISBLANK('Наушники TWS'!$H$17),"",'Наушники TWS'!$H$17)</f>
        <v/>
      </c>
    </row>
    <row r="625" customFormat="false" ht="66" hidden="false" customHeight="true" outlineLevel="0" collapsed="false">
      <c r="A625" s="291" t="str">
        <f aca="true">IF(ISNUMBER($J625),INDIRECT("L"&amp;($J625+4)),"")</f>
        <v/>
      </c>
      <c r="B625" s="291" t="str">
        <f aca="true">IF(ISNUMBER($J625),INDIRECT("M"&amp;($J625+4)),"")</f>
        <v/>
      </c>
      <c r="C625" s="296" t="str">
        <f aca="true">IF(ISNUMBER($J625),INDIRECT("N"&amp;($J625+4)),"")</f>
        <v/>
      </c>
      <c r="D625" s="291" t="str">
        <f aca="true">IF(ISNUMBER($J625),INDIRECT("O"&amp;($J625+4)),"")</f>
        <v/>
      </c>
      <c r="E625" s="291" t="str">
        <f aca="true">IF(ISNUMBER($J625),INDIRECT("P"&amp;($J625+4)),"")</f>
        <v/>
      </c>
      <c r="F625" s="300" t="str">
        <f aca="true">IF(ISNUMBER($J625),INDIRECT("Q"&amp;($J625+4)),"")</f>
        <v/>
      </c>
      <c r="G625" s="298" t="str">
        <f aca="true">IF(ISNUMBER($J625),INDIRECT("R"&amp;($J625+4)),"")</f>
        <v/>
      </c>
      <c r="H625" s="298" t="str">
        <f aca="true">IF(ISNUMBER($J625),INDIRECT("S"&amp;($J625+4)),"")</f>
        <v/>
      </c>
      <c r="J625" s="292" t="str">
        <f aca="true">IF(621&lt;=$K$1,MATCH(620.5,INDIRECT("$K$4:$K$1374"),1),"")</f>
        <v/>
      </c>
      <c r="K625" s="292" t="n">
        <f aca="false">$K$516+COUNTIF($Q$517:Q625,"&gt;0")</f>
        <v>0</v>
      </c>
      <c r="L625" s="292" t="str">
        <f aca="false">"Наушники TWS"</f>
        <v>Наушники TWS</v>
      </c>
      <c r="M625" s="292" t="str">
        <f aca="false">IF(ISBLANK('Наушники TWS'!$A$18),"",'Наушники TWS'!$A$18)</f>
        <v>BW97 Clear беспрводная BT гарнитура</v>
      </c>
      <c r="N625" s="292" t="str">
        <f aca="false">IF(ISBLANK('Наушники TWS'!$D$18),"",'Наушники TWS'!$D$18)</f>
        <v>6941991125591</v>
      </c>
      <c r="O625" s="292" t="str">
        <f aca="false">IF(ISBLANK('Наушники TWS'!$E$18),"",'Наушники TWS'!$E$18)</f>
        <v>черный</v>
      </c>
      <c r="P625" s="292" t="str">
        <f aca="false">"ед."</f>
        <v>ед.</v>
      </c>
      <c r="Q625" s="292" t="n">
        <f aca="false">N('Наушники TWS'!$G$18)</f>
        <v>0</v>
      </c>
      <c r="R625" s="299" t="n">
        <f aca="false">IF(ISBLANK('Наушники TWS'!$F$18),"",'Наушники TWS'!$F$18)</f>
        <v>505.59</v>
      </c>
      <c r="S625" s="292" t="str">
        <f aca="false">IF(ISBLANK('Наушники TWS'!$H$18),"",'Наушники TWS'!$H$18)</f>
        <v/>
      </c>
    </row>
    <row r="626" customFormat="false" ht="66" hidden="false" customHeight="true" outlineLevel="0" collapsed="false">
      <c r="A626" s="291" t="str">
        <f aca="true">IF(ISNUMBER($J626),INDIRECT("L"&amp;($J626+4)),"")</f>
        <v/>
      </c>
      <c r="B626" s="291" t="str">
        <f aca="true">IF(ISNUMBER($J626),INDIRECT("M"&amp;($J626+4)),"")</f>
        <v/>
      </c>
      <c r="C626" s="296" t="str">
        <f aca="true">IF(ISNUMBER($J626),INDIRECT("N"&amp;($J626+4)),"")</f>
        <v/>
      </c>
      <c r="D626" s="291" t="str">
        <f aca="true">IF(ISNUMBER($J626),INDIRECT("O"&amp;($J626+4)),"")</f>
        <v/>
      </c>
      <c r="E626" s="291" t="str">
        <f aca="true">IF(ISNUMBER($J626),INDIRECT("P"&amp;($J626+4)),"")</f>
        <v/>
      </c>
      <c r="F626" s="300" t="str">
        <f aca="true">IF(ISNUMBER($J626),INDIRECT("Q"&amp;($J626+4)),"")</f>
        <v/>
      </c>
      <c r="G626" s="298" t="str">
        <f aca="true">IF(ISNUMBER($J626),INDIRECT("R"&amp;($J626+4)),"")</f>
        <v/>
      </c>
      <c r="H626" s="298" t="str">
        <f aca="true">IF(ISNUMBER($J626),INDIRECT("S"&amp;($J626+4)),"")</f>
        <v/>
      </c>
      <c r="J626" s="292" t="str">
        <f aca="true">IF(622&lt;=$K$1,MATCH(621.5,INDIRECT("$K$4:$K$1374"),1),"")</f>
        <v/>
      </c>
      <c r="K626" s="292" t="n">
        <f aca="false">$K$516+COUNTIF($Q$517:Q626,"&gt;0")</f>
        <v>0</v>
      </c>
      <c r="L626" s="292" t="str">
        <f aca="false">"Наушники TWS"</f>
        <v>Наушники TWS</v>
      </c>
      <c r="M626" s="292" t="str">
        <f aca="false">IF(ISBLANK('Наушники TWS'!$A$18),"",'Наушники TWS'!$A$18)</f>
        <v>BW97 Clear беспрводная BT гарнитура</v>
      </c>
      <c r="N626" s="292" t="str">
        <f aca="false">IF(ISBLANK('Наушники TWS'!$D$19),"",'Наушники TWS'!$D$19)</f>
        <v>6941991125607</v>
      </c>
      <c r="O626" s="292" t="str">
        <f aca="false">IF(ISBLANK('Наушники TWS'!$E$19),"",'Наушники TWS'!$E$19)</f>
        <v>белый</v>
      </c>
      <c r="P626" s="292" t="str">
        <f aca="false">"ед."</f>
        <v>ед.</v>
      </c>
      <c r="Q626" s="292" t="n">
        <f aca="false">N('Наушники TWS'!$G$19)</f>
        <v>0</v>
      </c>
      <c r="R626" s="299" t="n">
        <f aca="false">IF(ISBLANK('Наушники TWS'!$F$19),"",'Наушники TWS'!$F$19)</f>
        <v>505.59</v>
      </c>
      <c r="S626" s="292" t="str">
        <f aca="false">IF(ISBLANK('Наушники TWS'!$H$19),"",'Наушники TWS'!$H$19)</f>
        <v/>
      </c>
    </row>
    <row r="627" customFormat="false" ht="66" hidden="false" customHeight="true" outlineLevel="0" collapsed="false">
      <c r="A627" s="291" t="str">
        <f aca="true">IF(ISNUMBER($J627),INDIRECT("L"&amp;($J627+4)),"")</f>
        <v/>
      </c>
      <c r="B627" s="291" t="str">
        <f aca="true">IF(ISNUMBER($J627),INDIRECT("M"&amp;($J627+4)),"")</f>
        <v/>
      </c>
      <c r="C627" s="296" t="str">
        <f aca="true">IF(ISNUMBER($J627),INDIRECT("N"&amp;($J627+4)),"")</f>
        <v/>
      </c>
      <c r="D627" s="291" t="str">
        <f aca="true">IF(ISNUMBER($J627),INDIRECT("O"&amp;($J627+4)),"")</f>
        <v/>
      </c>
      <c r="E627" s="291" t="str">
        <f aca="true">IF(ISNUMBER($J627),INDIRECT("P"&amp;($J627+4)),"")</f>
        <v/>
      </c>
      <c r="F627" s="300" t="str">
        <f aca="true">IF(ISNUMBER($J627),INDIRECT("Q"&amp;($J627+4)),"")</f>
        <v/>
      </c>
      <c r="G627" s="298" t="str">
        <f aca="true">IF(ISNUMBER($J627),INDIRECT("R"&amp;($J627+4)),"")</f>
        <v/>
      </c>
      <c r="H627" s="298" t="str">
        <f aca="true">IF(ISNUMBER($J627),INDIRECT("S"&amp;($J627+4)),"")</f>
        <v/>
      </c>
      <c r="J627" s="292" t="str">
        <f aca="true">IF(623&lt;=$K$1,MATCH(622.5,INDIRECT("$K$4:$K$1374"),1),"")</f>
        <v/>
      </c>
      <c r="K627" s="292" t="n">
        <f aca="false">$K$516+COUNTIF($Q$517:Q627,"&gt;0")</f>
        <v>0</v>
      </c>
      <c r="L627" s="292" t="str">
        <f aca="false">"Наушники TWS"</f>
        <v>Наушники TWS</v>
      </c>
      <c r="M627" s="292" t="str">
        <f aca="false">IF(ISBLANK('Наушники TWS'!$A$20),"",'Наушники TWS'!$A$20)</f>
        <v>BW96 Mellow sound беспроводная гарнитура с ANC+ENC шумоподавлением</v>
      </c>
      <c r="N627" s="292" t="str">
        <f aca="false">IF(ISBLANK('Наушники TWS'!$D$20),"",'Наушники TWS'!$D$20)</f>
        <v>6941991127526</v>
      </c>
      <c r="O627" s="292" t="str">
        <f aca="false">IF(ISBLANK('Наушники TWS'!$E$20),"",'Наушники TWS'!$E$20)</f>
        <v>черный</v>
      </c>
      <c r="P627" s="292" t="str">
        <f aca="false">"ед."</f>
        <v>ед.</v>
      </c>
      <c r="Q627" s="292" t="n">
        <f aca="false">N('Наушники TWS'!$G$20)</f>
        <v>0</v>
      </c>
      <c r="R627" s="299" t="n">
        <f aca="false">IF(ISBLANK('Наушники TWS'!$F$20),"",'Наушники TWS'!$F$20)</f>
        <v>521.9</v>
      </c>
      <c r="S627" s="292" t="str">
        <f aca="false">IF(ISBLANK('Наушники TWS'!$H$20),"",'Наушники TWS'!$H$20)</f>
        <v/>
      </c>
    </row>
    <row r="628" customFormat="false" ht="66" hidden="false" customHeight="true" outlineLevel="0" collapsed="false">
      <c r="A628" s="291" t="str">
        <f aca="true">IF(ISNUMBER($J628),INDIRECT("L"&amp;($J628+4)),"")</f>
        <v/>
      </c>
      <c r="B628" s="291" t="str">
        <f aca="true">IF(ISNUMBER($J628),INDIRECT("M"&amp;($J628+4)),"")</f>
        <v/>
      </c>
      <c r="C628" s="296" t="str">
        <f aca="true">IF(ISNUMBER($J628),INDIRECT("N"&amp;($J628+4)),"")</f>
        <v/>
      </c>
      <c r="D628" s="291" t="str">
        <f aca="true">IF(ISNUMBER($J628),INDIRECT("O"&amp;($J628+4)),"")</f>
        <v/>
      </c>
      <c r="E628" s="291" t="str">
        <f aca="true">IF(ISNUMBER($J628),INDIRECT("P"&amp;($J628+4)),"")</f>
        <v/>
      </c>
      <c r="F628" s="300" t="str">
        <f aca="true">IF(ISNUMBER($J628),INDIRECT("Q"&amp;($J628+4)),"")</f>
        <v/>
      </c>
      <c r="G628" s="298" t="str">
        <f aca="true">IF(ISNUMBER($J628),INDIRECT("R"&amp;($J628+4)),"")</f>
        <v/>
      </c>
      <c r="H628" s="298" t="str">
        <f aca="true">IF(ISNUMBER($J628),INDIRECT("S"&amp;($J628+4)),"")</f>
        <v/>
      </c>
      <c r="J628" s="292" t="str">
        <f aca="true">IF(624&lt;=$K$1,MATCH(623.5,INDIRECT("$K$4:$K$1374"),1),"")</f>
        <v/>
      </c>
      <c r="K628" s="292" t="n">
        <f aca="false">$K$516+COUNTIF($Q$517:Q628,"&gt;0")</f>
        <v>0</v>
      </c>
      <c r="L628" s="292" t="str">
        <f aca="false">"Наушники TWS"</f>
        <v>Наушники TWS</v>
      </c>
      <c r="M628" s="292" t="str">
        <f aca="false">IF(ISBLANK('Наушники TWS'!$A$20),"",'Наушники TWS'!$A$20)</f>
        <v>BW96 Mellow sound беспроводная гарнитура с ANC+ENC шумоподавлением</v>
      </c>
      <c r="N628" s="292" t="str">
        <f aca="false">IF(ISBLANK('Наушники TWS'!$D$21),"",'Наушники TWS'!$D$21)</f>
        <v>6941991127533</v>
      </c>
      <c r="O628" s="292" t="str">
        <f aca="false">IF(ISBLANK('Наушники TWS'!$E$21),"",'Наушники TWS'!$E$21)</f>
        <v>белый</v>
      </c>
      <c r="P628" s="292" t="str">
        <f aca="false">"ед."</f>
        <v>ед.</v>
      </c>
      <c r="Q628" s="292" t="n">
        <f aca="false">N('Наушники TWS'!$G$21)</f>
        <v>0</v>
      </c>
      <c r="R628" s="299" t="n">
        <f aca="false">IF(ISBLANK('Наушники TWS'!$F$21),"",'Наушники TWS'!$F$21)</f>
        <v>521.9</v>
      </c>
      <c r="S628" s="292" t="str">
        <f aca="false">IF(ISBLANK('Наушники TWS'!$H$21),"",'Наушники TWS'!$H$21)</f>
        <v/>
      </c>
    </row>
    <row r="629" customFormat="false" ht="66" hidden="false" customHeight="true" outlineLevel="0" collapsed="false">
      <c r="A629" s="291" t="str">
        <f aca="true">IF(ISNUMBER($J629),INDIRECT("L"&amp;($J629+4)),"")</f>
        <v/>
      </c>
      <c r="B629" s="291" t="str">
        <f aca="true">IF(ISNUMBER($J629),INDIRECT("M"&amp;($J629+4)),"")</f>
        <v/>
      </c>
      <c r="C629" s="296" t="str">
        <f aca="true">IF(ISNUMBER($J629),INDIRECT("N"&amp;($J629+4)),"")</f>
        <v/>
      </c>
      <c r="D629" s="291" t="str">
        <f aca="true">IF(ISNUMBER($J629),INDIRECT("O"&amp;($J629+4)),"")</f>
        <v/>
      </c>
      <c r="E629" s="291" t="str">
        <f aca="true">IF(ISNUMBER($J629),INDIRECT("P"&amp;($J629+4)),"")</f>
        <v/>
      </c>
      <c r="F629" s="300" t="str">
        <f aca="true">IF(ISNUMBER($J629),INDIRECT("Q"&amp;($J629+4)),"")</f>
        <v/>
      </c>
      <c r="G629" s="298" t="str">
        <f aca="true">IF(ISNUMBER($J629),INDIRECT("R"&amp;($J629+4)),"")</f>
        <v/>
      </c>
      <c r="H629" s="298" t="str">
        <f aca="true">IF(ISNUMBER($J629),INDIRECT("S"&amp;($J629+4)),"")</f>
        <v/>
      </c>
      <c r="J629" s="292" t="str">
        <f aca="true">IF(625&lt;=$K$1,MATCH(624.5,INDIRECT("$K$4:$K$1374"),1),"")</f>
        <v/>
      </c>
      <c r="K629" s="292" t="n">
        <f aca="false">$K$516+COUNTIF($Q$517:Q629,"&gt;0")</f>
        <v>0</v>
      </c>
      <c r="L629" s="292" t="str">
        <f aca="false">"Наушники TWS"</f>
        <v>Наушники TWS</v>
      </c>
      <c r="M629" s="292" t="str">
        <f aca="false">IF(ISBLANK('Наушники TWS'!$A$22),"",'Наушники TWS'!$A$22)</f>
        <v>BW95 Cancion BT гарнитура</v>
      </c>
      <c r="N629" s="292" t="str">
        <f aca="false">IF(ISBLANK('Наушники TWS'!$D$22),"",'Наушники TWS'!$D$22)</f>
        <v>6941991126246</v>
      </c>
      <c r="O629" s="292" t="str">
        <f aca="false">IF(ISBLANK('Наушники TWS'!$E$22),"",'Наушники TWS'!$E$22)</f>
        <v>белый</v>
      </c>
      <c r="P629" s="292" t="str">
        <f aca="false">"ед."</f>
        <v>ед.</v>
      </c>
      <c r="Q629" s="292" t="n">
        <f aca="false">N('Наушники TWS'!$G$22)</f>
        <v>0</v>
      </c>
      <c r="R629" s="299" t="n">
        <f aca="false">IF(ISBLANK('Наушники TWS'!$F$22),"",'Наушники TWS'!$F$22)</f>
        <v>489.28</v>
      </c>
      <c r="S629" s="292" t="str">
        <f aca="false">IF(ISBLANK('Наушники TWS'!$H$22),"",'Наушники TWS'!$H$22)</f>
        <v/>
      </c>
    </row>
    <row r="630" customFormat="false" ht="66" hidden="false" customHeight="true" outlineLevel="0" collapsed="false">
      <c r="A630" s="291" t="str">
        <f aca="true">IF(ISNUMBER($J630),INDIRECT("L"&amp;($J630+4)),"")</f>
        <v/>
      </c>
      <c r="B630" s="291" t="str">
        <f aca="true">IF(ISNUMBER($J630),INDIRECT("M"&amp;($J630+4)),"")</f>
        <v/>
      </c>
      <c r="C630" s="296" t="str">
        <f aca="true">IF(ISNUMBER($J630),INDIRECT("N"&amp;($J630+4)),"")</f>
        <v/>
      </c>
      <c r="D630" s="291" t="str">
        <f aca="true">IF(ISNUMBER($J630),INDIRECT("O"&amp;($J630+4)),"")</f>
        <v/>
      </c>
      <c r="E630" s="291" t="str">
        <f aca="true">IF(ISNUMBER($J630),INDIRECT("P"&amp;($J630+4)),"")</f>
        <v/>
      </c>
      <c r="F630" s="300" t="str">
        <f aca="true">IF(ISNUMBER($J630),INDIRECT("Q"&amp;($J630+4)),"")</f>
        <v/>
      </c>
      <c r="G630" s="298" t="str">
        <f aca="true">IF(ISNUMBER($J630),INDIRECT("R"&amp;($J630+4)),"")</f>
        <v/>
      </c>
      <c r="H630" s="298" t="str">
        <f aca="true">IF(ISNUMBER($J630),INDIRECT("S"&amp;($J630+4)),"")</f>
        <v/>
      </c>
      <c r="J630" s="292" t="str">
        <f aca="true">IF(626&lt;=$K$1,MATCH(625.5,INDIRECT("$K$4:$K$1374"),1),"")</f>
        <v/>
      </c>
      <c r="K630" s="292" t="n">
        <f aca="false">$K$516+COUNTIF($Q$517:Q630,"&gt;0")</f>
        <v>0</v>
      </c>
      <c r="L630" s="292" t="str">
        <f aca="false">"Наушники TWS"</f>
        <v>Наушники TWS</v>
      </c>
      <c r="M630" s="292" t="str">
        <f aca="false">IF(ISBLANK('Наушники TWS'!$A$23),"",'Наушники TWS'!$A$23)</f>
        <v>BW94 беспроводная BT гарнитура</v>
      </c>
      <c r="N630" s="292" t="str">
        <f aca="false">IF(ISBLANK('Наушники TWS'!$D$23),"",'Наушники TWS'!$D$23)</f>
        <v>6941991123245</v>
      </c>
      <c r="O630" s="292" t="str">
        <f aca="false">IF(ISBLANK('Наушники TWS'!$E$23),"",'Наушники TWS'!$E$23)</f>
        <v>белый</v>
      </c>
      <c r="P630" s="292" t="str">
        <f aca="false">"ед."</f>
        <v>ед.</v>
      </c>
      <c r="Q630" s="292" t="n">
        <f aca="false">N('Наушники TWS'!$G$23)</f>
        <v>0</v>
      </c>
      <c r="R630" s="299" t="n">
        <f aca="false">IF(ISBLANK('Наушники TWS'!$F$23),"",'Наушники TWS'!$F$23)</f>
        <v>424.04</v>
      </c>
      <c r="S630" s="292" t="str">
        <f aca="false">IF(ISBLANK('Наушники TWS'!$H$23),"",'Наушники TWS'!$H$23)</f>
        <v/>
      </c>
    </row>
    <row r="631" customFormat="false" ht="66" hidden="false" customHeight="true" outlineLevel="0" collapsed="false">
      <c r="A631" s="291" t="str">
        <f aca="true">IF(ISNUMBER($J631),INDIRECT("L"&amp;($J631+4)),"")</f>
        <v/>
      </c>
      <c r="B631" s="291" t="str">
        <f aca="true">IF(ISNUMBER($J631),INDIRECT("M"&amp;($J631+4)),"")</f>
        <v/>
      </c>
      <c r="C631" s="296" t="str">
        <f aca="true">IF(ISNUMBER($J631),INDIRECT("N"&amp;($J631+4)),"")</f>
        <v/>
      </c>
      <c r="D631" s="291" t="str">
        <f aca="true">IF(ISNUMBER($J631),INDIRECT("O"&amp;($J631+4)),"")</f>
        <v/>
      </c>
      <c r="E631" s="291" t="str">
        <f aca="true">IF(ISNUMBER($J631),INDIRECT("P"&amp;($J631+4)),"")</f>
        <v/>
      </c>
      <c r="F631" s="300" t="str">
        <f aca="true">IF(ISNUMBER($J631),INDIRECT("Q"&amp;($J631+4)),"")</f>
        <v/>
      </c>
      <c r="G631" s="298" t="str">
        <f aca="true">IF(ISNUMBER($J631),INDIRECT("R"&amp;($J631+4)),"")</f>
        <v/>
      </c>
      <c r="H631" s="298" t="str">
        <f aca="true">IF(ISNUMBER($J631),INDIRECT("S"&amp;($J631+4)),"")</f>
        <v/>
      </c>
      <c r="J631" s="292" t="str">
        <f aca="true">IF(627&lt;=$K$1,MATCH(626.5,INDIRECT("$K$4:$K$1374"),1),"")</f>
        <v/>
      </c>
      <c r="K631" s="292" t="n">
        <f aca="false">$K$516+COUNTIF($Q$517:Q631,"&gt;0")</f>
        <v>0</v>
      </c>
      <c r="L631" s="292" t="str">
        <f aca="false">"Наушники TWS"</f>
        <v>Наушники TWS</v>
      </c>
      <c r="M631" s="292" t="str">
        <f aca="false">IF(ISBLANK('Наушники TWS'!$A$24),"",'Наушники TWS'!$A$24)</f>
        <v>BW93 беспроводная BT гарнитура с ANC шумоподавлением</v>
      </c>
      <c r="N631" s="292" t="str">
        <f aca="false">IF(ISBLANK('Наушники TWS'!$D$24),"",'Наушники TWS'!$D$24)</f>
        <v>6941991123238</v>
      </c>
      <c r="O631" s="292" t="str">
        <f aca="false">IF(ISBLANK('Наушники TWS'!$E$24),"",'Наушники TWS'!$E$24)</f>
        <v>белый</v>
      </c>
      <c r="P631" s="292" t="str">
        <f aca="false">"ед."</f>
        <v>ед.</v>
      </c>
      <c r="Q631" s="292" t="n">
        <f aca="false">N('Наушники TWS'!$G$24)</f>
        <v>0</v>
      </c>
      <c r="R631" s="299" t="n">
        <f aca="false">IF(ISBLANK('Наушники TWS'!$F$24),"",'Наушники TWS'!$F$24)</f>
        <v>570.83</v>
      </c>
      <c r="S631" s="292" t="str">
        <f aca="false">IF(ISBLANK('Наушники TWS'!$H$24),"",'Наушники TWS'!$H$24)</f>
        <v/>
      </c>
    </row>
    <row r="632" customFormat="false" ht="66" hidden="false" customHeight="true" outlineLevel="0" collapsed="false">
      <c r="A632" s="291" t="str">
        <f aca="true">IF(ISNUMBER($J632),INDIRECT("L"&amp;($J632+4)),"")</f>
        <v/>
      </c>
      <c r="B632" s="291" t="str">
        <f aca="true">IF(ISNUMBER($J632),INDIRECT("M"&amp;($J632+4)),"")</f>
        <v/>
      </c>
      <c r="C632" s="296" t="str">
        <f aca="true">IF(ISNUMBER($J632),INDIRECT("N"&amp;($J632+4)),"")</f>
        <v/>
      </c>
      <c r="D632" s="291" t="str">
        <f aca="true">IF(ISNUMBER($J632),INDIRECT("O"&amp;($J632+4)),"")</f>
        <v/>
      </c>
      <c r="E632" s="291" t="str">
        <f aca="true">IF(ISNUMBER($J632),INDIRECT("P"&amp;($J632+4)),"")</f>
        <v/>
      </c>
      <c r="F632" s="300" t="str">
        <f aca="true">IF(ISNUMBER($J632),INDIRECT("Q"&amp;($J632+4)),"")</f>
        <v/>
      </c>
      <c r="G632" s="298" t="str">
        <f aca="true">IF(ISNUMBER($J632),INDIRECT("R"&amp;($J632+4)),"")</f>
        <v/>
      </c>
      <c r="H632" s="298" t="str">
        <f aca="true">IF(ISNUMBER($J632),INDIRECT("S"&amp;($J632+4)),"")</f>
        <v/>
      </c>
      <c r="J632" s="292" t="str">
        <f aca="true">IF(628&lt;=$K$1,MATCH(627.5,INDIRECT("$K$4:$K$1374"),1),"")</f>
        <v/>
      </c>
      <c r="K632" s="292" t="n">
        <f aca="false">$K$516+COUNTIF($Q$517:Q632,"&gt;0")</f>
        <v>0</v>
      </c>
      <c r="L632" s="292" t="str">
        <f aca="false">"Наушники TWS"</f>
        <v>Наушники TWS</v>
      </c>
      <c r="M632" s="292" t="str">
        <f aca="false">IF(ISBLANK('Наушники TWS'!$A$25),"",'Наушники TWS'!$A$25)</f>
        <v>BW92 беспроводная BT гарнитура</v>
      </c>
      <c r="N632" s="292" t="str">
        <f aca="false">IF(ISBLANK('Наушники TWS'!$D$25),"",'Наушники TWS'!$D$25)</f>
        <v>6941991123221</v>
      </c>
      <c r="O632" s="292" t="str">
        <f aca="false">IF(ISBLANK('Наушники TWS'!$E$25),"",'Наушники TWS'!$E$25)</f>
        <v>белый</v>
      </c>
      <c r="P632" s="292" t="str">
        <f aca="false">"ед."</f>
        <v>ед.</v>
      </c>
      <c r="Q632" s="292" t="n">
        <f aca="false">N('Наушники TWS'!$G$25)</f>
        <v>0</v>
      </c>
      <c r="R632" s="299" t="n">
        <f aca="false">IF(ISBLANK('Наушники TWS'!$F$25),"",'Наушники TWS'!$F$25)</f>
        <v>456.66</v>
      </c>
      <c r="S632" s="292" t="str">
        <f aca="false">IF(ISBLANK('Наушники TWS'!$H$25),"",'Наушники TWS'!$H$25)</f>
        <v/>
      </c>
    </row>
    <row r="633" customFormat="false" ht="66" hidden="false" customHeight="true" outlineLevel="0" collapsed="false">
      <c r="A633" s="291" t="str">
        <f aca="true">IF(ISNUMBER($J633),INDIRECT("L"&amp;($J633+4)),"")</f>
        <v/>
      </c>
      <c r="B633" s="291" t="str">
        <f aca="true">IF(ISNUMBER($J633),INDIRECT("M"&amp;($J633+4)),"")</f>
        <v/>
      </c>
      <c r="C633" s="296" t="str">
        <f aca="true">IF(ISNUMBER($J633),INDIRECT("N"&amp;($J633+4)),"")</f>
        <v/>
      </c>
      <c r="D633" s="291" t="str">
        <f aca="true">IF(ISNUMBER($J633),INDIRECT("O"&amp;($J633+4)),"")</f>
        <v/>
      </c>
      <c r="E633" s="291" t="str">
        <f aca="true">IF(ISNUMBER($J633),INDIRECT("P"&amp;($J633+4)),"")</f>
        <v/>
      </c>
      <c r="F633" s="300" t="str">
        <f aca="true">IF(ISNUMBER($J633),INDIRECT("Q"&amp;($J633+4)),"")</f>
        <v/>
      </c>
      <c r="G633" s="298" t="str">
        <f aca="true">IF(ISNUMBER($J633),INDIRECT("R"&amp;($J633+4)),"")</f>
        <v/>
      </c>
      <c r="H633" s="298" t="str">
        <f aca="true">IF(ISNUMBER($J633),INDIRECT("S"&amp;($J633+4)),"")</f>
        <v/>
      </c>
      <c r="J633" s="292" t="str">
        <f aca="true">IF(629&lt;=$K$1,MATCH(628.5,INDIRECT("$K$4:$K$1374"),1),"")</f>
        <v/>
      </c>
      <c r="K633" s="292" t="n">
        <f aca="false">$K$516+COUNTIF($Q$517:Q633,"&gt;0")</f>
        <v>0</v>
      </c>
      <c r="L633" s="292" t="str">
        <f aca="false">"Наушники TWS"</f>
        <v>Наушники TWS</v>
      </c>
      <c r="M633" s="292" t="str">
        <f aca="false">IF(ISBLANK('Наушники TWS'!$A$26),"",'Наушники TWS'!$A$26)</f>
        <v>BW91 беспроводная BT гарнитура</v>
      </c>
      <c r="N633" s="292" t="str">
        <f aca="false">IF(ISBLANK('Наушники TWS'!$D$26),"",'Наушники TWS'!$D$26)</f>
        <v>6941991123214</v>
      </c>
      <c r="O633" s="292" t="str">
        <f aca="false">IF(ISBLANK('Наушники TWS'!$E$26),"",'Наушники TWS'!$E$26)</f>
        <v>белый</v>
      </c>
      <c r="P633" s="292" t="str">
        <f aca="false">"ед."</f>
        <v>ед.</v>
      </c>
      <c r="Q633" s="292" t="n">
        <f aca="false">N('Наушники TWS'!$G$26)</f>
        <v>0</v>
      </c>
      <c r="R633" s="299" t="n">
        <f aca="false">IF(ISBLANK('Наушники TWS'!$F$26),"",'Наушники TWS'!$F$26)</f>
        <v>407.74</v>
      </c>
      <c r="S633" s="292" t="str">
        <f aca="false">IF(ISBLANK('Наушники TWS'!$H$26),"",'Наушники TWS'!$H$26)</f>
        <v/>
      </c>
    </row>
    <row r="634" customFormat="false" ht="66" hidden="false" customHeight="true" outlineLevel="0" collapsed="false">
      <c r="A634" s="291" t="str">
        <f aca="true">IF(ISNUMBER($J634),INDIRECT("L"&amp;($J634+4)),"")</f>
        <v/>
      </c>
      <c r="B634" s="291" t="str">
        <f aca="true">IF(ISNUMBER($J634),INDIRECT("M"&amp;($J634+4)),"")</f>
        <v/>
      </c>
      <c r="C634" s="296" t="str">
        <f aca="true">IF(ISNUMBER($J634),INDIRECT("N"&amp;($J634+4)),"")</f>
        <v/>
      </c>
      <c r="D634" s="291" t="str">
        <f aca="true">IF(ISNUMBER($J634),INDIRECT("O"&amp;($J634+4)),"")</f>
        <v/>
      </c>
      <c r="E634" s="291" t="str">
        <f aca="true">IF(ISNUMBER($J634),INDIRECT("P"&amp;($J634+4)),"")</f>
        <v/>
      </c>
      <c r="F634" s="300" t="str">
        <f aca="true">IF(ISNUMBER($J634),INDIRECT("Q"&amp;($J634+4)),"")</f>
        <v/>
      </c>
      <c r="G634" s="298" t="str">
        <f aca="true">IF(ISNUMBER($J634),INDIRECT("R"&amp;($J634+4)),"")</f>
        <v/>
      </c>
      <c r="H634" s="298" t="str">
        <f aca="true">IF(ISNUMBER($J634),INDIRECT("S"&amp;($J634+4)),"")</f>
        <v/>
      </c>
      <c r="J634" s="292" t="str">
        <f aca="true">IF(630&lt;=$K$1,MATCH(629.5,INDIRECT("$K$4:$K$1374"),1),"")</f>
        <v/>
      </c>
      <c r="K634" s="292" t="n">
        <f aca="false">$K$516+COUNTIF($Q$517:Q634,"&gt;0")</f>
        <v>0</v>
      </c>
      <c r="L634" s="292" t="str">
        <f aca="false">"Наушники TWS"</f>
        <v>Наушники TWS</v>
      </c>
      <c r="M634" s="292" t="str">
        <f aca="false">IF(ISBLANK('Наушники TWS'!$A$27),"",'Наушники TWS'!$A$27)</f>
        <v>BW90 беспроводная BT гарнитура</v>
      </c>
      <c r="N634" s="292" t="str">
        <f aca="false">IF(ISBLANK('Наушники TWS'!$D$27),"",'Наушники TWS'!$D$27)</f>
        <v>6941991123207</v>
      </c>
      <c r="O634" s="292" t="str">
        <f aca="false">IF(ISBLANK('Наушники TWS'!$E$27),"",'Наушники TWS'!$E$27)</f>
        <v>белый</v>
      </c>
      <c r="P634" s="292" t="str">
        <f aca="false">"ед."</f>
        <v>ед.</v>
      </c>
      <c r="Q634" s="292" t="n">
        <f aca="false">N('Наушники TWS'!$G$27)</f>
        <v>0</v>
      </c>
      <c r="R634" s="299" t="n">
        <f aca="false">IF(ISBLANK('Наушники TWS'!$F$27),"",'Наушники TWS'!$F$27)</f>
        <v>440.35</v>
      </c>
      <c r="S634" s="292" t="str">
        <f aca="false">IF(ISBLANK('Наушники TWS'!$H$27),"",'Наушники TWS'!$H$27)</f>
        <v/>
      </c>
    </row>
    <row r="635" customFormat="false" ht="66" hidden="false" customHeight="true" outlineLevel="0" collapsed="false">
      <c r="A635" s="291" t="str">
        <f aca="true">IF(ISNUMBER($J635),INDIRECT("L"&amp;($J635+4)),"")</f>
        <v/>
      </c>
      <c r="B635" s="291" t="str">
        <f aca="true">IF(ISNUMBER($J635),INDIRECT("M"&amp;($J635+4)),"")</f>
        <v/>
      </c>
      <c r="C635" s="296" t="str">
        <f aca="true">IF(ISNUMBER($J635),INDIRECT("N"&amp;($J635+4)),"")</f>
        <v/>
      </c>
      <c r="D635" s="291" t="str">
        <f aca="true">IF(ISNUMBER($J635),INDIRECT("O"&amp;($J635+4)),"")</f>
        <v/>
      </c>
      <c r="E635" s="291" t="str">
        <f aca="true">IF(ISNUMBER($J635),INDIRECT("P"&amp;($J635+4)),"")</f>
        <v/>
      </c>
      <c r="F635" s="300" t="str">
        <f aca="true">IF(ISNUMBER($J635),INDIRECT("Q"&amp;($J635+4)),"")</f>
        <v/>
      </c>
      <c r="G635" s="298" t="str">
        <f aca="true">IF(ISNUMBER($J635),INDIRECT("R"&amp;($J635+4)),"")</f>
        <v/>
      </c>
      <c r="H635" s="298" t="str">
        <f aca="true">IF(ISNUMBER($J635),INDIRECT("S"&amp;($J635+4)),"")</f>
        <v/>
      </c>
      <c r="J635" s="292" t="str">
        <f aca="true">IF(631&lt;=$K$1,MATCH(630.5,INDIRECT("$K$4:$K$1374"),1),"")</f>
        <v/>
      </c>
      <c r="K635" s="292" t="n">
        <f aca="false">$K$516+COUNTIF($Q$517:Q635,"&gt;0")</f>
        <v>0</v>
      </c>
      <c r="L635" s="292" t="str">
        <f aca="false">"Наушники TWS"</f>
        <v>Наушники TWS</v>
      </c>
      <c r="M635" s="292" t="str">
        <f aca="false">IF(ISBLANK('Наушники TWS'!$A$28),"",'Наушники TWS'!$A$28)</f>
        <v>BW89 беспроводная BT гарнитура</v>
      </c>
      <c r="N635" s="292" t="str">
        <f aca="false">IF(ISBLANK('Наушники TWS'!$D$28),"",'Наушники TWS'!$D$28)</f>
        <v>6941991123191</v>
      </c>
      <c r="O635" s="292" t="str">
        <f aca="false">IF(ISBLANK('Наушники TWS'!$E$28),"",'Наушники TWS'!$E$28)</f>
        <v>белый</v>
      </c>
      <c r="P635" s="292" t="str">
        <f aca="false">"ед."</f>
        <v>ед.</v>
      </c>
      <c r="Q635" s="292" t="n">
        <f aca="false">N('Наушники TWS'!$G$28)</f>
        <v>0</v>
      </c>
      <c r="R635" s="299" t="n">
        <f aca="false">IF(ISBLANK('Наушники TWS'!$F$28),"",'Наушники TWS'!$F$28)</f>
        <v>407.74</v>
      </c>
      <c r="S635" s="292" t="str">
        <f aca="false">IF(ISBLANK('Наушники TWS'!$H$28),"",'Наушники TWS'!$H$28)</f>
        <v/>
      </c>
    </row>
    <row r="636" customFormat="false" ht="66" hidden="false" customHeight="true" outlineLevel="0" collapsed="false">
      <c r="A636" s="291" t="str">
        <f aca="true">IF(ISNUMBER($J636),INDIRECT("L"&amp;($J636+4)),"")</f>
        <v/>
      </c>
      <c r="B636" s="291" t="str">
        <f aca="true">IF(ISNUMBER($J636),INDIRECT("M"&amp;($J636+4)),"")</f>
        <v/>
      </c>
      <c r="C636" s="296" t="str">
        <f aca="true">IF(ISNUMBER($J636),INDIRECT("N"&amp;($J636+4)),"")</f>
        <v/>
      </c>
      <c r="D636" s="291" t="str">
        <f aca="true">IF(ISNUMBER($J636),INDIRECT("O"&amp;($J636+4)),"")</f>
        <v/>
      </c>
      <c r="E636" s="291" t="str">
        <f aca="true">IF(ISNUMBER($J636),INDIRECT("P"&amp;($J636+4)),"")</f>
        <v/>
      </c>
      <c r="F636" s="300" t="str">
        <f aca="true">IF(ISNUMBER($J636),INDIRECT("Q"&amp;($J636+4)),"")</f>
        <v/>
      </c>
      <c r="G636" s="298" t="str">
        <f aca="true">IF(ISNUMBER($J636),INDIRECT("R"&amp;($J636+4)),"")</f>
        <v/>
      </c>
      <c r="H636" s="298" t="str">
        <f aca="true">IF(ISNUMBER($J636),INDIRECT("S"&amp;($J636+4)),"")</f>
        <v/>
      </c>
      <c r="J636" s="292" t="str">
        <f aca="true">IF(632&lt;=$K$1,MATCH(631.5,INDIRECT("$K$4:$K$1374"),1),"")</f>
        <v/>
      </c>
      <c r="K636" s="292" t="n">
        <f aca="false">$K$516+COUNTIF($Q$517:Q636,"&gt;0")</f>
        <v>0</v>
      </c>
      <c r="L636" s="292" t="str">
        <f aca="false">"Наушники TWS"</f>
        <v>Наушники TWS</v>
      </c>
      <c r="M636" s="292" t="str">
        <f aca="false">IF(ISBLANK('Наушники TWS'!$A$29),"",'Наушники TWS'!$A$29)</f>
        <v>BW88 Deep rhyme true wireless BT headset</v>
      </c>
      <c r="N636" s="292" t="str">
        <f aca="false">IF(ISBLANK('Наушники TWS'!$D$29),"",'Наушники TWS'!$D$29)</f>
        <v>6941991121678</v>
      </c>
      <c r="O636" s="292" t="str">
        <f aca="false">IF(ISBLANK('Наушники TWS'!$E$29),"",'Наушники TWS'!$E$29)</f>
        <v>чёрный</v>
      </c>
      <c r="P636" s="292" t="str">
        <f aca="false">"ед."</f>
        <v>ед.</v>
      </c>
      <c r="Q636" s="292" t="n">
        <f aca="false">N('Наушники TWS'!$G$29)</f>
        <v>0</v>
      </c>
      <c r="R636" s="299" t="n">
        <f aca="false">IF(ISBLANK('Наушники TWS'!$F$29),"",'Наушники TWS'!$F$29)</f>
        <v>407.74</v>
      </c>
      <c r="S636" s="292" t="str">
        <f aca="false">IF(ISBLANK('Наушники TWS'!$H$29),"",'Наушники TWS'!$H$29)</f>
        <v/>
      </c>
    </row>
    <row r="637" customFormat="false" ht="66" hidden="false" customHeight="true" outlineLevel="0" collapsed="false">
      <c r="A637" s="291" t="str">
        <f aca="true">IF(ISNUMBER($J637),INDIRECT("L"&amp;($J637+4)),"")</f>
        <v/>
      </c>
      <c r="B637" s="291" t="str">
        <f aca="true">IF(ISNUMBER($J637),INDIRECT("M"&amp;($J637+4)),"")</f>
        <v/>
      </c>
      <c r="C637" s="296" t="str">
        <f aca="true">IF(ISNUMBER($J637),INDIRECT("N"&amp;($J637+4)),"")</f>
        <v/>
      </c>
      <c r="D637" s="291" t="str">
        <f aca="true">IF(ISNUMBER($J637),INDIRECT("O"&amp;($J637+4)),"")</f>
        <v/>
      </c>
      <c r="E637" s="291" t="str">
        <f aca="true">IF(ISNUMBER($J637),INDIRECT("P"&amp;($J637+4)),"")</f>
        <v/>
      </c>
      <c r="F637" s="300" t="str">
        <f aca="true">IF(ISNUMBER($J637),INDIRECT("Q"&amp;($J637+4)),"")</f>
        <v/>
      </c>
      <c r="G637" s="298" t="str">
        <f aca="true">IF(ISNUMBER($J637),INDIRECT("R"&amp;($J637+4)),"")</f>
        <v/>
      </c>
      <c r="H637" s="298" t="str">
        <f aca="true">IF(ISNUMBER($J637),INDIRECT("S"&amp;($J637+4)),"")</f>
        <v/>
      </c>
      <c r="J637" s="292" t="str">
        <f aca="true">IF(633&lt;=$K$1,MATCH(632.5,INDIRECT("$K$4:$K$1374"),1),"")</f>
        <v/>
      </c>
      <c r="K637" s="292" t="n">
        <f aca="false">$K$516+COUNTIF($Q$517:Q637,"&gt;0")</f>
        <v>0</v>
      </c>
      <c r="L637" s="292" t="str">
        <f aca="false">"Наушники TWS"</f>
        <v>Наушники TWS</v>
      </c>
      <c r="M637" s="292" t="str">
        <f aca="false">IF(ISBLANK('Наушники TWS'!$A$29),"",'Наушники TWS'!$A$29)</f>
        <v>BW88 Deep rhyme true wireless BT headset</v>
      </c>
      <c r="N637" s="292" t="str">
        <f aca="false">IF(ISBLANK('Наушники TWS'!$D$30),"",'Наушники TWS'!$D$30)</f>
        <v>6941991121685</v>
      </c>
      <c r="O637" s="292" t="str">
        <f aca="false">IF(ISBLANK('Наушники TWS'!$E$30),"",'Наушники TWS'!$E$30)</f>
        <v>белый</v>
      </c>
      <c r="P637" s="292" t="str">
        <f aca="false">"ед."</f>
        <v>ед.</v>
      </c>
      <c r="Q637" s="292" t="n">
        <f aca="false">N('Наушники TWS'!$G$30)</f>
        <v>0</v>
      </c>
      <c r="R637" s="299" t="n">
        <f aca="false">IF(ISBLANK('Наушники TWS'!$F$30),"",'Наушники TWS'!$F$30)</f>
        <v>407.74</v>
      </c>
      <c r="S637" s="292" t="str">
        <f aca="false">IF(ISBLANK('Наушники TWS'!$H$30),"",'Наушники TWS'!$H$30)</f>
        <v/>
      </c>
    </row>
    <row r="638" customFormat="false" ht="66" hidden="false" customHeight="true" outlineLevel="0" collapsed="false">
      <c r="A638" s="291" t="str">
        <f aca="true">IF(ISNUMBER($J638),INDIRECT("L"&amp;($J638+4)),"")</f>
        <v/>
      </c>
      <c r="B638" s="291" t="str">
        <f aca="true">IF(ISNUMBER($J638),INDIRECT("M"&amp;($J638+4)),"")</f>
        <v/>
      </c>
      <c r="C638" s="296" t="str">
        <f aca="true">IF(ISNUMBER($J638),INDIRECT("N"&amp;($J638+4)),"")</f>
        <v/>
      </c>
      <c r="D638" s="291" t="str">
        <f aca="true">IF(ISNUMBER($J638),INDIRECT("O"&amp;($J638+4)),"")</f>
        <v/>
      </c>
      <c r="E638" s="291" t="str">
        <f aca="true">IF(ISNUMBER($J638),INDIRECT("P"&amp;($J638+4)),"")</f>
        <v/>
      </c>
      <c r="F638" s="300" t="str">
        <f aca="true">IF(ISNUMBER($J638),INDIRECT("Q"&amp;($J638+4)),"")</f>
        <v/>
      </c>
      <c r="G638" s="298" t="str">
        <f aca="true">IF(ISNUMBER($J638),INDIRECT("R"&amp;($J638+4)),"")</f>
        <v/>
      </c>
      <c r="H638" s="298" t="str">
        <f aca="true">IF(ISNUMBER($J638),INDIRECT("S"&amp;($J638+4)),"")</f>
        <v/>
      </c>
      <c r="J638" s="292" t="str">
        <f aca="true">IF(634&lt;=$K$1,MATCH(633.5,INDIRECT("$K$4:$K$1374"),1),"")</f>
        <v/>
      </c>
      <c r="K638" s="292" t="n">
        <f aca="false">$K$516+COUNTIF($Q$517:Q638,"&gt;0")</f>
        <v>0</v>
      </c>
      <c r="L638" s="292" t="str">
        <f aca="false">"Наушники TWS"</f>
        <v>Наушники TWS</v>
      </c>
      <c r="M638" s="292" t="str">
        <f aca="false">IF(ISBLANK('Наушники TWS'!$A$31),"",'Наушники TWS'!$A$31)</f>
        <v>BW85 Smart беспроводная BT гарнитура</v>
      </c>
      <c r="N638" s="292" t="str">
        <f aca="false">IF(ISBLANK('Наушники TWS'!$D$31),"",'Наушники TWS'!$D$31)</f>
        <v>6941991119187</v>
      </c>
      <c r="O638" s="292" t="str">
        <f aca="false">IF(ISBLANK('Наушники TWS'!$E$31),"",'Наушники TWS'!$E$31)</f>
        <v>белый</v>
      </c>
      <c r="P638" s="292" t="str">
        <f aca="false">"ед."</f>
        <v>ед.</v>
      </c>
      <c r="Q638" s="292" t="n">
        <f aca="false">N('Наушники TWS'!$G$31)</f>
        <v>0</v>
      </c>
      <c r="R638" s="299" t="n">
        <f aca="false">IF(ISBLANK('Наушники TWS'!$F$31),"",'Наушники TWS'!$F$31)</f>
        <v>570.83</v>
      </c>
      <c r="S638" s="292" t="str">
        <f aca="false">IF(ISBLANK('Наушники TWS'!$H$31),"",'Наушники TWS'!$H$31)</f>
        <v/>
      </c>
    </row>
    <row r="639" customFormat="false" ht="66" hidden="false" customHeight="true" outlineLevel="0" collapsed="false">
      <c r="A639" s="291" t="str">
        <f aca="true">IF(ISNUMBER($J639),INDIRECT("L"&amp;($J639+4)),"")</f>
        <v/>
      </c>
      <c r="B639" s="291" t="str">
        <f aca="true">IF(ISNUMBER($J639),INDIRECT("M"&amp;($J639+4)),"")</f>
        <v/>
      </c>
      <c r="C639" s="296" t="str">
        <f aca="true">IF(ISNUMBER($J639),INDIRECT("N"&amp;($J639+4)),"")</f>
        <v/>
      </c>
      <c r="D639" s="291" t="str">
        <f aca="true">IF(ISNUMBER($J639),INDIRECT("O"&amp;($J639+4)),"")</f>
        <v/>
      </c>
      <c r="E639" s="291" t="str">
        <f aca="true">IF(ISNUMBER($J639),INDIRECT("P"&amp;($J639+4)),"")</f>
        <v/>
      </c>
      <c r="F639" s="300" t="str">
        <f aca="true">IF(ISNUMBER($J639),INDIRECT("Q"&amp;($J639+4)),"")</f>
        <v/>
      </c>
      <c r="G639" s="298" t="str">
        <f aca="true">IF(ISNUMBER($J639),INDIRECT("R"&amp;($J639+4)),"")</f>
        <v/>
      </c>
      <c r="H639" s="298" t="str">
        <f aca="true">IF(ISNUMBER($J639),INDIRECT("S"&amp;($J639+4)),"")</f>
        <v/>
      </c>
      <c r="J639" s="292" t="str">
        <f aca="true">IF(635&lt;=$K$1,MATCH(634.5,INDIRECT("$K$4:$K$1374"),1),"")</f>
        <v/>
      </c>
      <c r="K639" s="292" t="n">
        <f aca="false">$K$516+COUNTIF($Q$517:Q639,"&gt;0")</f>
        <v>0</v>
      </c>
      <c r="L639" s="292" t="str">
        <f aca="false">"Наушники TWS"</f>
        <v>Наушники TWS</v>
      </c>
      <c r="M639" s="292" t="str">
        <f aca="false">IF(ISBLANK('Наушники TWS'!$A$32),"",'Наушники TWS'!$A$32)</f>
        <v>BW83 беспроводная гарнитура</v>
      </c>
      <c r="N639" s="292" t="str">
        <f aca="false">IF(ISBLANK('Наушники TWS'!$D$32),"",'Наушники TWS'!$D$32)</f>
        <v>6941991114977</v>
      </c>
      <c r="O639" s="292" t="str">
        <f aca="false">IF(ISBLANK('Наушники TWS'!$E$32),"",'Наушники TWS'!$E$32)</f>
        <v>белый</v>
      </c>
      <c r="P639" s="292" t="str">
        <f aca="false">"ед."</f>
        <v>ед.</v>
      </c>
      <c r="Q639" s="292" t="n">
        <f aca="false">N('Наушники TWS'!$G$32)</f>
        <v>0</v>
      </c>
      <c r="R639" s="299" t="n">
        <f aca="false">IF(ISBLANK('Наушники TWS'!$F$32),"",'Наушники TWS'!$F$32)</f>
        <v>489.28</v>
      </c>
      <c r="S639" s="292" t="str">
        <f aca="false">IF(ISBLANK('Наушники TWS'!$H$32),"",'Наушники TWS'!$H$32)</f>
        <v/>
      </c>
    </row>
    <row r="640" customFormat="false" ht="66" hidden="false" customHeight="true" outlineLevel="0" collapsed="false">
      <c r="A640" s="291" t="str">
        <f aca="true">IF(ISNUMBER($J640),INDIRECT("L"&amp;($J640+4)),"")</f>
        <v/>
      </c>
      <c r="B640" s="291" t="str">
        <f aca="true">IF(ISNUMBER($J640),INDIRECT("M"&amp;($J640+4)),"")</f>
        <v/>
      </c>
      <c r="C640" s="296" t="str">
        <f aca="true">IF(ISNUMBER($J640),INDIRECT("N"&amp;($J640+4)),"")</f>
        <v/>
      </c>
      <c r="D640" s="291" t="str">
        <f aca="true">IF(ISNUMBER($J640),INDIRECT("O"&amp;($J640+4)),"")</f>
        <v/>
      </c>
      <c r="E640" s="291" t="str">
        <f aca="true">IF(ISNUMBER($J640),INDIRECT("P"&amp;($J640+4)),"")</f>
        <v/>
      </c>
      <c r="F640" s="300" t="str">
        <f aca="true">IF(ISNUMBER($J640),INDIRECT("Q"&amp;($J640+4)),"")</f>
        <v/>
      </c>
      <c r="G640" s="298" t="str">
        <f aca="true">IF(ISNUMBER($J640),INDIRECT("R"&amp;($J640+4)),"")</f>
        <v/>
      </c>
      <c r="H640" s="298" t="str">
        <f aca="true">IF(ISNUMBER($J640),INDIRECT("S"&amp;($J640+4)),"")</f>
        <v/>
      </c>
      <c r="J640" s="292" t="str">
        <f aca="true">IF(636&lt;=$K$1,MATCH(635.5,INDIRECT("$K$4:$K$1374"),1),"")</f>
        <v/>
      </c>
      <c r="K640" s="292" t="n">
        <f aca="false">$K$516+COUNTIF($Q$517:Q640,"&gt;0")</f>
        <v>0</v>
      </c>
      <c r="L640" s="292" t="str">
        <f aca="false">"Наушники TWS"</f>
        <v>Наушники TWS</v>
      </c>
      <c r="M640" s="292" t="str">
        <f aca="false">IF(ISBLANK('Наушники TWS'!$A$33),"",'Наушники TWS'!$A$33)</f>
        <v>BW82 беспроводная гарнитура</v>
      </c>
      <c r="N640" s="292" t="str">
        <f aca="false">IF(ISBLANK('Наушники TWS'!$D$33),"",'Наушники TWS'!$D$33)</f>
        <v>6941991114960</v>
      </c>
      <c r="O640" s="292" t="str">
        <f aca="false">IF(ISBLANK('Наушники TWS'!$E$33),"",'Наушники TWS'!$E$33)</f>
        <v>белый</v>
      </c>
      <c r="P640" s="292" t="str">
        <f aca="false">"ед."</f>
        <v>ед.</v>
      </c>
      <c r="Q640" s="292" t="n">
        <f aca="false">N('Наушники TWS'!$G$33)</f>
        <v>0</v>
      </c>
      <c r="R640" s="299" t="n">
        <f aca="false">IF(ISBLANK('Наушники TWS'!$F$33),"",'Наушники TWS'!$F$33)</f>
        <v>538.21</v>
      </c>
      <c r="S640" s="292" t="str">
        <f aca="false">IF(ISBLANK('Наушники TWS'!$H$33),"",'Наушники TWS'!$H$33)</f>
        <v/>
      </c>
    </row>
    <row r="641" customFormat="false" ht="66" hidden="false" customHeight="true" outlineLevel="0" collapsed="false">
      <c r="A641" s="291" t="str">
        <f aca="true">IF(ISNUMBER($J641),INDIRECT("L"&amp;($J641+4)),"")</f>
        <v/>
      </c>
      <c r="B641" s="291" t="str">
        <f aca="true">IF(ISNUMBER($J641),INDIRECT("M"&amp;($J641+4)),"")</f>
        <v/>
      </c>
      <c r="C641" s="296" t="str">
        <f aca="true">IF(ISNUMBER($J641),INDIRECT("N"&amp;($J641+4)),"")</f>
        <v/>
      </c>
      <c r="D641" s="291" t="str">
        <f aca="true">IF(ISNUMBER($J641),INDIRECT("O"&amp;($J641+4)),"")</f>
        <v/>
      </c>
      <c r="E641" s="291" t="str">
        <f aca="true">IF(ISNUMBER($J641),INDIRECT("P"&amp;($J641+4)),"")</f>
        <v/>
      </c>
      <c r="F641" s="300" t="str">
        <f aca="true">IF(ISNUMBER($J641),INDIRECT("Q"&amp;($J641+4)),"")</f>
        <v/>
      </c>
      <c r="G641" s="298" t="str">
        <f aca="true">IF(ISNUMBER($J641),INDIRECT("R"&amp;($J641+4)),"")</f>
        <v/>
      </c>
      <c r="H641" s="298" t="str">
        <f aca="true">IF(ISNUMBER($J641),INDIRECT("S"&amp;($J641+4)),"")</f>
        <v/>
      </c>
      <c r="J641" s="292" t="str">
        <f aca="true">IF(637&lt;=$K$1,MATCH(636.5,INDIRECT("$K$4:$K$1374"),1),"")</f>
        <v/>
      </c>
      <c r="K641" s="292" t="n">
        <f aca="false">$K$516+COUNTIF($Q$517:Q641,"&gt;0")</f>
        <v>0</v>
      </c>
      <c r="L641" s="292" t="str">
        <f aca="false">"Наушники TWS"</f>
        <v>Наушники TWS</v>
      </c>
      <c r="M641" s="292" t="str">
        <f aca="false">IF(ISBLANK('Наушники TWS'!$A$34),"",'Наушники TWS'!$A$34)</f>
        <v>BW81 беспроводная гарнитура</v>
      </c>
      <c r="N641" s="292" t="str">
        <f aca="false">IF(ISBLANK('Наушники TWS'!$D$34),"",'Наушники TWS'!$D$34)</f>
        <v>6941991114953</v>
      </c>
      <c r="O641" s="292" t="str">
        <f aca="false">IF(ISBLANK('Наушники TWS'!$E$34),"",'Наушники TWS'!$E$34)</f>
        <v>белый</v>
      </c>
      <c r="P641" s="292" t="str">
        <f aca="false">"ед."</f>
        <v>ед.</v>
      </c>
      <c r="Q641" s="292" t="n">
        <f aca="false">N('Наушники TWS'!$G$34)</f>
        <v>0</v>
      </c>
      <c r="R641" s="299" t="n">
        <f aca="false">IF(ISBLANK('Наушники TWS'!$F$34),"",'Наушники TWS'!$F$34)</f>
        <v>472.97</v>
      </c>
      <c r="S641" s="292" t="str">
        <f aca="false">IF(ISBLANK('Наушники TWS'!$H$34),"",'Наушники TWS'!$H$34)</f>
        <v/>
      </c>
    </row>
    <row r="642" customFormat="false" ht="66" hidden="false" customHeight="true" outlineLevel="0" collapsed="false">
      <c r="A642" s="291" t="str">
        <f aca="true">IF(ISNUMBER($J642),INDIRECT("L"&amp;($J642+4)),"")</f>
        <v/>
      </c>
      <c r="B642" s="291" t="str">
        <f aca="true">IF(ISNUMBER($J642),INDIRECT("M"&amp;($J642+4)),"")</f>
        <v/>
      </c>
      <c r="C642" s="296" t="str">
        <f aca="true">IF(ISNUMBER($J642),INDIRECT("N"&amp;($J642+4)),"")</f>
        <v/>
      </c>
      <c r="D642" s="291" t="str">
        <f aca="true">IF(ISNUMBER($J642),INDIRECT("O"&amp;($J642+4)),"")</f>
        <v/>
      </c>
      <c r="E642" s="291" t="str">
        <f aca="true">IF(ISNUMBER($J642),INDIRECT("P"&amp;($J642+4)),"")</f>
        <v/>
      </c>
      <c r="F642" s="300" t="str">
        <f aca="true">IF(ISNUMBER($J642),INDIRECT("Q"&amp;($J642+4)),"")</f>
        <v/>
      </c>
      <c r="G642" s="298" t="str">
        <f aca="true">IF(ISNUMBER($J642),INDIRECT("R"&amp;($J642+4)),"")</f>
        <v/>
      </c>
      <c r="H642" s="298" t="str">
        <f aca="true">IF(ISNUMBER($J642),INDIRECT("S"&amp;($J642+4)),"")</f>
        <v/>
      </c>
      <c r="J642" s="292" t="str">
        <f aca="true">IF(638&lt;=$K$1,MATCH(637.5,INDIRECT("$K$4:$K$1374"),1),"")</f>
        <v/>
      </c>
      <c r="K642" s="292" t="n">
        <f aca="false">$K$516+COUNTIF($Q$517:Q642,"&gt;0")</f>
        <v>0</v>
      </c>
      <c r="L642" s="292" t="str">
        <f aca="false">"Наушники TWS"</f>
        <v>Наушники TWS</v>
      </c>
      <c r="M642" s="292" t="str">
        <f aca="false">IF(ISBLANK('Наушники TWS'!$A$35),"",'Наушники TWS'!$A$35)</f>
        <v>BW80 беспроводная гарнитура</v>
      </c>
      <c r="N642" s="292" t="str">
        <f aca="false">IF(ISBLANK('Наушники TWS'!$D$35),"",'Наушники TWS'!$D$35)</f>
        <v>6941991114946</v>
      </c>
      <c r="O642" s="292" t="str">
        <f aca="false">IF(ISBLANK('Наушники TWS'!$E$35),"",'Наушники TWS'!$E$35)</f>
        <v>белый</v>
      </c>
      <c r="P642" s="292" t="str">
        <f aca="false">"ед."</f>
        <v>ед.</v>
      </c>
      <c r="Q642" s="292" t="n">
        <f aca="false">N('Наушники TWS'!$G$35)</f>
        <v>0</v>
      </c>
      <c r="R642" s="299" t="n">
        <f aca="false">IF(ISBLANK('Наушники TWS'!$F$35),"",'Наушники TWS'!$F$35)</f>
        <v>521.9</v>
      </c>
      <c r="S642" s="292" t="str">
        <f aca="false">IF(ISBLANK('Наушники TWS'!$H$35),"",'Наушники TWS'!$H$35)</f>
        <v/>
      </c>
    </row>
    <row r="643" customFormat="false" ht="66" hidden="false" customHeight="true" outlineLevel="0" collapsed="false">
      <c r="A643" s="291" t="str">
        <f aca="true">IF(ISNUMBER($J643),INDIRECT("L"&amp;($J643+4)),"")</f>
        <v/>
      </c>
      <c r="B643" s="291" t="str">
        <f aca="true">IF(ISNUMBER($J643),INDIRECT("M"&amp;($J643+4)),"")</f>
        <v/>
      </c>
      <c r="C643" s="296" t="str">
        <f aca="true">IF(ISNUMBER($J643),INDIRECT("N"&amp;($J643+4)),"")</f>
        <v/>
      </c>
      <c r="D643" s="291" t="str">
        <f aca="true">IF(ISNUMBER($J643),INDIRECT("O"&amp;($J643+4)),"")</f>
        <v/>
      </c>
      <c r="E643" s="291" t="str">
        <f aca="true">IF(ISNUMBER($J643),INDIRECT("P"&amp;($J643+4)),"")</f>
        <v/>
      </c>
      <c r="F643" s="300" t="str">
        <f aca="true">IF(ISNUMBER($J643),INDIRECT("Q"&amp;($J643+4)),"")</f>
        <v/>
      </c>
      <c r="G643" s="298" t="str">
        <f aca="true">IF(ISNUMBER($J643),INDIRECT("R"&amp;($J643+4)),"")</f>
        <v/>
      </c>
      <c r="H643" s="298" t="str">
        <f aca="true">IF(ISNUMBER($J643),INDIRECT("S"&amp;($J643+4)),"")</f>
        <v/>
      </c>
      <c r="J643" s="292" t="str">
        <f aca="true">IF(639&lt;=$K$1,MATCH(638.5,INDIRECT("$K$4:$K$1374"),1),"")</f>
        <v/>
      </c>
      <c r="K643" s="292" t="n">
        <f aca="false">$K$516+COUNTIF($Q$517:Q643,"&gt;0")</f>
        <v>0</v>
      </c>
      <c r="L643" s="292" t="str">
        <f aca="false">"Наушники TWS"</f>
        <v>Наушники TWS</v>
      </c>
      <c r="M643" s="292" t="str">
        <f aca="false">IF(ISBLANK('Наушники TWS'!$A$36),"",'Наушники TWS'!$A$36)</f>
        <v>BW79 беспроводная гарнитура</v>
      </c>
      <c r="N643" s="292" t="str">
        <f aca="false">IF(ISBLANK('Наушники TWS'!$D$36),"",'Наушники TWS'!$D$36)</f>
        <v>6941991114939</v>
      </c>
      <c r="O643" s="292" t="str">
        <f aca="false">IF(ISBLANK('Наушники TWS'!$E$36),"",'Наушники TWS'!$E$36)</f>
        <v>белый</v>
      </c>
      <c r="P643" s="292" t="str">
        <f aca="false">"ед."</f>
        <v>ед.</v>
      </c>
      <c r="Q643" s="292" t="n">
        <f aca="false">N('Наушники TWS'!$G$36)</f>
        <v>0</v>
      </c>
      <c r="R643" s="299" t="n">
        <f aca="false">IF(ISBLANK('Наушники TWS'!$F$36),"",'Наушники TWS'!$F$36)</f>
        <v>456.66</v>
      </c>
      <c r="S643" s="292" t="str">
        <f aca="false">IF(ISBLANK('Наушники TWS'!$H$36),"",'Наушники TWS'!$H$36)</f>
        <v/>
      </c>
    </row>
    <row r="644" customFormat="false" ht="66" hidden="false" customHeight="true" outlineLevel="0" collapsed="false">
      <c r="A644" s="291" t="str">
        <f aca="true">IF(ISNUMBER($J644),INDIRECT("L"&amp;($J644+4)),"")</f>
        <v/>
      </c>
      <c r="B644" s="291" t="str">
        <f aca="true">IF(ISNUMBER($J644),INDIRECT("M"&amp;($J644+4)),"")</f>
        <v/>
      </c>
      <c r="C644" s="296" t="str">
        <f aca="true">IF(ISNUMBER($J644),INDIRECT("N"&amp;($J644+4)),"")</f>
        <v/>
      </c>
      <c r="D644" s="291" t="str">
        <f aca="true">IF(ISNUMBER($J644),INDIRECT("O"&amp;($J644+4)),"")</f>
        <v/>
      </c>
      <c r="E644" s="291" t="str">
        <f aca="true">IF(ISNUMBER($J644),INDIRECT("P"&amp;($J644+4)),"")</f>
        <v/>
      </c>
      <c r="F644" s="300" t="str">
        <f aca="true">IF(ISNUMBER($J644),INDIRECT("Q"&amp;($J644+4)),"")</f>
        <v/>
      </c>
      <c r="G644" s="298" t="str">
        <f aca="true">IF(ISNUMBER($J644),INDIRECT("R"&amp;($J644+4)),"")</f>
        <v/>
      </c>
      <c r="H644" s="298" t="str">
        <f aca="true">IF(ISNUMBER($J644),INDIRECT("S"&amp;($J644+4)),"")</f>
        <v/>
      </c>
      <c r="J644" s="292" t="str">
        <f aca="true">IF(640&lt;=$K$1,MATCH(639.5,INDIRECT("$K$4:$K$1374"),1),"")</f>
        <v/>
      </c>
      <c r="K644" s="292" t="n">
        <f aca="false">$K$516+COUNTIF($Q$517:Q644,"&gt;0")</f>
        <v>0</v>
      </c>
      <c r="L644" s="292" t="str">
        <f aca="false">"Наушники TWS"</f>
        <v>Наушники TWS</v>
      </c>
      <c r="M644" s="292" t="str">
        <f aca="false">IF(ISBLANK('Наушники TWS'!$A$37),"",'Наушники TWS'!$A$37)</f>
        <v>BW76 Brocade беспроводная BT гарнитура с ANC шумоподавлением сенсорным экраном</v>
      </c>
      <c r="N644" s="292" t="str">
        <f aca="false">IF(ISBLANK('Наушники TWS'!$D$37),"",'Наушники TWS'!$D$37)</f>
        <v>6941991114236</v>
      </c>
      <c r="O644" s="292" t="str">
        <f aca="false">IF(ISBLANK('Наушники TWS'!$E$37),"",'Наушники TWS'!$E$37)</f>
        <v>белый</v>
      </c>
      <c r="P644" s="292" t="str">
        <f aca="false">"ед."</f>
        <v>ед.</v>
      </c>
      <c r="Q644" s="292" t="n">
        <f aca="false">N('Наушники TWS'!$G$37)</f>
        <v>0</v>
      </c>
      <c r="R644" s="299" t="n">
        <f aca="false">IF(ISBLANK('Наушники TWS'!$F$37),"",'Наушники TWS'!$F$37)</f>
        <v>994.87</v>
      </c>
      <c r="S644" s="292" t="str">
        <f aca="false">IF(ISBLANK('Наушники TWS'!$H$37),"",'Наушники TWS'!$H$37)</f>
        <v/>
      </c>
    </row>
    <row r="645" customFormat="false" ht="66" hidden="false" customHeight="true" outlineLevel="0" collapsed="false">
      <c r="A645" s="291" t="str">
        <f aca="true">IF(ISNUMBER($J645),INDIRECT("L"&amp;($J645+4)),"")</f>
        <v/>
      </c>
      <c r="B645" s="291" t="str">
        <f aca="true">IF(ISNUMBER($J645),INDIRECT("M"&amp;($J645+4)),"")</f>
        <v/>
      </c>
      <c r="C645" s="296" t="str">
        <f aca="true">IF(ISNUMBER($J645),INDIRECT("N"&amp;($J645+4)),"")</f>
        <v/>
      </c>
      <c r="D645" s="291" t="str">
        <f aca="true">IF(ISNUMBER($J645),INDIRECT("O"&amp;($J645+4)),"")</f>
        <v/>
      </c>
      <c r="E645" s="291" t="str">
        <f aca="true">IF(ISNUMBER($J645),INDIRECT("P"&amp;($J645+4)),"")</f>
        <v/>
      </c>
      <c r="F645" s="300" t="str">
        <f aca="true">IF(ISNUMBER($J645),INDIRECT("Q"&amp;($J645+4)),"")</f>
        <v/>
      </c>
      <c r="G645" s="298" t="str">
        <f aca="true">IF(ISNUMBER($J645),INDIRECT("R"&amp;($J645+4)),"")</f>
        <v/>
      </c>
      <c r="H645" s="298" t="str">
        <f aca="true">IF(ISNUMBER($J645),INDIRECT("S"&amp;($J645+4)),"")</f>
        <v/>
      </c>
      <c r="J645" s="292" t="str">
        <f aca="true">IF(641&lt;=$K$1,MATCH(640.5,INDIRECT("$K$4:$K$1374"),1),"")</f>
        <v/>
      </c>
      <c r="K645" s="292" t="n">
        <f aca="false">$K$644+COUNTIF($Q$645:Q645,"&gt;0")</f>
        <v>0</v>
      </c>
      <c r="L645" s="292" t="str">
        <f aca="false">"Наушники TWS"</f>
        <v>Наушники TWS</v>
      </c>
      <c r="M645" s="292" t="str">
        <f aca="false">IF(ISBLANK('Наушники TWS'!$A$38),"",'Наушники TWS'!$A$38)</f>
        <v>BW29 Charm беспроводная TWS гарнитура</v>
      </c>
      <c r="N645" s="292" t="str">
        <f aca="false">IF(ISBLANK('Наушники TWS'!$D$38),"",'Наушники TWS'!$D$38)</f>
        <v>6974443389753</v>
      </c>
      <c r="O645" s="292" t="str">
        <f aca="false">IF(ISBLANK('Наушники TWS'!$E$38),"",'Наушники TWS'!$E$38)</f>
        <v>пробельная чернь</v>
      </c>
      <c r="P645" s="292" t="str">
        <f aca="false">"ед."</f>
        <v>ед.</v>
      </c>
      <c r="Q645" s="292" t="n">
        <f aca="false">N('Наушники TWS'!$G$38)</f>
        <v>0</v>
      </c>
      <c r="R645" s="299" t="n">
        <f aca="false">IF(ISBLANK('Наушники TWS'!$F$38),"",'Наушники TWS'!$F$38)</f>
        <v>554.52</v>
      </c>
      <c r="S645" s="292" t="str">
        <f aca="false">IF(ISBLANK('Наушники TWS'!$H$38),"",'Наушники TWS'!$H$38)</f>
        <v/>
      </c>
    </row>
    <row r="646" customFormat="false" ht="66" hidden="false" customHeight="true" outlineLevel="0" collapsed="false">
      <c r="A646" s="291" t="str">
        <f aca="true">IF(ISNUMBER($J646),INDIRECT("L"&amp;($J646+4)),"")</f>
        <v/>
      </c>
      <c r="B646" s="291" t="str">
        <f aca="true">IF(ISNUMBER($J646),INDIRECT("M"&amp;($J646+4)),"")</f>
        <v/>
      </c>
      <c r="C646" s="296" t="str">
        <f aca="true">IF(ISNUMBER($J646),INDIRECT("N"&amp;($J646+4)),"")</f>
        <v/>
      </c>
      <c r="D646" s="291" t="str">
        <f aca="true">IF(ISNUMBER($J646),INDIRECT("O"&amp;($J646+4)),"")</f>
        <v/>
      </c>
      <c r="E646" s="291" t="str">
        <f aca="true">IF(ISNUMBER($J646),INDIRECT("P"&amp;($J646+4)),"")</f>
        <v/>
      </c>
      <c r="F646" s="300" t="str">
        <f aca="true">IF(ISNUMBER($J646),INDIRECT("Q"&amp;($J646+4)),"")</f>
        <v/>
      </c>
      <c r="G646" s="298" t="str">
        <f aca="true">IF(ISNUMBER($J646),INDIRECT("R"&amp;($J646+4)),"")</f>
        <v/>
      </c>
      <c r="H646" s="298" t="str">
        <f aca="true">IF(ISNUMBER($J646),INDIRECT("S"&amp;($J646+4)),"")</f>
        <v/>
      </c>
      <c r="J646" s="292" t="str">
        <f aca="true">IF(642&lt;=$K$1,MATCH(641.5,INDIRECT("$K$4:$K$1374"),1),"")</f>
        <v/>
      </c>
      <c r="K646" s="292" t="n">
        <f aca="false">$K$644+COUNTIF($Q$645:Q646,"&gt;0")</f>
        <v>0</v>
      </c>
      <c r="L646" s="292" t="str">
        <f aca="false">"Наушники TWS"</f>
        <v>Наушники TWS</v>
      </c>
      <c r="M646" s="292" t="str">
        <f aca="false">IF(ISBLANK('Наушники TWS'!$A$38),"",'Наушники TWS'!$A$38)</f>
        <v>BW29 Charm беспроводная TWS гарнитура</v>
      </c>
      <c r="N646" s="292" t="str">
        <f aca="false">IF(ISBLANK('Наушники TWS'!$D$39),"",'Наушники TWS'!$D$39)</f>
        <v>6974443389760</v>
      </c>
      <c r="O646" s="292" t="str">
        <f aca="false">IF(ISBLANK('Наушники TWS'!$E$39),"",'Наушники TWS'!$E$39)</f>
        <v>голубой</v>
      </c>
      <c r="P646" s="292" t="str">
        <f aca="false">"ед."</f>
        <v>ед.</v>
      </c>
      <c r="Q646" s="292" t="n">
        <f aca="false">N('Наушники TWS'!$G$39)</f>
        <v>0</v>
      </c>
      <c r="R646" s="299" t="n">
        <f aca="false">IF(ISBLANK('Наушники TWS'!$F$39),"",'Наушники TWS'!$F$39)</f>
        <v>554.52</v>
      </c>
      <c r="S646" s="292" t="str">
        <f aca="false">IF(ISBLANK('Наушники TWS'!$H$39),"",'Наушники TWS'!$H$39)</f>
        <v/>
      </c>
    </row>
    <row r="647" customFormat="false" ht="66" hidden="false" customHeight="true" outlineLevel="0" collapsed="false">
      <c r="A647" s="291" t="str">
        <f aca="true">IF(ISNUMBER($J647),INDIRECT("L"&amp;($J647+4)),"")</f>
        <v/>
      </c>
      <c r="B647" s="291" t="str">
        <f aca="true">IF(ISNUMBER($J647),INDIRECT("M"&amp;($J647+4)),"")</f>
        <v/>
      </c>
      <c r="C647" s="296" t="str">
        <f aca="true">IF(ISNUMBER($J647),INDIRECT("N"&amp;($J647+4)),"")</f>
        <v/>
      </c>
      <c r="D647" s="291" t="str">
        <f aca="true">IF(ISNUMBER($J647),INDIRECT("O"&amp;($J647+4)),"")</f>
        <v/>
      </c>
      <c r="E647" s="291" t="str">
        <f aca="true">IF(ISNUMBER($J647),INDIRECT("P"&amp;($J647+4)),"")</f>
        <v/>
      </c>
      <c r="F647" s="300" t="str">
        <f aca="true">IF(ISNUMBER($J647),INDIRECT("Q"&amp;($J647+4)),"")</f>
        <v/>
      </c>
      <c r="G647" s="298" t="str">
        <f aca="true">IF(ISNUMBER($J647),INDIRECT("R"&amp;($J647+4)),"")</f>
        <v/>
      </c>
      <c r="H647" s="298" t="str">
        <f aca="true">IF(ISNUMBER($J647),INDIRECT("S"&amp;($J647+4)),"")</f>
        <v/>
      </c>
      <c r="J647" s="292" t="str">
        <f aca="true">IF(643&lt;=$K$1,MATCH(642.5,INDIRECT("$K$4:$K$1374"),1),"")</f>
        <v/>
      </c>
      <c r="K647" s="292" t="n">
        <f aca="false">$K$644+COUNTIF($Q$645:Q647,"&gt;0")</f>
        <v>0</v>
      </c>
      <c r="L647" s="292" t="str">
        <f aca="false">"Наушники TWS"</f>
        <v>Наушники TWS</v>
      </c>
      <c r="M647" s="292" t="str">
        <f aca="false">IF(ISBLANK('Наушники TWS'!$A$38),"",'Наушники TWS'!$A$38)</f>
        <v>BW29 Charm беспроводная TWS гарнитура</v>
      </c>
      <c r="N647" s="292" t="str">
        <f aca="false">IF(ISBLANK('Наушники TWS'!$D$40),"",'Наушники TWS'!$D$40)</f>
        <v>6974443389777</v>
      </c>
      <c r="O647" s="292" t="str">
        <f aca="false">IF(ISBLANK('Наушники TWS'!$E$40),"",'Наушники TWS'!$E$40)</f>
        <v>таро фиолетовый</v>
      </c>
      <c r="P647" s="292" t="str">
        <f aca="false">"ед."</f>
        <v>ед.</v>
      </c>
      <c r="Q647" s="292" t="n">
        <f aca="false">N('Наушники TWS'!$G$40)</f>
        <v>0</v>
      </c>
      <c r="R647" s="299" t="n">
        <f aca="false">IF(ISBLANK('Наушники TWS'!$F$40),"",'Наушники TWS'!$F$40)</f>
        <v>554.52</v>
      </c>
      <c r="S647" s="292" t="str">
        <f aca="false">IF(ISBLANK('Наушники TWS'!$H$40),"",'Наушники TWS'!$H$40)</f>
        <v/>
      </c>
    </row>
    <row r="648" customFormat="false" ht="66" hidden="false" customHeight="true" outlineLevel="0" collapsed="false">
      <c r="A648" s="291" t="str">
        <f aca="true">IF(ISNUMBER($J648),INDIRECT("L"&amp;($J648+4)),"")</f>
        <v/>
      </c>
      <c r="B648" s="291" t="str">
        <f aca="true">IF(ISNUMBER($J648),INDIRECT("M"&amp;($J648+4)),"")</f>
        <v/>
      </c>
      <c r="C648" s="296" t="str">
        <f aca="true">IF(ISNUMBER($J648),INDIRECT("N"&amp;($J648+4)),"")</f>
        <v/>
      </c>
      <c r="D648" s="291" t="str">
        <f aca="true">IF(ISNUMBER($J648),INDIRECT("O"&amp;($J648+4)),"")</f>
        <v/>
      </c>
      <c r="E648" s="291" t="str">
        <f aca="true">IF(ISNUMBER($J648),INDIRECT("P"&amp;($J648+4)),"")</f>
        <v/>
      </c>
      <c r="F648" s="300" t="str">
        <f aca="true">IF(ISNUMBER($J648),INDIRECT("Q"&amp;($J648+4)),"")</f>
        <v/>
      </c>
      <c r="G648" s="298" t="str">
        <f aca="true">IF(ISNUMBER($J648),INDIRECT("R"&amp;($J648+4)),"")</f>
        <v/>
      </c>
      <c r="H648" s="298" t="str">
        <f aca="true">IF(ISNUMBER($J648),INDIRECT("S"&amp;($J648+4)),"")</f>
        <v/>
      </c>
      <c r="J648" s="292" t="str">
        <f aca="true">IF(644&lt;=$K$1,MATCH(643.5,INDIRECT("$K$4:$K$1374"),1),"")</f>
        <v/>
      </c>
      <c r="K648" s="292" t="n">
        <f aca="false">$K$644+COUNTIF($Q$645:Q648,"&gt;0")</f>
        <v>0</v>
      </c>
      <c r="L648" s="292" t="str">
        <f aca="false">"Наушники TWS"</f>
        <v>Наушники TWS</v>
      </c>
      <c r="M648" s="292" t="str">
        <f aca="false">IF(ISBLANK('Наушники TWS'!$A$38),"",'Наушники TWS'!$A$38)</f>
        <v>BW29 Charm беспроводная TWS гарнитура</v>
      </c>
      <c r="N648" s="292" t="str">
        <f aca="false">IF(ISBLANK('Наушники TWS'!$D$41),"",'Наушники TWS'!$D$41)</f>
        <v>6974443389784</v>
      </c>
      <c r="O648" s="292" t="str">
        <f aca="false">IF(ISBLANK('Наушники TWS'!$E$41),"",'Наушники TWS'!$E$41)</f>
        <v>розовый сахар</v>
      </c>
      <c r="P648" s="292" t="str">
        <f aca="false">"ед."</f>
        <v>ед.</v>
      </c>
      <c r="Q648" s="292" t="n">
        <f aca="false">N('Наушники TWS'!$G$41)</f>
        <v>0</v>
      </c>
      <c r="R648" s="299" t="n">
        <f aca="false">IF(ISBLANK('Наушники TWS'!$F$41),"",'Наушники TWS'!$F$41)</f>
        <v>554.52</v>
      </c>
      <c r="S648" s="292" t="str">
        <f aca="false">IF(ISBLANK('Наушники TWS'!$H$41),"",'Наушники TWS'!$H$41)</f>
        <v/>
      </c>
    </row>
    <row r="649" customFormat="false" ht="66" hidden="false" customHeight="true" outlineLevel="0" collapsed="false">
      <c r="A649" s="291" t="str">
        <f aca="true">IF(ISNUMBER($J649),INDIRECT("L"&amp;($J649+4)),"")</f>
        <v/>
      </c>
      <c r="B649" s="291" t="str">
        <f aca="true">IF(ISNUMBER($J649),INDIRECT("M"&amp;($J649+4)),"")</f>
        <v/>
      </c>
      <c r="C649" s="296" t="str">
        <f aca="true">IF(ISNUMBER($J649),INDIRECT("N"&amp;($J649+4)),"")</f>
        <v/>
      </c>
      <c r="D649" s="291" t="str">
        <f aca="true">IF(ISNUMBER($J649),INDIRECT("O"&amp;($J649+4)),"")</f>
        <v/>
      </c>
      <c r="E649" s="291" t="str">
        <f aca="true">IF(ISNUMBER($J649),INDIRECT("P"&amp;($J649+4)),"")</f>
        <v/>
      </c>
      <c r="F649" s="300" t="str">
        <f aca="true">IF(ISNUMBER($J649),INDIRECT("Q"&amp;($J649+4)),"")</f>
        <v/>
      </c>
      <c r="G649" s="298" t="str">
        <f aca="true">IF(ISNUMBER($J649),INDIRECT("R"&amp;($J649+4)),"")</f>
        <v/>
      </c>
      <c r="H649" s="298" t="str">
        <f aca="true">IF(ISNUMBER($J649),INDIRECT("S"&amp;($J649+4)),"")</f>
        <v/>
      </c>
      <c r="J649" s="292" t="str">
        <f aca="true">IF(645&lt;=$K$1,MATCH(644.5,INDIRECT("$K$4:$K$1374"),1),"")</f>
        <v/>
      </c>
      <c r="K649" s="292" t="n">
        <f aca="false">$K$644+COUNTIF($Q$645:Q649,"&gt;0")</f>
        <v>0</v>
      </c>
      <c r="L649" s="292" t="str">
        <f aca="false">"Наушники TWS"</f>
        <v>Наушники TWS</v>
      </c>
      <c r="M649" s="292" t="str">
        <f aca="false">IF(ISBLANK('Наушники TWS'!$A$38),"",'Наушники TWS'!$A$38)</f>
        <v>BW29 Charm беспроводная TWS гарнитура</v>
      </c>
      <c r="N649" s="292" t="str">
        <f aca="false">IF(ISBLANK('Наушники TWS'!$D$42),"",'Наушники TWS'!$D$42)</f>
        <v>6974443389807</v>
      </c>
      <c r="O649" s="292" t="str">
        <f aca="false">IF(ISBLANK('Наушники TWS'!$E$42),"",'Наушники TWS'!$E$42)</f>
        <v>лесная зелень</v>
      </c>
      <c r="P649" s="292" t="str">
        <f aca="false">"ед."</f>
        <v>ед.</v>
      </c>
      <c r="Q649" s="292" t="n">
        <f aca="false">N('Наушники TWS'!$G$42)</f>
        <v>0</v>
      </c>
      <c r="R649" s="299" t="n">
        <f aca="false">IF(ISBLANK('Наушники TWS'!$F$42),"",'Наушники TWS'!$F$42)</f>
        <v>554.52</v>
      </c>
      <c r="S649" s="292" t="str">
        <f aca="false">IF(ISBLANK('Наушники TWS'!$H$42),"",'Наушники TWS'!$H$42)</f>
        <v/>
      </c>
    </row>
    <row r="650" customFormat="false" ht="66" hidden="false" customHeight="true" outlineLevel="0" collapsed="false">
      <c r="A650" s="291" t="str">
        <f aca="true">IF(ISNUMBER($J650),INDIRECT("L"&amp;($J650+4)),"")</f>
        <v/>
      </c>
      <c r="B650" s="291" t="str">
        <f aca="true">IF(ISNUMBER($J650),INDIRECT("M"&amp;($J650+4)),"")</f>
        <v/>
      </c>
      <c r="C650" s="296" t="str">
        <f aca="true">IF(ISNUMBER($J650),INDIRECT("N"&amp;($J650+4)),"")</f>
        <v/>
      </c>
      <c r="D650" s="291" t="str">
        <f aca="true">IF(ISNUMBER($J650),INDIRECT("O"&amp;($J650+4)),"")</f>
        <v/>
      </c>
      <c r="E650" s="291" t="str">
        <f aca="true">IF(ISNUMBER($J650),INDIRECT("P"&amp;($J650+4)),"")</f>
        <v/>
      </c>
      <c r="F650" s="300" t="str">
        <f aca="true">IF(ISNUMBER($J650),INDIRECT("Q"&amp;($J650+4)),"")</f>
        <v/>
      </c>
      <c r="G650" s="298" t="str">
        <f aca="true">IF(ISNUMBER($J650),INDIRECT("R"&amp;($J650+4)),"")</f>
        <v/>
      </c>
      <c r="H650" s="298" t="str">
        <f aca="true">IF(ISNUMBER($J650),INDIRECT("S"&amp;($J650+4)),"")</f>
        <v/>
      </c>
      <c r="J650" s="292" t="str">
        <f aca="true">IF(646&lt;=$K$1,MATCH(645.5,INDIRECT("$K$4:$K$1374"),1),"")</f>
        <v/>
      </c>
      <c r="K650" s="292" t="n">
        <f aca="false">$K$644+COUNTIF($Q$645:Q650,"&gt;0")</f>
        <v>0</v>
      </c>
      <c r="L650" s="292" t="str">
        <f aca="false">"Портативные колонки"</f>
        <v>Портативные колонки</v>
      </c>
      <c r="M650" s="292" t="str">
        <f aca="false">IF(ISBLANK('Портативные колонки'!$A$5),"",'Портативные колонки'!$A$5)</f>
        <v>BR112 Rhyme BT колонка</v>
      </c>
      <c r="N650" s="292" t="str">
        <f aca="false">IF(ISBLANK('Портативные колонки'!$D$5),"",'Портативные колонки'!$D$5)</f>
        <v>6941991131042</v>
      </c>
      <c r="O650" s="292" t="str">
        <f aca="false">IF(ISBLANK('Портативные колонки'!$E$5),"",'Портативные колонки'!$E$5)</f>
        <v>чёрный</v>
      </c>
      <c r="P650" s="292" t="str">
        <f aca="false">"ед."</f>
        <v>ед.</v>
      </c>
      <c r="Q650" s="292" t="n">
        <f aca="false">N('Портативные колонки'!$G$5)</f>
        <v>0</v>
      </c>
      <c r="R650" s="299" t="n">
        <f aca="false">IF(ISBLANK('Портативные колонки'!$F$5),"",'Портативные колонки'!$F$5)</f>
        <v>530.06</v>
      </c>
      <c r="S650" s="292" t="str">
        <f aca="false">IF(ISBLANK('Портативные колонки'!$H$5),"",'Портативные колонки'!$H$5)</f>
        <v/>
      </c>
    </row>
    <row r="651" customFormat="false" ht="66" hidden="false" customHeight="true" outlineLevel="0" collapsed="false">
      <c r="A651" s="291" t="str">
        <f aca="true">IF(ISNUMBER($J651),INDIRECT("L"&amp;($J651+4)),"")</f>
        <v/>
      </c>
      <c r="B651" s="291" t="str">
        <f aca="true">IF(ISNUMBER($J651),INDIRECT("M"&amp;($J651+4)),"")</f>
        <v/>
      </c>
      <c r="C651" s="296" t="str">
        <f aca="true">IF(ISNUMBER($J651),INDIRECT("N"&amp;($J651+4)),"")</f>
        <v/>
      </c>
      <c r="D651" s="291" t="str">
        <f aca="true">IF(ISNUMBER($J651),INDIRECT("O"&amp;($J651+4)),"")</f>
        <v/>
      </c>
      <c r="E651" s="291" t="str">
        <f aca="true">IF(ISNUMBER($J651),INDIRECT("P"&amp;($J651+4)),"")</f>
        <v/>
      </c>
      <c r="F651" s="300" t="str">
        <f aca="true">IF(ISNUMBER($J651),INDIRECT("Q"&amp;($J651+4)),"")</f>
        <v/>
      </c>
      <c r="G651" s="298" t="str">
        <f aca="true">IF(ISNUMBER($J651),INDIRECT("R"&amp;($J651+4)),"")</f>
        <v/>
      </c>
      <c r="H651" s="298" t="str">
        <f aca="true">IF(ISNUMBER($J651),INDIRECT("S"&amp;($J651+4)),"")</f>
        <v/>
      </c>
      <c r="J651" s="292" t="str">
        <f aca="true">IF(647&lt;=$K$1,MATCH(646.5,INDIRECT("$K$4:$K$1374"),1),"")</f>
        <v/>
      </c>
      <c r="K651" s="292" t="n">
        <f aca="false">$K$644+COUNTIF($Q$645:Q651,"&gt;0")</f>
        <v>0</v>
      </c>
      <c r="L651" s="292" t="str">
        <f aca="false">"Портативные колонки"</f>
        <v>Портативные колонки</v>
      </c>
      <c r="M651" s="292" t="str">
        <f aca="false">IF(ISBLANK('Портативные колонки'!$A$5),"",'Портативные колонки'!$A$5)</f>
        <v>BR112 Rhyme BT колонка</v>
      </c>
      <c r="N651" s="292" t="str">
        <f aca="false">IF(ISBLANK('Портативные колонки'!$D$6),"",'Портативные колонки'!$D$6)</f>
        <v>6941991131059</v>
      </c>
      <c r="O651" s="292" t="str">
        <f aca="false">IF(ISBLANK('Портативные колонки'!$E$6),"",'Портативные колонки'!$E$6)</f>
        <v>синий</v>
      </c>
      <c r="P651" s="292" t="str">
        <f aca="false">"ед."</f>
        <v>ед.</v>
      </c>
      <c r="Q651" s="292" t="n">
        <f aca="false">N('Портативные колонки'!$G$6)</f>
        <v>0</v>
      </c>
      <c r="R651" s="299" t="n">
        <f aca="false">IF(ISBLANK('Портативные колонки'!$F$6),"",'Портативные колонки'!$F$6)</f>
        <v>530.06</v>
      </c>
      <c r="S651" s="292" t="str">
        <f aca="false">IF(ISBLANK('Портативные колонки'!$H$6),"",'Портативные колонки'!$H$6)</f>
        <v/>
      </c>
    </row>
    <row r="652" customFormat="false" ht="66" hidden="false" customHeight="true" outlineLevel="0" collapsed="false">
      <c r="A652" s="291" t="str">
        <f aca="true">IF(ISNUMBER($J652),INDIRECT("L"&amp;($J652+4)),"")</f>
        <v/>
      </c>
      <c r="B652" s="291" t="str">
        <f aca="true">IF(ISNUMBER($J652),INDIRECT("M"&amp;($J652+4)),"")</f>
        <v/>
      </c>
      <c r="C652" s="296" t="str">
        <f aca="true">IF(ISNUMBER($J652),INDIRECT("N"&amp;($J652+4)),"")</f>
        <v/>
      </c>
      <c r="D652" s="291" t="str">
        <f aca="true">IF(ISNUMBER($J652),INDIRECT("O"&amp;($J652+4)),"")</f>
        <v/>
      </c>
      <c r="E652" s="291" t="str">
        <f aca="true">IF(ISNUMBER($J652),INDIRECT("P"&amp;($J652+4)),"")</f>
        <v/>
      </c>
      <c r="F652" s="300" t="str">
        <f aca="true">IF(ISNUMBER($J652),INDIRECT("Q"&amp;($J652+4)),"")</f>
        <v/>
      </c>
      <c r="G652" s="298" t="str">
        <f aca="true">IF(ISNUMBER($J652),INDIRECT("R"&amp;($J652+4)),"")</f>
        <v/>
      </c>
      <c r="H652" s="298" t="str">
        <f aca="true">IF(ISNUMBER($J652),INDIRECT("S"&amp;($J652+4)),"")</f>
        <v/>
      </c>
      <c r="J652" s="292" t="str">
        <f aca="true">IF(648&lt;=$K$1,MATCH(647.5,INDIRECT("$K$4:$K$1374"),1),"")</f>
        <v/>
      </c>
      <c r="K652" s="292" t="n">
        <f aca="false">$K$644+COUNTIF($Q$645:Q652,"&gt;0")</f>
        <v>0</v>
      </c>
      <c r="L652" s="292" t="str">
        <f aca="false">"Портативные колонки"</f>
        <v>Портативные колонки</v>
      </c>
      <c r="M652" s="292" t="str">
        <f aca="false">IF(ISBLANK('Портативные колонки'!$A$7),"",'Портативные колонки'!$A$7)</f>
        <v>BR110 Shine BT колонка</v>
      </c>
      <c r="N652" s="292" t="str">
        <f aca="false">IF(ISBLANK('Портативные колонки'!$D$7),"",'Портативные колонки'!$D$7)</f>
        <v>6941991130410</v>
      </c>
      <c r="O652" s="292" t="str">
        <f aca="false">IF(ISBLANK('Портативные колонки'!$E$7),"",'Портативные колонки'!$E$7)</f>
        <v>чёрный</v>
      </c>
      <c r="P652" s="292" t="str">
        <f aca="false">"ед."</f>
        <v>ед.</v>
      </c>
      <c r="Q652" s="292" t="n">
        <f aca="false">N('Портативные колонки'!$G$7)</f>
        <v>0</v>
      </c>
      <c r="R652" s="299" t="n">
        <f aca="false">IF(ISBLANK('Портативные колонки'!$F$7),"",'Портативные колонки'!$F$7)</f>
        <v>578.98</v>
      </c>
      <c r="S652" s="292" t="str">
        <f aca="false">IF(ISBLANK('Портативные колонки'!$H$7),"",'Портативные колонки'!$H$7)</f>
        <v/>
      </c>
    </row>
    <row r="653" customFormat="false" ht="66" hidden="false" customHeight="true" outlineLevel="0" collapsed="false">
      <c r="A653" s="291" t="str">
        <f aca="true">IF(ISNUMBER($J653),INDIRECT("L"&amp;($J653+4)),"")</f>
        <v/>
      </c>
      <c r="B653" s="291" t="str">
        <f aca="true">IF(ISNUMBER($J653),INDIRECT("M"&amp;($J653+4)),"")</f>
        <v/>
      </c>
      <c r="C653" s="296" t="str">
        <f aca="true">IF(ISNUMBER($J653),INDIRECT("N"&amp;($J653+4)),"")</f>
        <v/>
      </c>
      <c r="D653" s="291" t="str">
        <f aca="true">IF(ISNUMBER($J653),INDIRECT("O"&amp;($J653+4)),"")</f>
        <v/>
      </c>
      <c r="E653" s="291" t="str">
        <f aca="true">IF(ISNUMBER($J653),INDIRECT("P"&amp;($J653+4)),"")</f>
        <v/>
      </c>
      <c r="F653" s="300" t="str">
        <f aca="true">IF(ISNUMBER($J653),INDIRECT("Q"&amp;($J653+4)),"")</f>
        <v/>
      </c>
      <c r="G653" s="298" t="str">
        <f aca="true">IF(ISNUMBER($J653),INDIRECT("R"&amp;($J653+4)),"")</f>
        <v/>
      </c>
      <c r="H653" s="298" t="str">
        <f aca="true">IF(ISNUMBER($J653),INDIRECT("S"&amp;($J653+4)),"")</f>
        <v/>
      </c>
      <c r="J653" s="292" t="str">
        <f aca="true">IF(649&lt;=$K$1,MATCH(648.5,INDIRECT("$K$4:$K$1374"),1),"")</f>
        <v/>
      </c>
      <c r="K653" s="292" t="n">
        <f aca="false">$K$644+COUNTIF($Q$645:Q653,"&gt;0")</f>
        <v>0</v>
      </c>
      <c r="L653" s="292" t="str">
        <f aca="false">"Портативные колонки"</f>
        <v>Портативные колонки</v>
      </c>
      <c r="M653" s="292" t="str">
        <f aca="false">IF(ISBLANK('Портативные колонки'!$A$7),"",'Портативные колонки'!$A$7)</f>
        <v>BR110 Shine BT колонка</v>
      </c>
      <c r="N653" s="292" t="str">
        <f aca="false">IF(ISBLANK('Портативные колонки'!$D$8),"",'Портативные колонки'!$D$8)</f>
        <v>6941991130427</v>
      </c>
      <c r="O653" s="292" t="str">
        <f aca="false">IF(ISBLANK('Портативные колонки'!$E$8),"",'Портативные колонки'!$E$8)</f>
        <v>синий</v>
      </c>
      <c r="P653" s="292" t="str">
        <f aca="false">"ед."</f>
        <v>ед.</v>
      </c>
      <c r="Q653" s="292" t="n">
        <f aca="false">N('Портативные колонки'!$G$8)</f>
        <v>0</v>
      </c>
      <c r="R653" s="299" t="n">
        <f aca="false">IF(ISBLANK('Портативные колонки'!$F$8),"",'Портативные колонки'!$F$8)</f>
        <v>578.98</v>
      </c>
      <c r="S653" s="292" t="str">
        <f aca="false">IF(ISBLANK('Портативные колонки'!$H$8),"",'Портативные колонки'!$H$8)</f>
        <v/>
      </c>
    </row>
    <row r="654" customFormat="false" ht="66" hidden="false" customHeight="true" outlineLevel="0" collapsed="false">
      <c r="A654" s="291" t="str">
        <f aca="true">IF(ISNUMBER($J654),INDIRECT("L"&amp;($J654+4)),"")</f>
        <v/>
      </c>
      <c r="B654" s="291" t="str">
        <f aca="true">IF(ISNUMBER($J654),INDIRECT("M"&amp;($J654+4)),"")</f>
        <v/>
      </c>
      <c r="C654" s="296" t="str">
        <f aca="true">IF(ISNUMBER($J654),INDIRECT("N"&amp;($J654+4)),"")</f>
        <v/>
      </c>
      <c r="D654" s="291" t="str">
        <f aca="true">IF(ISNUMBER($J654),INDIRECT("O"&amp;($J654+4)),"")</f>
        <v/>
      </c>
      <c r="E654" s="291" t="str">
        <f aca="true">IF(ISNUMBER($J654),INDIRECT("P"&amp;($J654+4)),"")</f>
        <v/>
      </c>
      <c r="F654" s="300" t="str">
        <f aca="true">IF(ISNUMBER($J654),INDIRECT("Q"&amp;($J654+4)),"")</f>
        <v/>
      </c>
      <c r="G654" s="298" t="str">
        <f aca="true">IF(ISNUMBER($J654),INDIRECT("R"&amp;($J654+4)),"")</f>
        <v/>
      </c>
      <c r="H654" s="298" t="str">
        <f aca="true">IF(ISNUMBER($J654),INDIRECT("S"&amp;($J654+4)),"")</f>
        <v/>
      </c>
      <c r="J654" s="292" t="str">
        <f aca="true">IF(650&lt;=$K$1,MATCH(649.5,INDIRECT("$K$4:$K$1374"),1),"")</f>
        <v/>
      </c>
      <c r="K654" s="292" t="n">
        <f aca="false">$K$644+COUNTIF($Q$645:Q654,"&gt;0")</f>
        <v>0</v>
      </c>
      <c r="L654" s="292" t="str">
        <f aca="false">"Портативные колонки"</f>
        <v>Портативные колонки</v>
      </c>
      <c r="M654" s="292" t="str">
        <f aca="false">IF(ISBLANK('Портативные колонки'!$A$9),"",'Портативные колонки'!$A$9)</f>
        <v>BR109 Wave BT динамик</v>
      </c>
      <c r="N654" s="292" t="str">
        <f aca="false">IF(ISBLANK('Портативные колонки'!$D$9),"",'Портативные колонки'!$D$9)</f>
        <v>6941991130397</v>
      </c>
      <c r="O654" s="292" t="str">
        <f aca="false">IF(ISBLANK('Портативные колонки'!$E$9),"",'Портативные колонки'!$E$9)</f>
        <v>чёрный</v>
      </c>
      <c r="P654" s="292" t="str">
        <f aca="false">"ед."</f>
        <v>ед.</v>
      </c>
      <c r="Q654" s="292" t="n">
        <f aca="false">N('Портативные колонки'!$G$9)</f>
        <v>0</v>
      </c>
      <c r="R654" s="299" t="n">
        <f aca="false">IF(ISBLANK('Портативные колонки'!$F$9),"",'Портативные колонки'!$F$9)</f>
        <v>456.66</v>
      </c>
      <c r="S654" s="292" t="str">
        <f aca="false">IF(ISBLANK('Портативные колонки'!$H$9),"",'Портативные колонки'!$H$9)</f>
        <v/>
      </c>
    </row>
    <row r="655" customFormat="false" ht="66" hidden="false" customHeight="true" outlineLevel="0" collapsed="false">
      <c r="A655" s="291" t="str">
        <f aca="true">IF(ISNUMBER($J655),INDIRECT("L"&amp;($J655+4)),"")</f>
        <v/>
      </c>
      <c r="B655" s="291" t="str">
        <f aca="true">IF(ISNUMBER($J655),INDIRECT("M"&amp;($J655+4)),"")</f>
        <v/>
      </c>
      <c r="C655" s="296" t="str">
        <f aca="true">IF(ISNUMBER($J655),INDIRECT("N"&amp;($J655+4)),"")</f>
        <v/>
      </c>
      <c r="D655" s="291" t="str">
        <f aca="true">IF(ISNUMBER($J655),INDIRECT("O"&amp;($J655+4)),"")</f>
        <v/>
      </c>
      <c r="E655" s="291" t="str">
        <f aca="true">IF(ISNUMBER($J655),INDIRECT("P"&amp;($J655+4)),"")</f>
        <v/>
      </c>
      <c r="F655" s="300" t="str">
        <f aca="true">IF(ISNUMBER($J655),INDIRECT("Q"&amp;($J655+4)),"")</f>
        <v/>
      </c>
      <c r="G655" s="298" t="str">
        <f aca="true">IF(ISNUMBER($J655),INDIRECT("R"&amp;($J655+4)),"")</f>
        <v/>
      </c>
      <c r="H655" s="298" t="str">
        <f aca="true">IF(ISNUMBER($J655),INDIRECT("S"&amp;($J655+4)),"")</f>
        <v/>
      </c>
      <c r="J655" s="292" t="str">
        <f aca="true">IF(651&lt;=$K$1,MATCH(650.5,INDIRECT("$K$4:$K$1374"),1),"")</f>
        <v/>
      </c>
      <c r="K655" s="292" t="n">
        <f aca="false">$K$644+COUNTIF($Q$645:Q655,"&gt;0")</f>
        <v>0</v>
      </c>
      <c r="L655" s="292" t="str">
        <f aca="false">"Портативные колонки"</f>
        <v>Портативные колонки</v>
      </c>
      <c r="M655" s="292" t="str">
        <f aca="false">IF(ISBLANK('Портативные колонки'!$A$9),"",'Портативные колонки'!$A$9)</f>
        <v>BR109 Wave BT динамик</v>
      </c>
      <c r="N655" s="292" t="str">
        <f aca="false">IF(ISBLANK('Портативные колонки'!$D$10),"",'Портативные колонки'!$D$10)</f>
        <v>6941991130403</v>
      </c>
      <c r="O655" s="292" t="str">
        <f aca="false">IF(ISBLANK('Портативные колонки'!$E$10),"",'Портативные колонки'!$E$10)</f>
        <v>синий</v>
      </c>
      <c r="P655" s="292" t="str">
        <f aca="false">"ед."</f>
        <v>ед.</v>
      </c>
      <c r="Q655" s="292" t="n">
        <f aca="false">N('Портативные колонки'!$G$10)</f>
        <v>0</v>
      </c>
      <c r="R655" s="299" t="n">
        <f aca="false">IF(ISBLANK('Портативные колонки'!$F$10),"",'Портативные колонки'!$F$10)</f>
        <v>456.66</v>
      </c>
      <c r="S655" s="292" t="str">
        <f aca="false">IF(ISBLANK('Портативные колонки'!$H$10),"",'Портативные колонки'!$H$10)</f>
        <v/>
      </c>
    </row>
    <row r="656" customFormat="false" ht="66" hidden="false" customHeight="true" outlineLevel="0" collapsed="false">
      <c r="A656" s="291" t="str">
        <f aca="true">IF(ISNUMBER($J656),INDIRECT("L"&amp;($J656+4)),"")</f>
        <v/>
      </c>
      <c r="B656" s="291" t="str">
        <f aca="true">IF(ISNUMBER($J656),INDIRECT("M"&amp;($J656+4)),"")</f>
        <v/>
      </c>
      <c r="C656" s="296" t="str">
        <f aca="true">IF(ISNUMBER($J656),INDIRECT("N"&amp;($J656+4)),"")</f>
        <v/>
      </c>
      <c r="D656" s="291" t="str">
        <f aca="true">IF(ISNUMBER($J656),INDIRECT("O"&amp;($J656+4)),"")</f>
        <v/>
      </c>
      <c r="E656" s="291" t="str">
        <f aca="true">IF(ISNUMBER($J656),INDIRECT("P"&amp;($J656+4)),"")</f>
        <v/>
      </c>
      <c r="F656" s="300" t="str">
        <f aca="true">IF(ISNUMBER($J656),INDIRECT("Q"&amp;($J656+4)),"")</f>
        <v/>
      </c>
      <c r="G656" s="298" t="str">
        <f aca="true">IF(ISNUMBER($J656),INDIRECT("R"&amp;($J656+4)),"")</f>
        <v/>
      </c>
      <c r="H656" s="298" t="str">
        <f aca="true">IF(ISNUMBER($J656),INDIRECT("S"&amp;($J656+4)),"")</f>
        <v/>
      </c>
      <c r="J656" s="292" t="str">
        <f aca="true">IF(652&lt;=$K$1,MATCH(651.5,INDIRECT("$K$4:$K$1374"),1),"")</f>
        <v/>
      </c>
      <c r="K656" s="292" t="n">
        <f aca="false">$K$644+COUNTIF($Q$645:Q656,"&gt;0")</f>
        <v>0</v>
      </c>
      <c r="L656" s="292" t="str">
        <f aca="false">"Портативные колонки"</f>
        <v>Портативные колонки</v>
      </c>
      <c r="M656" s="292" t="str">
        <f aca="false">IF(ISBLANK('Портативные колонки'!$A$11),"",'Портативные колонки'!$A$11)</f>
        <v>BR108 Serenjoy BT динамик</v>
      </c>
      <c r="N656" s="292" t="str">
        <f aca="false">IF(ISBLANK('Портативные колонки'!$D$11),"",'Портативные колонки'!$D$11)</f>
        <v>6941991130090</v>
      </c>
      <c r="O656" s="292" t="str">
        <f aca="false">IF(ISBLANK('Портативные колонки'!$E$11),"",'Портативные колонки'!$E$11)</f>
        <v>чёрный</v>
      </c>
      <c r="P656" s="292" t="str">
        <f aca="false">"ед."</f>
        <v>ед.</v>
      </c>
      <c r="Q656" s="292" t="n">
        <f aca="false">N('Портативные колонки'!$G$11)</f>
        <v>0</v>
      </c>
      <c r="R656" s="299" t="n">
        <f aca="false">IF(ISBLANK('Портативные колонки'!$F$11),"",'Портативные колонки'!$F$11)</f>
        <v>448.51</v>
      </c>
      <c r="S656" s="292" t="str">
        <f aca="false">IF(ISBLANK('Портативные колонки'!$H$11),"",'Портативные колонки'!$H$11)</f>
        <v/>
      </c>
    </row>
    <row r="657" customFormat="false" ht="66" hidden="false" customHeight="true" outlineLevel="0" collapsed="false">
      <c r="A657" s="291" t="str">
        <f aca="true">IF(ISNUMBER($J657),INDIRECT("L"&amp;($J657+4)),"")</f>
        <v/>
      </c>
      <c r="B657" s="291" t="str">
        <f aca="true">IF(ISNUMBER($J657),INDIRECT("M"&amp;($J657+4)),"")</f>
        <v/>
      </c>
      <c r="C657" s="296" t="str">
        <f aca="true">IF(ISNUMBER($J657),INDIRECT("N"&amp;($J657+4)),"")</f>
        <v/>
      </c>
      <c r="D657" s="291" t="str">
        <f aca="true">IF(ISNUMBER($J657),INDIRECT("O"&amp;($J657+4)),"")</f>
        <v/>
      </c>
      <c r="E657" s="291" t="str">
        <f aca="true">IF(ISNUMBER($J657),INDIRECT("P"&amp;($J657+4)),"")</f>
        <v/>
      </c>
      <c r="F657" s="300" t="str">
        <f aca="true">IF(ISNUMBER($J657),INDIRECT("Q"&amp;($J657+4)),"")</f>
        <v/>
      </c>
      <c r="G657" s="298" t="str">
        <f aca="true">IF(ISNUMBER($J657),INDIRECT("R"&amp;($J657+4)),"")</f>
        <v/>
      </c>
      <c r="H657" s="298" t="str">
        <f aca="true">IF(ISNUMBER($J657),INDIRECT("S"&amp;($J657+4)),"")</f>
        <v/>
      </c>
      <c r="J657" s="292" t="str">
        <f aca="true">IF(653&lt;=$K$1,MATCH(652.5,INDIRECT("$K$4:$K$1374"),1),"")</f>
        <v/>
      </c>
      <c r="K657" s="292" t="n">
        <f aca="false">$K$644+COUNTIF($Q$645:Q657,"&gt;0")</f>
        <v>0</v>
      </c>
      <c r="L657" s="292" t="str">
        <f aca="false">"Портативные колонки"</f>
        <v>Портативные колонки</v>
      </c>
      <c r="M657" s="292" t="str">
        <f aca="false">IF(ISBLANK('Портативные колонки'!$A$11),"",'Портативные колонки'!$A$11)</f>
        <v>BR108 Serenjoy BT динамик</v>
      </c>
      <c r="N657" s="292" t="str">
        <f aca="false">IF(ISBLANK('Портативные колонки'!$D$12),"",'Портативные колонки'!$D$12)</f>
        <v>6941991130106</v>
      </c>
      <c r="O657" s="292" t="str">
        <f aca="false">IF(ISBLANK('Портативные колонки'!$E$12),"",'Портативные колонки'!$E$12)</f>
        <v>серый</v>
      </c>
      <c r="P657" s="292" t="str">
        <f aca="false">"ед."</f>
        <v>ед.</v>
      </c>
      <c r="Q657" s="292" t="n">
        <f aca="false">N('Портативные колонки'!$G$12)</f>
        <v>0</v>
      </c>
      <c r="R657" s="299" t="n">
        <f aca="false">IF(ISBLANK('Портативные колонки'!$F$12),"",'Портативные колонки'!$F$12)</f>
        <v>448.51</v>
      </c>
      <c r="S657" s="292" t="str">
        <f aca="false">IF(ISBLANK('Портативные колонки'!$H$12),"",'Портативные колонки'!$H$12)</f>
        <v/>
      </c>
    </row>
    <row r="658" customFormat="false" ht="66" hidden="false" customHeight="true" outlineLevel="0" collapsed="false">
      <c r="A658" s="291" t="str">
        <f aca="true">IF(ISNUMBER($J658),INDIRECT("L"&amp;($J658+4)),"")</f>
        <v/>
      </c>
      <c r="B658" s="291" t="str">
        <f aca="true">IF(ISNUMBER($J658),INDIRECT("M"&amp;($J658+4)),"")</f>
        <v/>
      </c>
      <c r="C658" s="296" t="str">
        <f aca="true">IF(ISNUMBER($J658),INDIRECT("N"&amp;($J658+4)),"")</f>
        <v/>
      </c>
      <c r="D658" s="291" t="str">
        <f aca="true">IF(ISNUMBER($J658),INDIRECT("O"&amp;($J658+4)),"")</f>
        <v/>
      </c>
      <c r="E658" s="291" t="str">
        <f aca="true">IF(ISNUMBER($J658),INDIRECT("P"&amp;($J658+4)),"")</f>
        <v/>
      </c>
      <c r="F658" s="300" t="str">
        <f aca="true">IF(ISNUMBER($J658),INDIRECT("Q"&amp;($J658+4)),"")</f>
        <v/>
      </c>
      <c r="G658" s="298" t="str">
        <f aca="true">IF(ISNUMBER($J658),INDIRECT("R"&amp;($J658+4)),"")</f>
        <v/>
      </c>
      <c r="H658" s="298" t="str">
        <f aca="true">IF(ISNUMBER($J658),INDIRECT("S"&amp;($J658+4)),"")</f>
        <v/>
      </c>
      <c r="J658" s="292" t="str">
        <f aca="true">IF(654&lt;=$K$1,MATCH(653.5,INDIRECT("$K$4:$K$1374"),1),"")</f>
        <v/>
      </c>
      <c r="K658" s="292" t="n">
        <f aca="false">$K$644+COUNTIF($Q$645:Q658,"&gt;0")</f>
        <v>0</v>
      </c>
      <c r="L658" s="292" t="str">
        <f aca="false">"Портативные колонки"</f>
        <v>Портативные колонки</v>
      </c>
      <c r="M658" s="292" t="str">
        <f aca="false">IF(ISBLANK('Портативные колонки'!$A$13),"",'Портативные колонки'!$A$13)</f>
        <v>BR106 Felicitous BT динамик</v>
      </c>
      <c r="N658" s="292" t="str">
        <f aca="false">IF(ISBLANK('Портативные колонки'!$D$13),"",'Портативные колонки'!$D$13)</f>
        <v>6941991129230</v>
      </c>
      <c r="O658" s="292" t="str">
        <f aca="false">IF(ISBLANK('Портативные колонки'!$E$13),"",'Портативные колонки'!$E$13)</f>
        <v>черный</v>
      </c>
      <c r="P658" s="292" t="str">
        <f aca="false">"ед."</f>
        <v>ед.</v>
      </c>
      <c r="Q658" s="292" t="n">
        <f aca="false">N('Портативные колонки'!$G$13)</f>
        <v>0</v>
      </c>
      <c r="R658" s="299" t="n">
        <f aca="false">IF(ISBLANK('Портативные колонки'!$F$13),"",'Портативные колонки'!$F$13)</f>
        <v>448.51</v>
      </c>
      <c r="S658" s="292" t="str">
        <f aca="false">IF(ISBLANK('Портативные колонки'!$H$13),"",'Портативные колонки'!$H$13)</f>
        <v/>
      </c>
    </row>
    <row r="659" customFormat="false" ht="66" hidden="false" customHeight="true" outlineLevel="0" collapsed="false">
      <c r="A659" s="291" t="str">
        <f aca="true">IF(ISNUMBER($J659),INDIRECT("L"&amp;($J659+4)),"")</f>
        <v/>
      </c>
      <c r="B659" s="291" t="str">
        <f aca="true">IF(ISNUMBER($J659),INDIRECT("M"&amp;($J659+4)),"")</f>
        <v/>
      </c>
      <c r="C659" s="296" t="str">
        <f aca="true">IF(ISNUMBER($J659),INDIRECT("N"&amp;($J659+4)),"")</f>
        <v/>
      </c>
      <c r="D659" s="291" t="str">
        <f aca="true">IF(ISNUMBER($J659),INDIRECT("O"&amp;($J659+4)),"")</f>
        <v/>
      </c>
      <c r="E659" s="291" t="str">
        <f aca="true">IF(ISNUMBER($J659),INDIRECT("P"&amp;($J659+4)),"")</f>
        <v/>
      </c>
      <c r="F659" s="300" t="str">
        <f aca="true">IF(ISNUMBER($J659),INDIRECT("Q"&amp;($J659+4)),"")</f>
        <v/>
      </c>
      <c r="G659" s="298" t="str">
        <f aca="true">IF(ISNUMBER($J659),INDIRECT("R"&amp;($J659+4)),"")</f>
        <v/>
      </c>
      <c r="H659" s="298" t="str">
        <f aca="true">IF(ISNUMBER($J659),INDIRECT("S"&amp;($J659+4)),"")</f>
        <v/>
      </c>
      <c r="J659" s="292" t="str">
        <f aca="true">IF(655&lt;=$K$1,MATCH(654.5,INDIRECT("$K$4:$K$1374"),1),"")</f>
        <v/>
      </c>
      <c r="K659" s="292" t="n">
        <f aca="false">$K$644+COUNTIF($Q$645:Q659,"&gt;0")</f>
        <v>0</v>
      </c>
      <c r="L659" s="292" t="str">
        <f aca="false">"Портативные колонки"</f>
        <v>Портативные колонки</v>
      </c>
      <c r="M659" s="292" t="str">
        <f aca="false">IF(ISBLANK('Портативные колонки'!$A$13),"",'Портативные колонки'!$A$13)</f>
        <v>BR106 Felicitous BT динамик</v>
      </c>
      <c r="N659" s="292" t="str">
        <f aca="false">IF(ISBLANK('Портативные колонки'!$D$14),"",'Портативные колонки'!$D$14)</f>
        <v>6941991129247</v>
      </c>
      <c r="O659" s="292" t="str">
        <f aca="false">IF(ISBLANK('Портативные колонки'!$E$14),"",'Портативные колонки'!$E$14)</f>
        <v>морской синий</v>
      </c>
      <c r="P659" s="292" t="str">
        <f aca="false">"ед."</f>
        <v>ед.</v>
      </c>
      <c r="Q659" s="292" t="n">
        <f aca="false">N('Портативные колонки'!$G$14)</f>
        <v>0</v>
      </c>
      <c r="R659" s="299" t="n">
        <f aca="false">IF(ISBLANK('Портативные колонки'!$F$14),"",'Портативные колонки'!$F$14)</f>
        <v>448.51</v>
      </c>
      <c r="S659" s="292" t="str">
        <f aca="false">IF(ISBLANK('Портативные колонки'!$H$14),"",'Портативные колонки'!$H$14)</f>
        <v/>
      </c>
    </row>
    <row r="660" customFormat="false" ht="66" hidden="false" customHeight="true" outlineLevel="0" collapsed="false">
      <c r="A660" s="291" t="str">
        <f aca="true">IF(ISNUMBER($J660),INDIRECT("L"&amp;($J660+4)),"")</f>
        <v/>
      </c>
      <c r="B660" s="291" t="str">
        <f aca="true">IF(ISNUMBER($J660),INDIRECT("M"&amp;($J660+4)),"")</f>
        <v/>
      </c>
      <c r="C660" s="296" t="str">
        <f aca="true">IF(ISNUMBER($J660),INDIRECT("N"&amp;($J660+4)),"")</f>
        <v/>
      </c>
      <c r="D660" s="291" t="str">
        <f aca="true">IF(ISNUMBER($J660),INDIRECT("O"&amp;($J660+4)),"")</f>
        <v/>
      </c>
      <c r="E660" s="291" t="str">
        <f aca="true">IF(ISNUMBER($J660),INDIRECT("P"&amp;($J660+4)),"")</f>
        <v/>
      </c>
      <c r="F660" s="300" t="str">
        <f aca="true">IF(ISNUMBER($J660),INDIRECT("Q"&amp;($J660+4)),"")</f>
        <v/>
      </c>
      <c r="G660" s="298" t="str">
        <f aca="true">IF(ISNUMBER($J660),INDIRECT("R"&amp;($J660+4)),"")</f>
        <v/>
      </c>
      <c r="H660" s="298" t="str">
        <f aca="true">IF(ISNUMBER($J660),INDIRECT("S"&amp;($J660+4)),"")</f>
        <v/>
      </c>
      <c r="J660" s="292" t="str">
        <f aca="true">IF(656&lt;=$K$1,MATCH(655.5,INDIRECT("$K$4:$K$1374"),1),"")</f>
        <v/>
      </c>
      <c r="K660" s="292" t="n">
        <f aca="false">$K$644+COUNTIF($Q$645:Q660,"&gt;0")</f>
        <v>0</v>
      </c>
      <c r="L660" s="292" t="str">
        <f aca="false">"Портативные колонки"</f>
        <v>Портативные колонки</v>
      </c>
      <c r="M660" s="292" t="str">
        <f aca="false">IF(ISBLANK('Портативные колонки'!$A$15),"",'Портативные колонки'!$A$15)</f>
        <v>BR105 Loud BT динамик</v>
      </c>
      <c r="N660" s="292" t="str">
        <f aca="false">IF(ISBLANK('Портативные колонки'!$D$15),"",'Портативные колонки'!$D$15)</f>
        <v>6941991127540</v>
      </c>
      <c r="O660" s="292" t="str">
        <f aca="false">IF(ISBLANK('Портативные колонки'!$E$15),"",'Портативные колонки'!$E$15)</f>
        <v>тёмно-серый</v>
      </c>
      <c r="P660" s="292" t="str">
        <f aca="false">"ед."</f>
        <v>ед.</v>
      </c>
      <c r="Q660" s="292" t="n">
        <f aca="false">N('Портативные колонки'!$G$15)</f>
        <v>0</v>
      </c>
      <c r="R660" s="299" t="n">
        <f aca="false">IF(ISBLANK('Портативные колонки'!$F$15),"",'Портативные колонки'!$F$15)</f>
        <v>570.83</v>
      </c>
      <c r="S660" s="292" t="str">
        <f aca="false">IF(ISBLANK('Портативные колонки'!$H$15),"",'Портативные колонки'!$H$15)</f>
        <v/>
      </c>
    </row>
    <row r="661" customFormat="false" ht="66" hidden="false" customHeight="true" outlineLevel="0" collapsed="false">
      <c r="A661" s="291" t="str">
        <f aca="true">IF(ISNUMBER($J661),INDIRECT("L"&amp;($J661+4)),"")</f>
        <v/>
      </c>
      <c r="B661" s="291" t="str">
        <f aca="true">IF(ISNUMBER($J661),INDIRECT("M"&amp;($J661+4)),"")</f>
        <v/>
      </c>
      <c r="C661" s="296" t="str">
        <f aca="true">IF(ISNUMBER($J661),INDIRECT("N"&amp;($J661+4)),"")</f>
        <v/>
      </c>
      <c r="D661" s="291" t="str">
        <f aca="true">IF(ISNUMBER($J661),INDIRECT("O"&amp;($J661+4)),"")</f>
        <v/>
      </c>
      <c r="E661" s="291" t="str">
        <f aca="true">IF(ISNUMBER($J661),INDIRECT("P"&amp;($J661+4)),"")</f>
        <v/>
      </c>
      <c r="F661" s="300" t="str">
        <f aca="true">IF(ISNUMBER($J661),INDIRECT("Q"&amp;($J661+4)),"")</f>
        <v/>
      </c>
      <c r="G661" s="298" t="str">
        <f aca="true">IF(ISNUMBER($J661),INDIRECT("R"&amp;($J661+4)),"")</f>
        <v/>
      </c>
      <c r="H661" s="298" t="str">
        <f aca="true">IF(ISNUMBER($J661),INDIRECT("S"&amp;($J661+4)),"")</f>
        <v/>
      </c>
      <c r="J661" s="292" t="str">
        <f aca="true">IF(657&lt;=$K$1,MATCH(656.5,INDIRECT("$K$4:$K$1374"),1),"")</f>
        <v/>
      </c>
      <c r="K661" s="292" t="n">
        <f aca="false">$K$644+COUNTIF($Q$645:Q661,"&gt;0")</f>
        <v>0</v>
      </c>
      <c r="L661" s="292" t="str">
        <f aca="false">"Портативные колонки"</f>
        <v>Портативные колонки</v>
      </c>
      <c r="M661" s="292" t="str">
        <f aca="false">IF(ISBLANK('Портативные колонки'!$A$15),"",'Портативные колонки'!$A$15)</f>
        <v>BR105 Loud BT динамик</v>
      </c>
      <c r="N661" s="292" t="str">
        <f aca="false">IF(ISBLANK('Портативные колонки'!$D$16),"",'Портативные колонки'!$D$16)</f>
        <v>6941991127557</v>
      </c>
      <c r="O661" s="292" t="str">
        <f aca="false">IF(ISBLANK('Портативные колонки'!$E$16),"",'Портативные колонки'!$E$16)</f>
        <v>морской синий</v>
      </c>
      <c r="P661" s="292" t="str">
        <f aca="false">"ед."</f>
        <v>ед.</v>
      </c>
      <c r="Q661" s="292" t="n">
        <f aca="false">N('Портативные колонки'!$G$16)</f>
        <v>0</v>
      </c>
      <c r="R661" s="299" t="n">
        <f aca="false">IF(ISBLANK('Портативные колонки'!$F$16),"",'Портативные колонки'!$F$16)</f>
        <v>570.83</v>
      </c>
      <c r="S661" s="292" t="str">
        <f aca="false">IF(ISBLANK('Портативные колонки'!$H$16),"",'Портативные колонки'!$H$16)</f>
        <v/>
      </c>
    </row>
    <row r="662" customFormat="false" ht="66" hidden="false" customHeight="true" outlineLevel="0" collapsed="false">
      <c r="A662" s="291" t="str">
        <f aca="true">IF(ISNUMBER($J662),INDIRECT("L"&amp;($J662+4)),"")</f>
        <v/>
      </c>
      <c r="B662" s="291" t="str">
        <f aca="true">IF(ISNUMBER($J662),INDIRECT("M"&amp;($J662+4)),"")</f>
        <v/>
      </c>
      <c r="C662" s="296" t="str">
        <f aca="true">IF(ISNUMBER($J662),INDIRECT("N"&amp;($J662+4)),"")</f>
        <v/>
      </c>
      <c r="D662" s="291" t="str">
        <f aca="true">IF(ISNUMBER($J662),INDIRECT("O"&amp;($J662+4)),"")</f>
        <v/>
      </c>
      <c r="E662" s="291" t="str">
        <f aca="true">IF(ISNUMBER($J662),INDIRECT("P"&amp;($J662+4)),"")</f>
        <v/>
      </c>
      <c r="F662" s="300" t="str">
        <f aca="true">IF(ISNUMBER($J662),INDIRECT("Q"&amp;($J662+4)),"")</f>
        <v/>
      </c>
      <c r="G662" s="298" t="str">
        <f aca="true">IF(ISNUMBER($J662),INDIRECT("R"&amp;($J662+4)),"")</f>
        <v/>
      </c>
      <c r="H662" s="298" t="str">
        <f aca="true">IF(ISNUMBER($J662),INDIRECT("S"&amp;($J662+4)),"")</f>
        <v/>
      </c>
      <c r="J662" s="292" t="str">
        <f aca="true">IF(658&lt;=$K$1,MATCH(657.5,INDIRECT("$K$4:$K$1374"),1),"")</f>
        <v/>
      </c>
      <c r="K662" s="292" t="n">
        <f aca="false">$K$644+COUNTIF($Q$645:Q662,"&gt;0")</f>
        <v>0</v>
      </c>
      <c r="L662" s="292" t="str">
        <f aca="false">"Портативные колонки"</f>
        <v>Портативные колонки</v>
      </c>
      <c r="M662" s="292" t="str">
        <f aca="false">IF(ISBLANK('Портативные колонки'!$A$17),"",'Портативные колонки'!$A$17)</f>
        <v>BR102 Gratificado BT динамик</v>
      </c>
      <c r="N662" s="292" t="str">
        <f aca="false">IF(ISBLANK('Портативные колонки'!$D$17),"",'Портативные колонки'!$D$17)</f>
        <v>6941991126543</v>
      </c>
      <c r="O662" s="292" t="str">
        <f aca="false">IF(ISBLANK('Портативные колонки'!$E$17),"",'Портативные колонки'!$E$17)</f>
        <v>черный</v>
      </c>
      <c r="P662" s="292" t="str">
        <f aca="false">"ед."</f>
        <v>ед.</v>
      </c>
      <c r="Q662" s="292" t="n">
        <f aca="false">N('Портативные колонки'!$G$17)</f>
        <v>0</v>
      </c>
      <c r="R662" s="299" t="n">
        <f aca="false">IF(ISBLANK('Портативные колонки'!$F$17),"",'Портативные колонки'!$F$17)</f>
        <v>530.06</v>
      </c>
      <c r="S662" s="292" t="str">
        <f aca="false">IF(ISBLANK('Портативные колонки'!$H$17),"",'Портативные колонки'!$H$17)</f>
        <v/>
      </c>
    </row>
    <row r="663" customFormat="false" ht="66" hidden="false" customHeight="true" outlineLevel="0" collapsed="false">
      <c r="A663" s="291" t="str">
        <f aca="true">IF(ISNUMBER($J663),INDIRECT("L"&amp;($J663+4)),"")</f>
        <v/>
      </c>
      <c r="B663" s="291" t="str">
        <f aca="true">IF(ISNUMBER($J663),INDIRECT("M"&amp;($J663+4)),"")</f>
        <v/>
      </c>
      <c r="C663" s="296" t="str">
        <f aca="true">IF(ISNUMBER($J663),INDIRECT("N"&amp;($J663+4)),"")</f>
        <v/>
      </c>
      <c r="D663" s="291" t="str">
        <f aca="true">IF(ISNUMBER($J663),INDIRECT("O"&amp;($J663+4)),"")</f>
        <v/>
      </c>
      <c r="E663" s="291" t="str">
        <f aca="true">IF(ISNUMBER($J663),INDIRECT("P"&amp;($J663+4)),"")</f>
        <v/>
      </c>
      <c r="F663" s="300" t="str">
        <f aca="true">IF(ISNUMBER($J663),INDIRECT("Q"&amp;($J663+4)),"")</f>
        <v/>
      </c>
      <c r="G663" s="298" t="str">
        <f aca="true">IF(ISNUMBER($J663),INDIRECT("R"&amp;($J663+4)),"")</f>
        <v/>
      </c>
      <c r="H663" s="298" t="str">
        <f aca="true">IF(ISNUMBER($J663),INDIRECT("S"&amp;($J663+4)),"")</f>
        <v/>
      </c>
      <c r="J663" s="292" t="str">
        <f aca="true">IF(659&lt;=$K$1,MATCH(658.5,INDIRECT("$K$4:$K$1374"),1),"")</f>
        <v/>
      </c>
      <c r="K663" s="292" t="n">
        <f aca="false">$K$644+COUNTIF($Q$645:Q663,"&gt;0")</f>
        <v>0</v>
      </c>
      <c r="L663" s="292" t="str">
        <f aca="false">"Портативные колонки"</f>
        <v>Портативные колонки</v>
      </c>
      <c r="M663" s="292" t="str">
        <f aca="false">IF(ISBLANK('Портативные колонки'!$A$18),"",'Портативные колонки'!$A$18)</f>
        <v>BR100 Joy BT динамик</v>
      </c>
      <c r="N663" s="292" t="str">
        <f aca="false">IF(ISBLANK('Портативные колонки'!$D$18),"",'Портативные колонки'!$D$18)</f>
        <v>6941991125614</v>
      </c>
      <c r="O663" s="292" t="str">
        <f aca="false">IF(ISBLANK('Портативные колонки'!$E$18),"",'Портативные колонки'!$E$18)</f>
        <v>чёрный</v>
      </c>
      <c r="P663" s="292" t="str">
        <f aca="false">"ед."</f>
        <v>ед.</v>
      </c>
      <c r="Q663" s="292" t="n">
        <f aca="false">N('Портативные колонки'!$G$18)</f>
        <v>0</v>
      </c>
      <c r="R663" s="299" t="n">
        <f aca="false">IF(ISBLANK('Портативные колонки'!$F$18),"",'Портативные колонки'!$F$18)</f>
        <v>570.83</v>
      </c>
      <c r="S663" s="292" t="str">
        <f aca="false">IF(ISBLANK('Портативные колонки'!$H$18),"",'Портативные колонки'!$H$18)</f>
        <v/>
      </c>
    </row>
    <row r="664" customFormat="false" ht="66" hidden="false" customHeight="true" outlineLevel="0" collapsed="false">
      <c r="A664" s="291" t="str">
        <f aca="true">IF(ISNUMBER($J664),INDIRECT("L"&amp;($J664+4)),"")</f>
        <v/>
      </c>
      <c r="B664" s="291" t="str">
        <f aca="true">IF(ISNUMBER($J664),INDIRECT("M"&amp;($J664+4)),"")</f>
        <v/>
      </c>
      <c r="C664" s="296" t="str">
        <f aca="true">IF(ISNUMBER($J664),INDIRECT("N"&amp;($J664+4)),"")</f>
        <v/>
      </c>
      <c r="D664" s="291" t="str">
        <f aca="true">IF(ISNUMBER($J664),INDIRECT("O"&amp;($J664+4)),"")</f>
        <v/>
      </c>
      <c r="E664" s="291" t="str">
        <f aca="true">IF(ISNUMBER($J664),INDIRECT("P"&amp;($J664+4)),"")</f>
        <v/>
      </c>
      <c r="F664" s="300" t="str">
        <f aca="true">IF(ISNUMBER($J664),INDIRECT("Q"&amp;($J664+4)),"")</f>
        <v/>
      </c>
      <c r="G664" s="298" t="str">
        <f aca="true">IF(ISNUMBER($J664),INDIRECT("R"&amp;($J664+4)),"")</f>
        <v/>
      </c>
      <c r="H664" s="298" t="str">
        <f aca="true">IF(ISNUMBER($J664),INDIRECT("S"&amp;($J664+4)),"")</f>
        <v/>
      </c>
      <c r="J664" s="292" t="str">
        <f aca="true">IF(660&lt;=$K$1,MATCH(659.5,INDIRECT("$K$4:$K$1374"),1),"")</f>
        <v/>
      </c>
      <c r="K664" s="292" t="n">
        <f aca="false">$K$644+COUNTIF($Q$645:Q664,"&gt;0")</f>
        <v>0</v>
      </c>
      <c r="L664" s="292" t="str">
        <f aca="false">"Портативные колонки"</f>
        <v>Портативные колонки</v>
      </c>
      <c r="M664" s="292" t="str">
        <f aca="false">IF(ISBLANK('Портативные колонки'!$A$19),"",'Портативные колонки'!$A$19)</f>
        <v>BR48 Ufo BT динамик</v>
      </c>
      <c r="N664" s="292" t="str">
        <f aca="false">IF(ISBLANK('Портативные колонки'!$D$19),"",'Портативные колонки'!$D$19)</f>
        <v>6941991121692</v>
      </c>
      <c r="O664" s="292" t="str">
        <f aca="false">IF(ISBLANK('Портативные колонки'!$E$19),"",'Портативные колонки'!$E$19)</f>
        <v>черный</v>
      </c>
      <c r="P664" s="292" t="str">
        <f aca="false">"ед."</f>
        <v>ед.</v>
      </c>
      <c r="Q664" s="292" t="n">
        <f aca="false">N('Портативные колонки'!$G$19)</f>
        <v>0</v>
      </c>
      <c r="R664" s="299" t="n">
        <f aca="false">IF(ISBLANK('Портативные колонки'!$F$19),"",'Портативные колонки'!$F$19)</f>
        <v>472.97</v>
      </c>
      <c r="S664" s="292" t="str">
        <f aca="false">IF(ISBLANK('Портативные колонки'!$H$19),"",'Портативные колонки'!$H$19)</f>
        <v/>
      </c>
    </row>
    <row r="665" customFormat="false" ht="66" hidden="false" customHeight="true" outlineLevel="0" collapsed="false">
      <c r="A665" s="291" t="str">
        <f aca="true">IF(ISNUMBER($J665),INDIRECT("L"&amp;($J665+4)),"")</f>
        <v/>
      </c>
      <c r="B665" s="291" t="str">
        <f aca="true">IF(ISNUMBER($J665),INDIRECT("M"&amp;($J665+4)),"")</f>
        <v/>
      </c>
      <c r="C665" s="296" t="str">
        <f aca="true">IF(ISNUMBER($J665),INDIRECT("N"&amp;($J665+4)),"")</f>
        <v/>
      </c>
      <c r="D665" s="291" t="str">
        <f aca="true">IF(ISNUMBER($J665),INDIRECT("O"&amp;($J665+4)),"")</f>
        <v/>
      </c>
      <c r="E665" s="291" t="str">
        <f aca="true">IF(ISNUMBER($J665),INDIRECT("P"&amp;($J665+4)),"")</f>
        <v/>
      </c>
      <c r="F665" s="300" t="str">
        <f aca="true">IF(ISNUMBER($J665),INDIRECT("Q"&amp;($J665+4)),"")</f>
        <v/>
      </c>
      <c r="G665" s="298" t="str">
        <f aca="true">IF(ISNUMBER($J665),INDIRECT("R"&amp;($J665+4)),"")</f>
        <v/>
      </c>
      <c r="H665" s="298" t="str">
        <f aca="true">IF(ISNUMBER($J665),INDIRECT("S"&amp;($J665+4)),"")</f>
        <v/>
      </c>
      <c r="J665" s="292" t="str">
        <f aca="true">IF(661&lt;=$K$1,MATCH(660.5,INDIRECT("$K$4:$K$1374"),1),"")</f>
        <v/>
      </c>
      <c r="K665" s="292" t="n">
        <f aca="false">$K$644+COUNTIF($Q$645:Q665,"&gt;0")</f>
        <v>0</v>
      </c>
      <c r="L665" s="292" t="str">
        <f aca="false">"Аудиоаксессуары"</f>
        <v>Аудиоаксессуары</v>
      </c>
      <c r="M665" s="292" t="str">
        <f aca="false">IF(ISBLANK(Аудиоаксессуары!$A$5),"",Аудиоаксессуары!$A$5)</f>
        <v>BFK17 Lemai беспроводной микрофон Type-C</v>
      </c>
      <c r="N665" s="292" t="str">
        <f aca="false">IF(ISBLANK(Аудиоаксессуары!$D$5),"",Аудиоаксессуары!$D$5)</f>
        <v>6941991127038</v>
      </c>
      <c r="O665" s="292" t="str">
        <f aca="false">IF(ISBLANK(Аудиоаксессуары!$E$5),"",Аудиоаксессуары!$E$5)</f>
        <v>черный</v>
      </c>
      <c r="P665" s="292" t="str">
        <f aca="false">"ед."</f>
        <v>ед.</v>
      </c>
      <c r="Q665" s="292" t="n">
        <f aca="false">N(Аудиоаксессуары!$G$5)</f>
        <v>0</v>
      </c>
      <c r="R665" s="299" t="n">
        <f aca="false">IF(ISBLANK(Аудиоаксессуары!$F$5),"",Аудиоаксессуары!$F$5)</f>
        <v>986.72</v>
      </c>
      <c r="S665" s="292" t="str">
        <f aca="false">IF(ISBLANK(Аудиоаксессуары!$H$5),"",Аудиоаксессуары!$H$5)</f>
        <v/>
      </c>
    </row>
    <row r="666" customFormat="false" ht="66" hidden="false" customHeight="true" outlineLevel="0" collapsed="false">
      <c r="A666" s="291" t="str">
        <f aca="true">IF(ISNUMBER($J666),INDIRECT("L"&amp;($J666+4)),"")</f>
        <v/>
      </c>
      <c r="B666" s="291" t="str">
        <f aca="true">IF(ISNUMBER($J666),INDIRECT("M"&amp;($J666+4)),"")</f>
        <v/>
      </c>
      <c r="C666" s="296" t="str">
        <f aca="true">IF(ISNUMBER($J666),INDIRECT("N"&amp;($J666+4)),"")</f>
        <v/>
      </c>
      <c r="D666" s="291" t="str">
        <f aca="true">IF(ISNUMBER($J666),INDIRECT("O"&amp;($J666+4)),"")</f>
        <v/>
      </c>
      <c r="E666" s="291" t="str">
        <f aca="true">IF(ISNUMBER($J666),INDIRECT("P"&amp;($J666+4)),"")</f>
        <v/>
      </c>
      <c r="F666" s="300" t="str">
        <f aca="true">IF(ISNUMBER($J666),INDIRECT("Q"&amp;($J666+4)),"")</f>
        <v/>
      </c>
      <c r="G666" s="298" t="str">
        <f aca="true">IF(ISNUMBER($J666),INDIRECT("R"&amp;($J666+4)),"")</f>
        <v/>
      </c>
      <c r="H666" s="298" t="str">
        <f aca="true">IF(ISNUMBER($J666),INDIRECT("S"&amp;($J666+4)),"")</f>
        <v/>
      </c>
      <c r="J666" s="292" t="str">
        <f aca="true">IF(662&lt;=$K$1,MATCH(661.5,INDIRECT("$K$4:$K$1374"),1),"")</f>
        <v/>
      </c>
      <c r="K666" s="292" t="n">
        <f aca="false">$K$644+COUNTIF($Q$645:Q666,"&gt;0")</f>
        <v>0</v>
      </c>
      <c r="L666" s="292" t="str">
        <f aca="false">"Аудиоаксессуары"</f>
        <v>Аудиоаксессуары</v>
      </c>
      <c r="M666" s="292" t="str">
        <f aca="false">IF(ISBLANK(Аудиоаксессуары!$A$6),"",Аудиоаксессуары!$A$6)</f>
        <v>BFK16 Winner беспроводной микрофон iP</v>
      </c>
      <c r="N666" s="292" t="str">
        <f aca="false">IF(ISBLANK(Аудиоаксессуары!$D$6),"",Аудиоаксессуары!$D$6)</f>
        <v>6941991126482</v>
      </c>
      <c r="O666" s="292" t="str">
        <f aca="false">IF(ISBLANK(Аудиоаксессуары!$E$6),"",Аудиоаксессуары!$E$6)</f>
        <v>черный</v>
      </c>
      <c r="P666" s="292" t="str">
        <f aca="false">"ед."</f>
        <v>ед.</v>
      </c>
      <c r="Q666" s="292" t="n">
        <f aca="false">N(Аудиоаксессуары!$G$6)</f>
        <v>0</v>
      </c>
      <c r="R666" s="299" t="n">
        <f aca="false">IF(ISBLANK(Аудиоаксессуары!$F$6),"",Аудиоаксессуары!$F$6)</f>
        <v>342.5</v>
      </c>
      <c r="S666" s="292" t="str">
        <f aca="false">IF(ISBLANK(Аудиоаксессуары!$H$6),"",Аудиоаксессуары!$H$6)</f>
        <v/>
      </c>
    </row>
    <row r="667" customFormat="false" ht="66" hidden="false" customHeight="true" outlineLevel="0" collapsed="false">
      <c r="A667" s="291" t="str">
        <f aca="true">IF(ISNUMBER($J667),INDIRECT("L"&amp;($J667+4)),"")</f>
        <v/>
      </c>
      <c r="B667" s="291" t="str">
        <f aca="true">IF(ISNUMBER($J667),INDIRECT("M"&amp;($J667+4)),"")</f>
        <v/>
      </c>
      <c r="C667" s="296" t="str">
        <f aca="true">IF(ISNUMBER($J667),INDIRECT("N"&amp;($J667+4)),"")</f>
        <v/>
      </c>
      <c r="D667" s="291" t="str">
        <f aca="true">IF(ISNUMBER($J667),INDIRECT("O"&amp;($J667+4)),"")</f>
        <v/>
      </c>
      <c r="E667" s="291" t="str">
        <f aca="true">IF(ISNUMBER($J667),INDIRECT("P"&amp;($J667+4)),"")</f>
        <v/>
      </c>
      <c r="F667" s="300" t="str">
        <f aca="true">IF(ISNUMBER($J667),INDIRECT("Q"&amp;($J667+4)),"")</f>
        <v/>
      </c>
      <c r="G667" s="298" t="str">
        <f aca="true">IF(ISNUMBER($J667),INDIRECT("R"&amp;($J667+4)),"")</f>
        <v/>
      </c>
      <c r="H667" s="298" t="str">
        <f aca="true">IF(ISNUMBER($J667),INDIRECT("S"&amp;($J667+4)),"")</f>
        <v/>
      </c>
      <c r="J667" s="292" t="str">
        <f aca="true">IF(663&lt;=$K$1,MATCH(662.5,INDIRECT("$K$4:$K$1374"),1),"")</f>
        <v/>
      </c>
      <c r="K667" s="292" t="n">
        <f aca="false">$K$644+COUNTIF($Q$645:Q667,"&gt;0")</f>
        <v>0</v>
      </c>
      <c r="L667" s="292" t="str">
        <f aca="false">"Аудиоаксессуары"</f>
        <v>Аудиоаксессуары</v>
      </c>
      <c r="M667" s="292" t="str">
        <f aca="false">IF(ISBLANK(Аудиоаксессуары!$A$7),"",Аудиоаксессуары!$A$7)</f>
        <v>BFK16 Winner беспроводной микрофон Type-C</v>
      </c>
      <c r="N667" s="292" t="str">
        <f aca="false">IF(ISBLANK(Аудиоаксессуары!$D$7),"",Аудиоаксессуары!$D$7)</f>
        <v>6941991126499</v>
      </c>
      <c r="O667" s="292" t="str">
        <f aca="false">IF(ISBLANK(Аудиоаксессуары!$E$7),"",Аудиоаксессуары!$E$7)</f>
        <v>черный</v>
      </c>
      <c r="P667" s="292" t="str">
        <f aca="false">"ед."</f>
        <v>ед.</v>
      </c>
      <c r="Q667" s="292" t="n">
        <f aca="false">N(Аудиоаксессуары!$G$7)</f>
        <v>0</v>
      </c>
      <c r="R667" s="299" t="n">
        <f aca="false">IF(ISBLANK(Аудиоаксессуары!$F$7),"",Аудиоаксессуары!$F$7)</f>
        <v>342.5</v>
      </c>
      <c r="S667" s="292" t="str">
        <f aca="false">IF(ISBLANK(Аудиоаксессуары!$H$7),"",Аудиоаксессуары!$H$7)</f>
        <v/>
      </c>
    </row>
    <row r="668" customFormat="false" ht="66" hidden="false" customHeight="true" outlineLevel="0" collapsed="false">
      <c r="A668" s="291" t="str">
        <f aca="true">IF(ISNUMBER($J668),INDIRECT("L"&amp;($J668+4)),"")</f>
        <v/>
      </c>
      <c r="B668" s="291" t="str">
        <f aca="true">IF(ISNUMBER($J668),INDIRECT("M"&amp;($J668+4)),"")</f>
        <v/>
      </c>
      <c r="C668" s="296" t="str">
        <f aca="true">IF(ISNUMBER($J668),INDIRECT("N"&amp;($J668+4)),"")</f>
        <v/>
      </c>
      <c r="D668" s="291" t="str">
        <f aca="true">IF(ISNUMBER($J668),INDIRECT("O"&amp;($J668+4)),"")</f>
        <v/>
      </c>
      <c r="E668" s="291" t="str">
        <f aca="true">IF(ISNUMBER($J668),INDIRECT("P"&amp;($J668+4)),"")</f>
        <v/>
      </c>
      <c r="F668" s="300" t="str">
        <f aca="true">IF(ISNUMBER($J668),INDIRECT("Q"&amp;($J668+4)),"")</f>
        <v/>
      </c>
      <c r="G668" s="298" t="str">
        <f aca="true">IF(ISNUMBER($J668),INDIRECT("R"&amp;($J668+4)),"")</f>
        <v/>
      </c>
      <c r="H668" s="298" t="str">
        <f aca="true">IF(ISNUMBER($J668),INDIRECT("S"&amp;($J668+4)),"")</f>
        <v/>
      </c>
      <c r="J668" s="292" t="str">
        <f aca="true">IF(664&lt;=$K$1,MATCH(663.5,INDIRECT("$K$4:$K$1374"),1),"")</f>
        <v/>
      </c>
      <c r="K668" s="292" t="n">
        <f aca="false">$K$644+COUNTIF($Q$645:Q668,"&gt;0")</f>
        <v>0</v>
      </c>
      <c r="L668" s="292" t="str">
        <f aca="false">"Аудиоаксессуары"</f>
        <v>Аудиоаксессуары</v>
      </c>
      <c r="M668" s="292" t="str">
        <f aca="false">IF(ISBLANK(Аудиоаксессуары!$A$8),"",Аудиоаксессуары!$A$8)</f>
        <v>BFK16A Winner беспроводной микрофон iP</v>
      </c>
      <c r="N668" s="292" t="str">
        <f aca="false">IF(ISBLANK(Аудиоаксессуары!$D$8),"",Аудиоаксессуары!$D$8)</f>
        <v>6941991126505</v>
      </c>
      <c r="O668" s="292" t="str">
        <f aca="false">IF(ISBLANK(Аудиоаксессуары!$E$8),"",Аудиоаксессуары!$E$8)</f>
        <v>черный</v>
      </c>
      <c r="P668" s="292" t="str">
        <f aca="false">"ед."</f>
        <v>ед.</v>
      </c>
      <c r="Q668" s="292" t="n">
        <f aca="false">N(Аудиоаксессуары!$G$8)</f>
        <v>0</v>
      </c>
      <c r="R668" s="299" t="n">
        <f aca="false">IF(ISBLANK(Аудиоаксессуары!$F$8),"",Аудиоаксессуары!$F$8)</f>
        <v>481.13</v>
      </c>
      <c r="S668" s="292" t="str">
        <f aca="false">IF(ISBLANK(Аудиоаксессуары!$H$8),"",Аудиоаксессуары!$H$8)</f>
        <v/>
      </c>
    </row>
    <row r="669" customFormat="false" ht="66" hidden="false" customHeight="true" outlineLevel="0" collapsed="false">
      <c r="A669" s="291" t="str">
        <f aca="true">IF(ISNUMBER($J669),INDIRECT("L"&amp;($J669+4)),"")</f>
        <v/>
      </c>
      <c r="B669" s="291" t="str">
        <f aca="true">IF(ISNUMBER($J669),INDIRECT("M"&amp;($J669+4)),"")</f>
        <v/>
      </c>
      <c r="C669" s="296" t="str">
        <f aca="true">IF(ISNUMBER($J669),INDIRECT("N"&amp;($J669+4)),"")</f>
        <v/>
      </c>
      <c r="D669" s="291" t="str">
        <f aca="true">IF(ISNUMBER($J669),INDIRECT("O"&amp;($J669+4)),"")</f>
        <v/>
      </c>
      <c r="E669" s="291" t="str">
        <f aca="true">IF(ISNUMBER($J669),INDIRECT("P"&amp;($J669+4)),"")</f>
        <v/>
      </c>
      <c r="F669" s="300" t="str">
        <f aca="true">IF(ISNUMBER($J669),INDIRECT("Q"&amp;($J669+4)),"")</f>
        <v/>
      </c>
      <c r="G669" s="298" t="str">
        <f aca="true">IF(ISNUMBER($J669),INDIRECT("R"&amp;($J669+4)),"")</f>
        <v/>
      </c>
      <c r="H669" s="298" t="str">
        <f aca="true">IF(ISNUMBER($J669),INDIRECT("S"&amp;($J669+4)),"")</f>
        <v/>
      </c>
      <c r="J669" s="292" t="str">
        <f aca="true">IF(665&lt;=$K$1,MATCH(664.5,INDIRECT("$K$4:$K$1374"),1),"")</f>
        <v/>
      </c>
      <c r="K669" s="292" t="n">
        <f aca="false">$K$644+COUNTIF($Q$645:Q669,"&gt;0")</f>
        <v>0</v>
      </c>
      <c r="L669" s="292" t="str">
        <f aca="false">"Аудиоаксессуары"</f>
        <v>Аудиоаксессуары</v>
      </c>
      <c r="M669" s="292" t="str">
        <f aca="false">IF(ISBLANK(Аудиоаксессуары!$A$9),"",Аудиоаксессуары!$A$9)</f>
        <v>BFK16A Winner беспроводной микрофон Type-C</v>
      </c>
      <c r="N669" s="292" t="str">
        <f aca="false">IF(ISBLANK(Аудиоаксессуары!$D$9),"",Аудиоаксессуары!$D$9)</f>
        <v>6941991126512</v>
      </c>
      <c r="O669" s="292" t="str">
        <f aca="false">IF(ISBLANK(Аудиоаксессуары!$E$9),"",Аудиоаксессуары!$E$9)</f>
        <v>черный</v>
      </c>
      <c r="P669" s="292" t="str">
        <f aca="false">"ед."</f>
        <v>ед.</v>
      </c>
      <c r="Q669" s="292" t="n">
        <f aca="false">N(Аудиоаксессуары!$G$9)</f>
        <v>0</v>
      </c>
      <c r="R669" s="299" t="n">
        <f aca="false">IF(ISBLANK(Аудиоаксессуары!$F$9),"",Аудиоаксессуары!$F$9)</f>
        <v>481.13</v>
      </c>
      <c r="S669" s="292" t="str">
        <f aca="false">IF(ISBLANK(Аудиоаксессуары!$H$9),"",Аудиоаксессуары!$H$9)</f>
        <v/>
      </c>
    </row>
    <row r="670" customFormat="false" ht="66" hidden="false" customHeight="true" outlineLevel="0" collapsed="false">
      <c r="A670" s="291" t="str">
        <f aca="true">IF(ISNUMBER($J670),INDIRECT("L"&amp;($J670+4)),"")</f>
        <v/>
      </c>
      <c r="B670" s="291" t="str">
        <f aca="true">IF(ISNUMBER($J670),INDIRECT("M"&amp;($J670+4)),"")</f>
        <v/>
      </c>
      <c r="C670" s="296" t="str">
        <f aca="true">IF(ISNUMBER($J670),INDIRECT("N"&amp;($J670+4)),"")</f>
        <v/>
      </c>
      <c r="D670" s="291" t="str">
        <f aca="true">IF(ISNUMBER($J670),INDIRECT("O"&amp;($J670+4)),"")</f>
        <v/>
      </c>
      <c r="E670" s="291" t="str">
        <f aca="true">IF(ISNUMBER($J670),INDIRECT("P"&amp;($J670+4)),"")</f>
        <v/>
      </c>
      <c r="F670" s="300" t="str">
        <f aca="true">IF(ISNUMBER($J670),INDIRECT("Q"&amp;($J670+4)),"")</f>
        <v/>
      </c>
      <c r="G670" s="298" t="str">
        <f aca="true">IF(ISNUMBER($J670),INDIRECT("R"&amp;($J670+4)),"")</f>
        <v/>
      </c>
      <c r="H670" s="298" t="str">
        <f aca="true">IF(ISNUMBER($J670),INDIRECT("S"&amp;($J670+4)),"")</f>
        <v/>
      </c>
      <c r="J670" s="292" t="str">
        <f aca="true">IF(666&lt;=$K$1,MATCH(665.5,INDIRECT("$K$4:$K$1374"),1),"")</f>
        <v/>
      </c>
      <c r="K670" s="292" t="n">
        <f aca="false">$K$644+COUNTIF($Q$645:Q670,"&gt;0")</f>
        <v>0</v>
      </c>
      <c r="L670" s="292" t="str">
        <f aca="false">"Аудиоаксессуары"</f>
        <v>Аудиоаксессуары</v>
      </c>
      <c r="M670" s="292" t="str">
        <f aca="false">IF(ISBLANK(Аудиоаксессуары!$A$12),"",Аудиоаксессуары!$A$12)</f>
        <v>BL26 Standard AUX аудио кабель</v>
      </c>
      <c r="N670" s="292" t="str">
        <f aca="false">IF(ISBLANK(Аудиоаксессуары!$D$12),"",Аудиоаксессуары!$D$12)</f>
        <v>6941991122170</v>
      </c>
      <c r="O670" s="292" t="str">
        <f aca="false">IF(ISBLANK(Аудиоаксессуары!$E$12),"",Аудиоаксессуары!$E$12)</f>
        <v>черный</v>
      </c>
      <c r="P670" s="292" t="str">
        <f aca="false">"ед."</f>
        <v>ед.</v>
      </c>
      <c r="Q670" s="292" t="n">
        <f aca="false">N(Аудиоаксессуары!$G$12)</f>
        <v>0</v>
      </c>
      <c r="R670" s="299" t="n">
        <f aca="false">IF(ISBLANK(Аудиоаксессуары!$F$12),"",Аудиоаксессуары!$F$12)</f>
        <v>24.46</v>
      </c>
      <c r="S670" s="292" t="str">
        <f aca="false">IF(ISBLANK(Аудиоаксессуары!$H$12),"",Аудиоаксессуары!$H$12)</f>
        <v/>
      </c>
    </row>
    <row r="671" customFormat="false" ht="66" hidden="false" customHeight="true" outlineLevel="0" collapsed="false">
      <c r="A671" s="291" t="str">
        <f aca="true">IF(ISNUMBER($J671),INDIRECT("L"&amp;($J671+4)),"")</f>
        <v/>
      </c>
      <c r="B671" s="291" t="str">
        <f aca="true">IF(ISNUMBER($J671),INDIRECT("M"&amp;($J671+4)),"")</f>
        <v/>
      </c>
      <c r="C671" s="296" t="str">
        <f aca="true">IF(ISNUMBER($J671),INDIRECT("N"&amp;($J671+4)),"")</f>
        <v/>
      </c>
      <c r="D671" s="291" t="str">
        <f aca="true">IF(ISNUMBER($J671),INDIRECT("O"&amp;($J671+4)),"")</f>
        <v/>
      </c>
      <c r="E671" s="291" t="str">
        <f aca="true">IF(ISNUMBER($J671),INDIRECT("P"&amp;($J671+4)),"")</f>
        <v/>
      </c>
      <c r="F671" s="300" t="str">
        <f aca="true">IF(ISNUMBER($J671),INDIRECT("Q"&amp;($J671+4)),"")</f>
        <v/>
      </c>
      <c r="G671" s="298" t="str">
        <f aca="true">IF(ISNUMBER($J671),INDIRECT("R"&amp;($J671+4)),"")</f>
        <v/>
      </c>
      <c r="H671" s="298" t="str">
        <f aca="true">IF(ISNUMBER($J671),INDIRECT("S"&amp;($J671+4)),"")</f>
        <v/>
      </c>
      <c r="J671" s="292" t="str">
        <f aca="true">IF(667&lt;=$K$1,MATCH(666.5,INDIRECT("$K$4:$K$1374"),1),"")</f>
        <v/>
      </c>
      <c r="K671" s="292" t="n">
        <f aca="false">$K$644+COUNTIF($Q$645:Q671,"&gt;0")</f>
        <v>0</v>
      </c>
      <c r="L671" s="292" t="str">
        <f aca="false">"Аудиоаксессуары"</f>
        <v>Аудиоаксессуары</v>
      </c>
      <c r="M671" s="292" t="str">
        <f aca="false">IF(ISBLANK(Аудиоаксессуары!$A$13),"",Аудиоаксессуары!$A$13)</f>
        <v>BL25 Nice AUX аудио кабель</v>
      </c>
      <c r="N671" s="292" t="str">
        <f aca="false">IF(ISBLANK(Аудиоаксессуары!$D$13),"",Аудиоаксессуары!$D$13)</f>
        <v>6941991124754</v>
      </c>
      <c r="O671" s="292" t="str">
        <f aca="false">IF(ISBLANK(Аудиоаксессуары!$E$13),"",Аудиоаксессуары!$E$13)</f>
        <v>черный</v>
      </c>
      <c r="P671" s="292" t="str">
        <f aca="false">"ед."</f>
        <v>ед.</v>
      </c>
      <c r="Q671" s="292" t="n">
        <f aca="false">N(Аудиоаксессуары!$G$13)</f>
        <v>0</v>
      </c>
      <c r="R671" s="299" t="n">
        <f aca="false">IF(ISBLANK(Аудиоаксессуары!$F$13),"",Аудиоаксессуары!$F$13)</f>
        <v>35.88</v>
      </c>
      <c r="S671" s="292" t="str">
        <f aca="false">IF(ISBLANK(Аудиоаксессуары!$H$13),"",Аудиоаксессуары!$H$13)</f>
        <v/>
      </c>
    </row>
    <row r="672" customFormat="false" ht="66" hidden="false" customHeight="true" outlineLevel="0" collapsed="false">
      <c r="A672" s="291" t="str">
        <f aca="true">IF(ISNUMBER($J672),INDIRECT("L"&amp;($J672+4)),"")</f>
        <v/>
      </c>
      <c r="B672" s="291" t="str">
        <f aca="true">IF(ISNUMBER($J672),INDIRECT("M"&amp;($J672+4)),"")</f>
        <v/>
      </c>
      <c r="C672" s="296" t="str">
        <f aca="true">IF(ISNUMBER($J672),INDIRECT("N"&amp;($J672+4)),"")</f>
        <v/>
      </c>
      <c r="D672" s="291" t="str">
        <f aca="true">IF(ISNUMBER($J672),INDIRECT("O"&amp;($J672+4)),"")</f>
        <v/>
      </c>
      <c r="E672" s="291" t="str">
        <f aca="true">IF(ISNUMBER($J672),INDIRECT("P"&amp;($J672+4)),"")</f>
        <v/>
      </c>
      <c r="F672" s="300" t="str">
        <f aca="true">IF(ISNUMBER($J672),INDIRECT("Q"&amp;($J672+4)),"")</f>
        <v/>
      </c>
      <c r="G672" s="298" t="str">
        <f aca="true">IF(ISNUMBER($J672),INDIRECT("R"&amp;($J672+4)),"")</f>
        <v/>
      </c>
      <c r="H672" s="298" t="str">
        <f aca="true">IF(ISNUMBER($J672),INDIRECT("S"&amp;($J672+4)),"")</f>
        <v/>
      </c>
      <c r="J672" s="292" t="str">
        <f aca="true">IF(668&lt;=$K$1,MATCH(667.5,INDIRECT("$K$4:$K$1374"),1),"")</f>
        <v/>
      </c>
      <c r="K672" s="292" t="n">
        <f aca="false">$K$644+COUNTIF($Q$645:Q672,"&gt;0")</f>
        <v>0</v>
      </c>
      <c r="L672" s="292" t="str">
        <f aca="false">"Аудиоаксессуары"</f>
        <v>Аудиоаксессуары</v>
      </c>
      <c r="M672" s="292" t="str">
        <f aca="false">IF(ISBLANK(Аудиоаксессуары!$A$14),"",Аудиоаксессуары!$A$14)</f>
        <v>BL25A Nice цифровой кабель аудио конвертер iP</v>
      </c>
      <c r="N672" s="292" t="str">
        <f aca="false">IF(ISBLANK(Аудиоаксессуары!$D$14),"",Аудиоаксессуары!$D$14)</f>
        <v>6941991124761</v>
      </c>
      <c r="O672" s="292" t="str">
        <f aca="false">IF(ISBLANK(Аудиоаксессуары!$E$14),"",Аудиоаксессуары!$E$14)</f>
        <v>черный</v>
      </c>
      <c r="P672" s="292" t="str">
        <f aca="false">"ед."</f>
        <v>ед.</v>
      </c>
      <c r="Q672" s="292" t="n">
        <f aca="false">N(Аудиоаксессуары!$G$14)</f>
        <v>0</v>
      </c>
      <c r="R672" s="299" t="n">
        <f aca="false">IF(ISBLANK(Аудиоаксессуары!$F$14),"",Аудиоаксессуары!$F$14)</f>
        <v>91.33</v>
      </c>
      <c r="S672" s="292" t="str">
        <f aca="false">IF(ISBLANK(Аудиоаксессуары!$H$14),"",Аудиоаксессуары!$H$14)</f>
        <v/>
      </c>
    </row>
    <row r="673" customFormat="false" ht="66" hidden="false" customHeight="true" outlineLevel="0" collapsed="false">
      <c r="A673" s="291" t="str">
        <f aca="true">IF(ISNUMBER($J673),INDIRECT("L"&amp;($J673+4)),"")</f>
        <v/>
      </c>
      <c r="B673" s="291" t="str">
        <f aca="true">IF(ISNUMBER($J673),INDIRECT("M"&amp;($J673+4)),"")</f>
        <v/>
      </c>
      <c r="C673" s="296" t="str">
        <f aca="true">IF(ISNUMBER($J673),INDIRECT("N"&amp;($J673+4)),"")</f>
        <v/>
      </c>
      <c r="D673" s="291" t="str">
        <f aca="true">IF(ISNUMBER($J673),INDIRECT("O"&amp;($J673+4)),"")</f>
        <v/>
      </c>
      <c r="E673" s="291" t="str">
        <f aca="true">IF(ISNUMBER($J673),INDIRECT("P"&amp;($J673+4)),"")</f>
        <v/>
      </c>
      <c r="F673" s="300" t="str">
        <f aca="true">IF(ISNUMBER($J673),INDIRECT("Q"&amp;($J673+4)),"")</f>
        <v/>
      </c>
      <c r="G673" s="298" t="str">
        <f aca="true">IF(ISNUMBER($J673),INDIRECT("R"&amp;($J673+4)),"")</f>
        <v/>
      </c>
      <c r="H673" s="298" t="str">
        <f aca="true">IF(ISNUMBER($J673),INDIRECT("S"&amp;($J673+4)),"")</f>
        <v/>
      </c>
      <c r="J673" s="292" t="str">
        <f aca="true">IF(669&lt;=$K$1,MATCH(668.5,INDIRECT("$K$4:$K$1374"),1),"")</f>
        <v/>
      </c>
      <c r="K673" s="292" t="n">
        <f aca="false">$K$644+COUNTIF($Q$645:Q673,"&gt;0")</f>
        <v>0</v>
      </c>
      <c r="L673" s="292" t="str">
        <f aca="false">"Аудиоаксессуары"</f>
        <v>Аудиоаксессуары</v>
      </c>
      <c r="M673" s="292" t="str">
        <f aca="false">IF(ISBLANK(Аудиоаксессуары!$A$15),"",Аудиоаксессуары!$A$15)</f>
        <v>BL25B Nice цифровой кабель аудио конвертер Type-C</v>
      </c>
      <c r="N673" s="292" t="str">
        <f aca="false">IF(ISBLANK(Аудиоаксессуары!$D$15),"",Аудиоаксессуары!$D$15)</f>
        <v>6941991124778</v>
      </c>
      <c r="O673" s="292" t="str">
        <f aca="false">IF(ISBLANK(Аудиоаксессуары!$E$15),"",Аудиоаксессуары!$E$15)</f>
        <v>черный</v>
      </c>
      <c r="P673" s="292" t="str">
        <f aca="false">"ед."</f>
        <v>ед.</v>
      </c>
      <c r="Q673" s="292" t="n">
        <f aca="false">N(Аудиоаксессуары!$G$15)</f>
        <v>0</v>
      </c>
      <c r="R673" s="299" t="n">
        <f aca="false">IF(ISBLANK(Аудиоаксессуары!$F$15),"",Аудиоаксессуары!$F$15)</f>
        <v>73.39</v>
      </c>
      <c r="S673" s="292" t="str">
        <f aca="false">IF(ISBLANK(Аудиоаксессуары!$H$15),"",Аудиоаксессуары!$H$15)</f>
        <v/>
      </c>
    </row>
    <row r="674" customFormat="false" ht="66" hidden="false" customHeight="true" outlineLevel="0" collapsed="false">
      <c r="A674" s="291" t="str">
        <f aca="true">IF(ISNUMBER($J674),INDIRECT("L"&amp;($J674+4)),"")</f>
        <v/>
      </c>
      <c r="B674" s="291" t="str">
        <f aca="true">IF(ISNUMBER($J674),INDIRECT("M"&amp;($J674+4)),"")</f>
        <v/>
      </c>
      <c r="C674" s="296" t="str">
        <f aca="true">IF(ISNUMBER($J674),INDIRECT("N"&amp;($J674+4)),"")</f>
        <v/>
      </c>
      <c r="D674" s="291" t="str">
        <f aca="true">IF(ISNUMBER($J674),INDIRECT("O"&amp;($J674+4)),"")</f>
        <v/>
      </c>
      <c r="E674" s="291" t="str">
        <f aca="true">IF(ISNUMBER($J674),INDIRECT("P"&amp;($J674+4)),"")</f>
        <v/>
      </c>
      <c r="F674" s="300" t="str">
        <f aca="true">IF(ISNUMBER($J674),INDIRECT("Q"&amp;($J674+4)),"")</f>
        <v/>
      </c>
      <c r="G674" s="298" t="str">
        <f aca="true">IF(ISNUMBER($J674),INDIRECT("R"&amp;($J674+4)),"")</f>
        <v/>
      </c>
      <c r="H674" s="298" t="str">
        <f aca="true">IF(ISNUMBER($J674),INDIRECT("S"&amp;($J674+4)),"")</f>
        <v/>
      </c>
      <c r="J674" s="292" t="str">
        <f aca="true">IF(670&lt;=$K$1,MATCH(669.5,INDIRECT("$K$4:$K$1374"),1),"")</f>
        <v/>
      </c>
      <c r="K674" s="292" t="n">
        <f aca="false">$K$644+COUNTIF($Q$645:Q674,"&gt;0")</f>
        <v>0</v>
      </c>
      <c r="L674" s="292" t="str">
        <f aca="false">"Аудиоаксессуары"</f>
        <v>Аудиоаксессуары</v>
      </c>
      <c r="M674" s="292" t="str">
        <f aca="false">IF(ISBLANK(Аудиоаксессуары!$A$16),"",Аудиоаксессуары!$A$16)</f>
        <v>BL25D iP Fiesta цифровой аудиоконвертер</v>
      </c>
      <c r="N674" s="292" t="str">
        <f aca="false">IF(ISBLANK(Аудиоаксессуары!$D$16),"",Аудиоаксессуары!$D$16)</f>
        <v>6941991129810</v>
      </c>
      <c r="O674" s="292" t="str">
        <f aca="false">IF(ISBLANK(Аудиоаксессуары!$E$16),"",Аудиоаксессуары!$E$16)</f>
        <v>чёрный</v>
      </c>
      <c r="P674" s="292" t="str">
        <f aca="false">"ед."</f>
        <v>ед.</v>
      </c>
      <c r="Q674" s="292" t="n">
        <f aca="false">N(Аудиоаксессуары!$G$16)</f>
        <v>0</v>
      </c>
      <c r="R674" s="299" t="n">
        <f aca="false">IF(ISBLANK(Аудиоаксессуары!$F$16),"",Аудиоаксессуары!$F$16)</f>
        <v>73.39</v>
      </c>
      <c r="S674" s="292" t="str">
        <f aca="false">IF(ISBLANK(Аудиоаксессуары!$H$16),"",Аудиоаксессуары!$H$16)</f>
        <v/>
      </c>
    </row>
    <row r="675" customFormat="false" ht="66" hidden="false" customHeight="true" outlineLevel="0" collapsed="false">
      <c r="A675" s="291" t="str">
        <f aca="true">IF(ISNUMBER($J675),INDIRECT("L"&amp;($J675+4)),"")</f>
        <v/>
      </c>
      <c r="B675" s="291" t="str">
        <f aca="true">IF(ISNUMBER($J675),INDIRECT("M"&amp;($J675+4)),"")</f>
        <v/>
      </c>
      <c r="C675" s="296" t="str">
        <f aca="true">IF(ISNUMBER($J675),INDIRECT("N"&amp;($J675+4)),"")</f>
        <v/>
      </c>
      <c r="D675" s="291" t="str">
        <f aca="true">IF(ISNUMBER($J675),INDIRECT("O"&amp;($J675+4)),"")</f>
        <v/>
      </c>
      <c r="E675" s="291" t="str">
        <f aca="true">IF(ISNUMBER($J675),INDIRECT("P"&amp;($J675+4)),"")</f>
        <v/>
      </c>
      <c r="F675" s="300" t="str">
        <f aca="true">IF(ISNUMBER($J675),INDIRECT("Q"&amp;($J675+4)),"")</f>
        <v/>
      </c>
      <c r="G675" s="298" t="str">
        <f aca="true">IF(ISNUMBER($J675),INDIRECT("R"&amp;($J675+4)),"")</f>
        <v/>
      </c>
      <c r="H675" s="298" t="str">
        <f aca="true">IF(ISNUMBER($J675),INDIRECT("S"&amp;($J675+4)),"")</f>
        <v/>
      </c>
      <c r="J675" s="292" t="str">
        <f aca="true">IF(671&lt;=$K$1,MATCH(670.5,INDIRECT("$K$4:$K$1374"),1),"")</f>
        <v/>
      </c>
      <c r="K675" s="292" t="n">
        <f aca="false">$K$644+COUNTIF($Q$645:Q675,"&gt;0")</f>
        <v>0</v>
      </c>
      <c r="L675" s="292" t="str">
        <f aca="false">"Аудиоаксессуары"</f>
        <v>Аудиоаксессуары</v>
      </c>
      <c r="M675" s="292" t="str">
        <f aca="false">IF(ISBLANK(Аудиоаксессуары!$A$16),"",Аудиоаксессуары!$A$16)</f>
        <v>BL25D iP Fiesta цифровой аудиоконвертер</v>
      </c>
      <c r="N675" s="292" t="str">
        <f aca="false">IF(ISBLANK(Аудиоаксессуары!$D$17),"",Аудиоаксессуары!$D$17)</f>
        <v>6941991129827</v>
      </c>
      <c r="O675" s="292" t="str">
        <f aca="false">IF(ISBLANK(Аудиоаксессуары!$E$17),"",Аудиоаксессуары!$E$17)</f>
        <v>белый</v>
      </c>
      <c r="P675" s="292" t="str">
        <f aca="false">"ед."</f>
        <v>ед.</v>
      </c>
      <c r="Q675" s="292" t="n">
        <f aca="false">N(Аудиоаксессуары!$G$17)</f>
        <v>0</v>
      </c>
      <c r="R675" s="299" t="n">
        <f aca="false">IF(ISBLANK(Аудиоаксессуары!$F$17),"",Аудиоаксессуары!$F$17)</f>
        <v>73.39</v>
      </c>
      <c r="S675" s="292" t="str">
        <f aca="false">IF(ISBLANK(Аудиоаксессуары!$H$17),"",Аудиоаксессуары!$H$17)</f>
        <v/>
      </c>
    </row>
    <row r="676" customFormat="false" ht="66" hidden="false" customHeight="true" outlineLevel="0" collapsed="false">
      <c r="A676" s="291" t="str">
        <f aca="true">IF(ISNUMBER($J676),INDIRECT("L"&amp;($J676+4)),"")</f>
        <v/>
      </c>
      <c r="B676" s="291" t="str">
        <f aca="true">IF(ISNUMBER($J676),INDIRECT("M"&amp;($J676+4)),"")</f>
        <v/>
      </c>
      <c r="C676" s="296" t="str">
        <f aca="true">IF(ISNUMBER($J676),INDIRECT("N"&amp;($J676+4)),"")</f>
        <v/>
      </c>
      <c r="D676" s="291" t="str">
        <f aca="true">IF(ISNUMBER($J676),INDIRECT("O"&amp;($J676+4)),"")</f>
        <v/>
      </c>
      <c r="E676" s="291" t="str">
        <f aca="true">IF(ISNUMBER($J676),INDIRECT("P"&amp;($J676+4)),"")</f>
        <v/>
      </c>
      <c r="F676" s="300" t="str">
        <f aca="true">IF(ISNUMBER($J676),INDIRECT("Q"&amp;($J676+4)),"")</f>
        <v/>
      </c>
      <c r="G676" s="298" t="str">
        <f aca="true">IF(ISNUMBER($J676),INDIRECT("R"&amp;($J676+4)),"")</f>
        <v/>
      </c>
      <c r="H676" s="298" t="str">
        <f aca="true">IF(ISNUMBER($J676),INDIRECT("S"&amp;($J676+4)),"")</f>
        <v/>
      </c>
      <c r="J676" s="292" t="str">
        <f aca="true">IF(672&lt;=$K$1,MATCH(671.5,INDIRECT("$K$4:$K$1374"),1),"")</f>
        <v/>
      </c>
      <c r="K676" s="292" t="n">
        <f aca="false">$K$644+COUNTIF($Q$645:Q676,"&gt;0")</f>
        <v>0</v>
      </c>
      <c r="L676" s="292" t="str">
        <f aca="false">"Аудиоаксессуары"</f>
        <v>Аудиоаксессуары</v>
      </c>
      <c r="M676" s="292" t="str">
        <f aca="false">IF(ISBLANK(Аудиоаксессуары!$A$18),"",Аудиоаксессуары!$A$18)</f>
        <v>BL25C Type-C Fiesta цифровой аудиоконвертер</v>
      </c>
      <c r="N676" s="292" t="str">
        <f aca="false">IF(ISBLANK(Аудиоаксессуары!$D$18),"",Аудиоаксессуары!$D$18)</f>
        <v>6941991129834</v>
      </c>
      <c r="O676" s="292" t="str">
        <f aca="false">IF(ISBLANK(Аудиоаксессуары!$E$18),"",Аудиоаксессуары!$E$18)</f>
        <v>чёрный</v>
      </c>
      <c r="P676" s="292" t="str">
        <f aca="false">"ед."</f>
        <v>ед.</v>
      </c>
      <c r="Q676" s="292" t="n">
        <f aca="false">N(Аудиоаксессуары!$G$18)</f>
        <v>0</v>
      </c>
      <c r="R676" s="299" t="n">
        <f aca="false">IF(ISBLANK(Аудиоаксессуары!$F$18),"",Аудиоаксессуары!$F$18)</f>
        <v>63.61</v>
      </c>
      <c r="S676" s="292" t="str">
        <f aca="false">IF(ISBLANK(Аудиоаксессуары!$H$18),"",Аудиоаксессуары!$H$18)</f>
        <v/>
      </c>
    </row>
    <row r="677" customFormat="false" ht="66" hidden="false" customHeight="true" outlineLevel="0" collapsed="false">
      <c r="A677" s="291" t="str">
        <f aca="true">IF(ISNUMBER($J677),INDIRECT("L"&amp;($J677+4)),"")</f>
        <v/>
      </c>
      <c r="B677" s="291" t="str">
        <f aca="true">IF(ISNUMBER($J677),INDIRECT("M"&amp;($J677+4)),"")</f>
        <v/>
      </c>
      <c r="C677" s="296" t="str">
        <f aca="true">IF(ISNUMBER($J677),INDIRECT("N"&amp;($J677+4)),"")</f>
        <v/>
      </c>
      <c r="D677" s="291" t="str">
        <f aca="true">IF(ISNUMBER($J677),INDIRECT("O"&amp;($J677+4)),"")</f>
        <v/>
      </c>
      <c r="E677" s="291" t="str">
        <f aca="true">IF(ISNUMBER($J677),INDIRECT("P"&amp;($J677+4)),"")</f>
        <v/>
      </c>
      <c r="F677" s="300" t="str">
        <f aca="true">IF(ISNUMBER($J677),INDIRECT("Q"&amp;($J677+4)),"")</f>
        <v/>
      </c>
      <c r="G677" s="298" t="str">
        <f aca="true">IF(ISNUMBER($J677),INDIRECT("R"&amp;($J677+4)),"")</f>
        <v/>
      </c>
      <c r="H677" s="298" t="str">
        <f aca="true">IF(ISNUMBER($J677),INDIRECT("S"&amp;($J677+4)),"")</f>
        <v/>
      </c>
      <c r="J677" s="292" t="str">
        <f aca="true">IF(673&lt;=$K$1,MATCH(672.5,INDIRECT("$K$4:$K$1374"),1),"")</f>
        <v/>
      </c>
      <c r="K677" s="292" t="n">
        <f aca="false">$K$644+COUNTIF($Q$645:Q677,"&gt;0")</f>
        <v>0</v>
      </c>
      <c r="L677" s="292" t="str">
        <f aca="false">"Аудиоаксессуары"</f>
        <v>Аудиоаксессуары</v>
      </c>
      <c r="M677" s="292" t="str">
        <f aca="false">IF(ISBLANK(Аудиоаксессуары!$A$18),"",Аудиоаксессуары!$A$18)</f>
        <v>BL25C Type-C Fiesta цифровой аудиоконвертер</v>
      </c>
      <c r="N677" s="292" t="str">
        <f aca="false">IF(ISBLANK(Аудиоаксессуары!$D$19),"",Аудиоаксессуары!$D$19)</f>
        <v>6941991129841</v>
      </c>
      <c r="O677" s="292" t="str">
        <f aca="false">IF(ISBLANK(Аудиоаксессуары!$E$19),"",Аудиоаксессуары!$E$19)</f>
        <v>белый</v>
      </c>
      <c r="P677" s="292" t="str">
        <f aca="false">"ед."</f>
        <v>ед.</v>
      </c>
      <c r="Q677" s="292" t="n">
        <f aca="false">N(Аудиоаксессуары!$G$19)</f>
        <v>0</v>
      </c>
      <c r="R677" s="299" t="n">
        <f aca="false">IF(ISBLANK(Аудиоаксессуары!$F$19),"",Аудиоаксессуары!$F$19)</f>
        <v>63.61</v>
      </c>
      <c r="S677" s="292" t="str">
        <f aca="false">IF(ISBLANK(Аудиоаксессуары!$H$19),"",Аудиоаксессуары!$H$19)</f>
        <v/>
      </c>
    </row>
    <row r="678" customFormat="false" ht="66" hidden="false" customHeight="true" outlineLevel="0" collapsed="false">
      <c r="A678" s="291" t="str">
        <f aca="true">IF(ISNUMBER($J678),INDIRECT("L"&amp;($J678+4)),"")</f>
        <v/>
      </c>
      <c r="B678" s="291" t="str">
        <f aca="true">IF(ISNUMBER($J678),INDIRECT("M"&amp;($J678+4)),"")</f>
        <v/>
      </c>
      <c r="C678" s="296" t="str">
        <f aca="true">IF(ISNUMBER($J678),INDIRECT("N"&amp;($J678+4)),"")</f>
        <v/>
      </c>
      <c r="D678" s="291" t="str">
        <f aca="true">IF(ISNUMBER($J678),INDIRECT("O"&amp;($J678+4)),"")</f>
        <v/>
      </c>
      <c r="E678" s="291" t="str">
        <f aca="true">IF(ISNUMBER($J678),INDIRECT("P"&amp;($J678+4)),"")</f>
        <v/>
      </c>
      <c r="F678" s="300" t="str">
        <f aca="true">IF(ISNUMBER($J678),INDIRECT("Q"&amp;($J678+4)),"")</f>
        <v/>
      </c>
      <c r="G678" s="298" t="str">
        <f aca="true">IF(ISNUMBER($J678),INDIRECT("R"&amp;($J678+4)),"")</f>
        <v/>
      </c>
      <c r="H678" s="298" t="str">
        <f aca="true">IF(ISNUMBER($J678),INDIRECT("S"&amp;($J678+4)),"")</f>
        <v/>
      </c>
      <c r="J678" s="292" t="str">
        <f aca="true">IF(674&lt;=$K$1,MATCH(673.5,INDIRECT("$K$4:$K$1374"),1),"")</f>
        <v/>
      </c>
      <c r="K678" s="292" t="n">
        <f aca="false">$K$644+COUNTIF($Q$645:Q678,"&gt;0")</f>
        <v>0</v>
      </c>
      <c r="L678" s="292" t="str">
        <f aca="false">"Аудиоаксессуары"</f>
        <v>Аудиоаксессуары</v>
      </c>
      <c r="M678" s="292" t="str">
        <f aca="false">IF(ISBLANK(Аудиоаксессуары!$A$20),"",Аудиоаксессуары!$A$20)</f>
        <v>BL24 Graceful аудио кабель AUX</v>
      </c>
      <c r="N678" s="292" t="str">
        <f aca="false">IF(ISBLANK(Аудиоаксессуары!$D$20),"",Аудиоаксессуары!$D$20)</f>
        <v>6941991118968</v>
      </c>
      <c r="O678" s="292" t="str">
        <f aca="false">IF(ISBLANK(Аудиоаксессуары!$E$20),"",Аудиоаксессуары!$E$20)</f>
        <v>металлик</v>
      </c>
      <c r="P678" s="292" t="str">
        <f aca="false">"ед."</f>
        <v>ед.</v>
      </c>
      <c r="Q678" s="292" t="n">
        <f aca="false">N(Аудиоаксессуары!$G$20)</f>
        <v>0</v>
      </c>
      <c r="R678" s="299" t="n">
        <f aca="false">IF(ISBLANK(Аудиоаксессуары!$F$20),"",Аудиоаксессуары!$F$20)</f>
        <v>75.02</v>
      </c>
      <c r="S678" s="292" t="str">
        <f aca="false">IF(ISBLANK(Аудиоаксессуары!$H$20),"",Аудиоаксессуары!$H$20)</f>
        <v/>
      </c>
    </row>
    <row r="679" customFormat="false" ht="66" hidden="false" customHeight="true" outlineLevel="0" collapsed="false">
      <c r="A679" s="291" t="str">
        <f aca="true">IF(ISNUMBER($J679),INDIRECT("L"&amp;($J679+4)),"")</f>
        <v/>
      </c>
      <c r="B679" s="291" t="str">
        <f aca="true">IF(ISNUMBER($J679),INDIRECT("M"&amp;($J679+4)),"")</f>
        <v/>
      </c>
      <c r="C679" s="296" t="str">
        <f aca="true">IF(ISNUMBER($J679),INDIRECT("N"&amp;($J679+4)),"")</f>
        <v/>
      </c>
      <c r="D679" s="291" t="str">
        <f aca="true">IF(ISNUMBER($J679),INDIRECT("O"&amp;($J679+4)),"")</f>
        <v/>
      </c>
      <c r="E679" s="291" t="str">
        <f aca="true">IF(ISNUMBER($J679),INDIRECT("P"&amp;($J679+4)),"")</f>
        <v/>
      </c>
      <c r="F679" s="300" t="str">
        <f aca="true">IF(ISNUMBER($J679),INDIRECT("Q"&amp;($J679+4)),"")</f>
        <v/>
      </c>
      <c r="G679" s="298" t="str">
        <f aca="true">IF(ISNUMBER($J679),INDIRECT("R"&amp;($J679+4)),"")</f>
        <v/>
      </c>
      <c r="H679" s="298" t="str">
        <f aca="true">IF(ISNUMBER($J679),INDIRECT("S"&amp;($J679+4)),"")</f>
        <v/>
      </c>
      <c r="J679" s="292" t="str">
        <f aca="true">IF(675&lt;=$K$1,MATCH(674.5,INDIRECT("$K$4:$K$1374"),1),"")</f>
        <v/>
      </c>
      <c r="K679" s="292" t="n">
        <f aca="false">$K$644+COUNTIF($Q$645:Q679,"&gt;0")</f>
        <v>0</v>
      </c>
      <c r="L679" s="292" t="str">
        <f aca="false">"Аудиоаксессуары"</f>
        <v>Аудиоаксессуары</v>
      </c>
      <c r="M679" s="292" t="str">
        <f aca="false">IF(ISBLANK(Аудиоаксессуары!$A$21),"",Аудиоаксессуары!$A$21)</f>
        <v>BL24 Graceful цифровой аудио кабель iP</v>
      </c>
      <c r="N679" s="292" t="str">
        <f aca="false">IF(ISBLANK(Аудиоаксессуары!$D$21),"",Аудиоаксессуары!$D$21)</f>
        <v>6941991118975</v>
      </c>
      <c r="O679" s="292" t="str">
        <f aca="false">IF(ISBLANK(Аудиоаксессуары!$E$21),"",Аудиоаксессуары!$E$21)</f>
        <v>металлик</v>
      </c>
      <c r="P679" s="292" t="str">
        <f aca="false">"ед."</f>
        <v>ед.</v>
      </c>
      <c r="Q679" s="292" t="n">
        <f aca="false">N(Аудиоаксессуары!$G$21)</f>
        <v>0</v>
      </c>
      <c r="R679" s="299" t="n">
        <f aca="false">IF(ISBLANK(Аудиоаксессуары!$F$21),"",Аудиоаксессуары!$F$21)</f>
        <v>127.21</v>
      </c>
      <c r="S679" s="292" t="str">
        <f aca="false">IF(ISBLANK(Аудиоаксессуары!$H$21),"",Аудиоаксессуары!$H$21)</f>
        <v/>
      </c>
    </row>
    <row r="680" customFormat="false" ht="66" hidden="false" customHeight="true" outlineLevel="0" collapsed="false">
      <c r="A680" s="291" t="str">
        <f aca="true">IF(ISNUMBER($J680),INDIRECT("L"&amp;($J680+4)),"")</f>
        <v/>
      </c>
      <c r="B680" s="291" t="str">
        <f aca="true">IF(ISNUMBER($J680),INDIRECT("M"&amp;($J680+4)),"")</f>
        <v/>
      </c>
      <c r="C680" s="296" t="str">
        <f aca="true">IF(ISNUMBER($J680),INDIRECT("N"&amp;($J680+4)),"")</f>
        <v/>
      </c>
      <c r="D680" s="291" t="str">
        <f aca="true">IF(ISNUMBER($J680),INDIRECT("O"&amp;($J680+4)),"")</f>
        <v/>
      </c>
      <c r="E680" s="291" t="str">
        <f aca="true">IF(ISNUMBER($J680),INDIRECT("P"&amp;($J680+4)),"")</f>
        <v/>
      </c>
      <c r="F680" s="300" t="str">
        <f aca="true">IF(ISNUMBER($J680),INDIRECT("Q"&amp;($J680+4)),"")</f>
        <v/>
      </c>
      <c r="G680" s="298" t="str">
        <f aca="true">IF(ISNUMBER($J680),INDIRECT("R"&amp;($J680+4)),"")</f>
        <v/>
      </c>
      <c r="H680" s="298" t="str">
        <f aca="true">IF(ISNUMBER($J680),INDIRECT("S"&amp;($J680+4)),"")</f>
        <v/>
      </c>
      <c r="J680" s="292" t="str">
        <f aca="true">IF(676&lt;=$K$1,MATCH(675.5,INDIRECT("$K$4:$K$1374"),1),"")</f>
        <v/>
      </c>
      <c r="K680" s="292" t="n">
        <f aca="false">$K$644+COUNTIF($Q$645:Q680,"&gt;0")</f>
        <v>0</v>
      </c>
      <c r="L680" s="292" t="str">
        <f aca="false">"Аудиоаксессуары"</f>
        <v>Аудиоаксессуары</v>
      </c>
      <c r="M680" s="292" t="str">
        <f aca="false">IF(ISBLANK(Аудиоаксессуары!$A$22),"",Аудиоаксессуары!$A$22)</f>
        <v>BL24 Graceful цифровой аудио кабель Type-C</v>
      </c>
      <c r="N680" s="292" t="str">
        <f aca="false">IF(ISBLANK(Аудиоаксессуары!$D$22),"",Аудиоаксессуары!$D$22)</f>
        <v>6941991118982</v>
      </c>
      <c r="O680" s="292" t="str">
        <f aca="false">IF(ISBLANK(Аудиоаксессуары!$E$22),"",Аудиоаксессуары!$E$22)</f>
        <v>металлик</v>
      </c>
      <c r="P680" s="292" t="str">
        <f aca="false">"ед."</f>
        <v>ед.</v>
      </c>
      <c r="Q680" s="292" t="n">
        <f aca="false">N(Аудиоаксессуары!$G$22)</f>
        <v>0</v>
      </c>
      <c r="R680" s="299" t="n">
        <f aca="false">IF(ISBLANK(Аудиоаксессуары!$F$22),"",Аудиоаксессуары!$F$22)</f>
        <v>107.64</v>
      </c>
      <c r="S680" s="292" t="str">
        <f aca="false">IF(ISBLANK(Аудиоаксессуары!$H$22),"",Аудиоаксессуары!$H$22)</f>
        <v/>
      </c>
    </row>
    <row r="681" customFormat="false" ht="66" hidden="false" customHeight="true" outlineLevel="0" collapsed="false">
      <c r="A681" s="291" t="str">
        <f aca="true">IF(ISNUMBER($J681),INDIRECT("L"&amp;($J681+4)),"")</f>
        <v/>
      </c>
      <c r="B681" s="291" t="str">
        <f aca="true">IF(ISNUMBER($J681),INDIRECT("M"&amp;($J681+4)),"")</f>
        <v/>
      </c>
      <c r="C681" s="296" t="str">
        <f aca="true">IF(ISNUMBER($J681),INDIRECT("N"&amp;($J681+4)),"")</f>
        <v/>
      </c>
      <c r="D681" s="291" t="str">
        <f aca="true">IF(ISNUMBER($J681),INDIRECT("O"&amp;($J681+4)),"")</f>
        <v/>
      </c>
      <c r="E681" s="291" t="str">
        <f aca="true">IF(ISNUMBER($J681),INDIRECT("P"&amp;($J681+4)),"")</f>
        <v/>
      </c>
      <c r="F681" s="300" t="str">
        <f aca="true">IF(ISNUMBER($J681),INDIRECT("Q"&amp;($J681+4)),"")</f>
        <v/>
      </c>
      <c r="G681" s="298" t="str">
        <f aca="true">IF(ISNUMBER($J681),INDIRECT("R"&amp;($J681+4)),"")</f>
        <v/>
      </c>
      <c r="H681" s="298" t="str">
        <f aca="true">IF(ISNUMBER($J681),INDIRECT("S"&amp;($J681+4)),"")</f>
        <v/>
      </c>
      <c r="J681" s="292" t="str">
        <f aca="true">IF(677&lt;=$K$1,MATCH(676.5,INDIRECT("$K$4:$K$1374"),1),"")</f>
        <v/>
      </c>
      <c r="K681" s="292" t="n">
        <f aca="false">$K$644+COUNTIF($Q$645:Q681,"&gt;0")</f>
        <v>0</v>
      </c>
      <c r="L681" s="292" t="str">
        <f aca="false">"Аудиоаксессуары"</f>
        <v>Аудиоаксессуары</v>
      </c>
      <c r="M681" s="292" t="str">
        <f aca="false">IF(ISBLANK(Аудиоаксессуары!$A$23),"",Аудиоаксессуары!$A$23)</f>
        <v>BL21 Lemon аудио кабель AUX</v>
      </c>
      <c r="N681" s="292" t="str">
        <f aca="false">IF(ISBLANK(Аудиоаксессуары!$D$23),"",Аудиоаксессуары!$D$23)</f>
        <v>6941991116926</v>
      </c>
      <c r="O681" s="292" t="str">
        <f aca="false">IF(ISBLANK(Аудиоаксессуары!$E$23),"",Аудиоаксессуары!$E$23)</f>
        <v>белый</v>
      </c>
      <c r="P681" s="292" t="str">
        <f aca="false">"ед."</f>
        <v>ед.</v>
      </c>
      <c r="Q681" s="292" t="n">
        <f aca="false">N(Аудиоаксессуары!$G$23)</f>
        <v>0</v>
      </c>
      <c r="R681" s="299" t="n">
        <f aca="false">IF(ISBLANK(Аудиоаксессуары!$F$23),"",Аудиоаксессуары!$F$23)</f>
        <v>68.5</v>
      </c>
      <c r="S681" s="292" t="str">
        <f aca="false">IF(ISBLANK(Аудиоаксессуары!$H$23),"",Аудиоаксессуары!$H$23)</f>
        <v/>
      </c>
    </row>
    <row r="682" customFormat="false" ht="66" hidden="false" customHeight="true" outlineLevel="0" collapsed="false">
      <c r="A682" s="291" t="str">
        <f aca="true">IF(ISNUMBER($J682),INDIRECT("L"&amp;($J682+4)),"")</f>
        <v/>
      </c>
      <c r="B682" s="291" t="str">
        <f aca="true">IF(ISNUMBER($J682),INDIRECT("M"&amp;($J682+4)),"")</f>
        <v/>
      </c>
      <c r="C682" s="296" t="str">
        <f aca="true">IF(ISNUMBER($J682),INDIRECT("N"&amp;($J682+4)),"")</f>
        <v/>
      </c>
      <c r="D682" s="291" t="str">
        <f aca="true">IF(ISNUMBER($J682),INDIRECT("O"&amp;($J682+4)),"")</f>
        <v/>
      </c>
      <c r="E682" s="291" t="str">
        <f aca="true">IF(ISNUMBER($J682),INDIRECT("P"&amp;($J682+4)),"")</f>
        <v/>
      </c>
      <c r="F682" s="300" t="str">
        <f aca="true">IF(ISNUMBER($J682),INDIRECT("Q"&amp;($J682+4)),"")</f>
        <v/>
      </c>
      <c r="G682" s="298" t="str">
        <f aca="true">IF(ISNUMBER($J682),INDIRECT("R"&amp;($J682+4)),"")</f>
        <v/>
      </c>
      <c r="H682" s="298" t="str">
        <f aca="true">IF(ISNUMBER($J682),INDIRECT("S"&amp;($J682+4)),"")</f>
        <v/>
      </c>
      <c r="J682" s="292" t="str">
        <f aca="true">IF(678&lt;=$K$1,MATCH(677.5,INDIRECT("$K$4:$K$1374"),1),"")</f>
        <v/>
      </c>
      <c r="K682" s="292" t="n">
        <f aca="false">$K$644+COUNTIF($Q$645:Q682,"&gt;0")</f>
        <v>0</v>
      </c>
      <c r="L682" s="292" t="str">
        <f aca="false">"Аудиоаксессуары"</f>
        <v>Аудиоаксессуары</v>
      </c>
      <c r="M682" s="292" t="str">
        <f aca="false">IF(ISBLANK(Аудиоаксессуары!$A$24),"",Аудиоаксессуары!$A$24)</f>
        <v>BL21 Lemon цифровой кабель аудио конвертер iP</v>
      </c>
      <c r="N682" s="292" t="str">
        <f aca="false">IF(ISBLANK(Аудиоаксессуары!$D$24),"",Аудиоаксессуары!$D$24)</f>
        <v>6941991116940</v>
      </c>
      <c r="O682" s="292" t="str">
        <f aca="false">IF(ISBLANK(Аудиоаксессуары!$E$24),"",Аудиоаксессуары!$E$24)</f>
        <v>белый</v>
      </c>
      <c r="P682" s="292" t="str">
        <f aca="false">"ед."</f>
        <v>ед.</v>
      </c>
      <c r="Q682" s="292" t="n">
        <f aca="false">N(Аудиоаксессуары!$G$24)</f>
        <v>0</v>
      </c>
      <c r="R682" s="299" t="n">
        <f aca="false">IF(ISBLANK(Аудиоаксессуары!$F$24),"",Аудиоаксессуары!$F$24)</f>
        <v>128.84</v>
      </c>
      <c r="S682" s="292" t="str">
        <f aca="false">IF(ISBLANK(Аудиоаксессуары!$H$24),"",Аудиоаксессуары!$H$24)</f>
        <v/>
      </c>
    </row>
    <row r="683" customFormat="false" ht="66" hidden="false" customHeight="true" outlineLevel="0" collapsed="false">
      <c r="A683" s="291" t="str">
        <f aca="true">IF(ISNUMBER($J683),INDIRECT("L"&amp;($J683+4)),"")</f>
        <v/>
      </c>
      <c r="B683" s="291" t="str">
        <f aca="true">IF(ISNUMBER($J683),INDIRECT("M"&amp;($J683+4)),"")</f>
        <v/>
      </c>
      <c r="C683" s="296" t="str">
        <f aca="true">IF(ISNUMBER($J683),INDIRECT("N"&amp;($J683+4)),"")</f>
        <v/>
      </c>
      <c r="D683" s="291" t="str">
        <f aca="true">IF(ISNUMBER($J683),INDIRECT("O"&amp;($J683+4)),"")</f>
        <v/>
      </c>
      <c r="E683" s="291" t="str">
        <f aca="true">IF(ISNUMBER($J683),INDIRECT("P"&amp;($J683+4)),"")</f>
        <v/>
      </c>
      <c r="F683" s="300" t="str">
        <f aca="true">IF(ISNUMBER($J683),INDIRECT("Q"&amp;($J683+4)),"")</f>
        <v/>
      </c>
      <c r="G683" s="298" t="str">
        <f aca="true">IF(ISNUMBER($J683),INDIRECT("R"&amp;($J683+4)),"")</f>
        <v/>
      </c>
      <c r="H683" s="298" t="str">
        <f aca="true">IF(ISNUMBER($J683),INDIRECT("S"&amp;($J683+4)),"")</f>
        <v/>
      </c>
      <c r="J683" s="292" t="str">
        <f aca="true">IF(679&lt;=$K$1,MATCH(678.5,INDIRECT("$K$4:$K$1374"),1),"")</f>
        <v/>
      </c>
      <c r="K683" s="292" t="n">
        <f aca="false">$K$644+COUNTIF($Q$645:Q683,"&gt;0")</f>
        <v>0</v>
      </c>
      <c r="L683" s="292" t="str">
        <f aca="false">"Аудиоаксессуары"</f>
        <v>Аудиоаксессуары</v>
      </c>
      <c r="M683" s="292" t="str">
        <f aca="false">IF(ISBLANK(Аудиоаксессуары!$A$25),"",Аудиоаксессуары!$A$25)</f>
        <v>BL19 Creator AUX аудио кабель</v>
      </c>
      <c r="N683" s="292" t="str">
        <f aca="false">IF(ISBLANK(Аудиоаксессуары!$D$25),"",Аудиоаксессуары!$D$25)</f>
        <v>6941991108310</v>
      </c>
      <c r="O683" s="292" t="str">
        <f aca="false">IF(ISBLANK(Аудиоаксессуары!$E$25),"",Аудиоаксессуары!$E$25)</f>
        <v>черный</v>
      </c>
      <c r="P683" s="292" t="str">
        <f aca="false">"ед."</f>
        <v>ед.</v>
      </c>
      <c r="Q683" s="292" t="n">
        <f aca="false">N(Аудиоаксессуары!$G$25)</f>
        <v>0</v>
      </c>
      <c r="R683" s="299" t="n">
        <f aca="false">IF(ISBLANK(Аудиоаксессуары!$F$25),"",Аудиоаксессуары!$F$25)</f>
        <v>61.98</v>
      </c>
      <c r="S683" s="292" t="str">
        <f aca="false">IF(ISBLANK(Аудиоаксессуары!$H$25),"",Аудиоаксессуары!$H$25)</f>
        <v/>
      </c>
    </row>
    <row r="684" customFormat="false" ht="66" hidden="false" customHeight="true" outlineLevel="0" collapsed="false">
      <c r="A684" s="291" t="str">
        <f aca="true">IF(ISNUMBER($J684),INDIRECT("L"&amp;($J684+4)),"")</f>
        <v/>
      </c>
      <c r="B684" s="291" t="str">
        <f aca="true">IF(ISNUMBER($J684),INDIRECT("M"&amp;($J684+4)),"")</f>
        <v/>
      </c>
      <c r="C684" s="296" t="str">
        <f aca="true">IF(ISNUMBER($J684),INDIRECT("N"&amp;($J684+4)),"")</f>
        <v/>
      </c>
      <c r="D684" s="291" t="str">
        <f aca="true">IF(ISNUMBER($J684),INDIRECT("O"&amp;($J684+4)),"")</f>
        <v/>
      </c>
      <c r="E684" s="291" t="str">
        <f aca="true">IF(ISNUMBER($J684),INDIRECT("P"&amp;($J684+4)),"")</f>
        <v/>
      </c>
      <c r="F684" s="300" t="str">
        <f aca="true">IF(ISNUMBER($J684),INDIRECT("Q"&amp;($J684+4)),"")</f>
        <v/>
      </c>
      <c r="G684" s="298" t="str">
        <f aca="true">IF(ISNUMBER($J684),INDIRECT("R"&amp;($J684+4)),"")</f>
        <v/>
      </c>
      <c r="H684" s="298" t="str">
        <f aca="true">IF(ISNUMBER($J684),INDIRECT("S"&amp;($J684+4)),"")</f>
        <v/>
      </c>
      <c r="J684" s="292" t="str">
        <f aca="true">IF(680&lt;=$K$1,MATCH(679.5,INDIRECT("$K$4:$K$1374"),1),"")</f>
        <v/>
      </c>
      <c r="K684" s="292" t="n">
        <f aca="false">$K$644+COUNTIF($Q$645:Q684,"&gt;0")</f>
        <v>0</v>
      </c>
      <c r="L684" s="292" t="str">
        <f aca="false">"Аудиоаксессуары"</f>
        <v>Аудиоаксессуары</v>
      </c>
      <c r="M684" s="292" t="str">
        <f aca="false">IF(ISBLANK(Аудиоаксессуары!$A$25),"",Аудиоаксессуары!$A$25)</f>
        <v>BL19 Creator AUX аудио кабель</v>
      </c>
      <c r="N684" s="292" t="str">
        <f aca="false">IF(ISBLANK(Аудиоаксессуары!$D$26),"",Аудиоаксессуары!$D$26)</f>
        <v>6941991108563</v>
      </c>
      <c r="O684" s="292" t="str">
        <f aca="false">IF(ISBLANK(Аудиоаксессуары!$E$26),"",Аудиоаксессуары!$E$26)</f>
        <v>белый</v>
      </c>
      <c r="P684" s="292" t="str">
        <f aca="false">"ед."</f>
        <v>ед.</v>
      </c>
      <c r="Q684" s="292" t="n">
        <f aca="false">N(Аудиоаксессуары!$G$26)</f>
        <v>0</v>
      </c>
      <c r="R684" s="299" t="n">
        <f aca="false">IF(ISBLANK(Аудиоаксессуары!$F$26),"",Аудиоаксессуары!$F$26)</f>
        <v>61.98</v>
      </c>
      <c r="S684" s="292" t="str">
        <f aca="false">IF(ISBLANK(Аудиоаксессуары!$H$26),"",Аудиоаксессуары!$H$26)</f>
        <v/>
      </c>
    </row>
    <row r="685" customFormat="false" ht="66" hidden="false" customHeight="true" outlineLevel="0" collapsed="false">
      <c r="A685" s="291" t="str">
        <f aca="true">IF(ISNUMBER($J685),INDIRECT("L"&amp;($J685+4)),"")</f>
        <v/>
      </c>
      <c r="B685" s="291" t="str">
        <f aca="true">IF(ISNUMBER($J685),INDIRECT("M"&amp;($J685+4)),"")</f>
        <v/>
      </c>
      <c r="C685" s="296" t="str">
        <f aca="true">IF(ISNUMBER($J685),INDIRECT("N"&amp;($J685+4)),"")</f>
        <v/>
      </c>
      <c r="D685" s="291" t="str">
        <f aca="true">IF(ISNUMBER($J685),INDIRECT("O"&amp;($J685+4)),"")</f>
        <v/>
      </c>
      <c r="E685" s="291" t="str">
        <f aca="true">IF(ISNUMBER($J685),INDIRECT("P"&amp;($J685+4)),"")</f>
        <v/>
      </c>
      <c r="F685" s="300" t="str">
        <f aca="true">IF(ISNUMBER($J685),INDIRECT("Q"&amp;($J685+4)),"")</f>
        <v/>
      </c>
      <c r="G685" s="298" t="str">
        <f aca="true">IF(ISNUMBER($J685),INDIRECT("R"&amp;($J685+4)),"")</f>
        <v/>
      </c>
      <c r="H685" s="298" t="str">
        <f aca="true">IF(ISNUMBER($J685),INDIRECT("S"&amp;($J685+4)),"")</f>
        <v/>
      </c>
      <c r="J685" s="292" t="str">
        <f aca="true">IF(681&lt;=$K$1,MATCH(680.5,INDIRECT("$K$4:$K$1374"),1),"")</f>
        <v/>
      </c>
      <c r="K685" s="292" t="n">
        <f aca="false">$K$644+COUNTIF($Q$645:Q685,"&gt;0")</f>
        <v>0</v>
      </c>
      <c r="L685" s="292" t="str">
        <f aca="false">"Аудиоаксессуары"</f>
        <v>Аудиоаксессуары</v>
      </c>
      <c r="M685" s="292" t="str">
        <f aca="false">IF(ISBLANK(Аудиоаксессуары!$A$27),"",Аудиоаксессуары!$A$27)</f>
        <v>BL19 Creator цифровой аудио кабель конвертер iP</v>
      </c>
      <c r="N685" s="292" t="str">
        <f aca="false">IF(ISBLANK(Аудиоаксессуары!$D$27),"",Аудиоаксессуары!$D$27)</f>
        <v>6941991108327</v>
      </c>
      <c r="O685" s="292" t="str">
        <f aca="false">IF(ISBLANK(Аудиоаксессуары!$E$27),"",Аудиоаксессуары!$E$27)</f>
        <v>черный</v>
      </c>
      <c r="P685" s="292" t="str">
        <f aca="false">"ед."</f>
        <v>ед.</v>
      </c>
      <c r="Q685" s="292" t="n">
        <f aca="false">N(Аудиоаксессуары!$G$27)</f>
        <v>0</v>
      </c>
      <c r="R685" s="299" t="n">
        <f aca="false">IF(ISBLANK(Аудиоаксессуары!$F$27),"",Аудиоаксессуары!$F$27)</f>
        <v>123.95</v>
      </c>
      <c r="S685" s="292" t="str">
        <f aca="false">IF(ISBLANK(Аудиоаксессуары!$H$27),"",Аудиоаксессуары!$H$27)</f>
        <v/>
      </c>
    </row>
    <row r="686" customFormat="false" ht="66" hidden="false" customHeight="true" outlineLevel="0" collapsed="false">
      <c r="A686" s="291" t="str">
        <f aca="true">IF(ISNUMBER($J686),INDIRECT("L"&amp;($J686+4)),"")</f>
        <v/>
      </c>
      <c r="B686" s="291" t="str">
        <f aca="true">IF(ISNUMBER($J686),INDIRECT("M"&amp;($J686+4)),"")</f>
        <v/>
      </c>
      <c r="C686" s="296" t="str">
        <f aca="true">IF(ISNUMBER($J686),INDIRECT("N"&amp;($J686+4)),"")</f>
        <v/>
      </c>
      <c r="D686" s="291" t="str">
        <f aca="true">IF(ISNUMBER($J686),INDIRECT("O"&amp;($J686+4)),"")</f>
        <v/>
      </c>
      <c r="E686" s="291" t="str">
        <f aca="true">IF(ISNUMBER($J686),INDIRECT("P"&amp;($J686+4)),"")</f>
        <v/>
      </c>
      <c r="F686" s="300" t="str">
        <f aca="true">IF(ISNUMBER($J686),INDIRECT("Q"&amp;($J686+4)),"")</f>
        <v/>
      </c>
      <c r="G686" s="298" t="str">
        <f aca="true">IF(ISNUMBER($J686),INDIRECT("R"&amp;($J686+4)),"")</f>
        <v/>
      </c>
      <c r="H686" s="298" t="str">
        <f aca="true">IF(ISNUMBER($J686),INDIRECT("S"&amp;($J686+4)),"")</f>
        <v/>
      </c>
      <c r="J686" s="292" t="str">
        <f aca="true">IF(682&lt;=$K$1,MATCH(681.5,INDIRECT("$K$4:$K$1374"),1),"")</f>
        <v/>
      </c>
      <c r="K686" s="292" t="n">
        <f aca="false">$K$644+COUNTIF($Q$645:Q686,"&gt;0")</f>
        <v>0</v>
      </c>
      <c r="L686" s="292" t="str">
        <f aca="false">"Аудиоаксессуары"</f>
        <v>Аудиоаксессуары</v>
      </c>
      <c r="M686" s="292" t="str">
        <f aca="false">IF(ISBLANK(Аудиоаксессуары!$A$27),"",Аудиоаксессуары!$A$27)</f>
        <v>BL19 Creator цифровой аудио кабель конвертер iP</v>
      </c>
      <c r="N686" s="292" t="str">
        <f aca="false">IF(ISBLANK(Аудиоаксессуары!$D$28),"",Аудиоаксессуары!$D$28)</f>
        <v>6941991108570</v>
      </c>
      <c r="O686" s="292" t="str">
        <f aca="false">IF(ISBLANK(Аудиоаксессуары!$E$28),"",Аудиоаксессуары!$E$28)</f>
        <v>белый</v>
      </c>
      <c r="P686" s="292" t="str">
        <f aca="false">"ед."</f>
        <v>ед.</v>
      </c>
      <c r="Q686" s="292" t="n">
        <f aca="false">N(Аудиоаксессуары!$G$28)</f>
        <v>0</v>
      </c>
      <c r="R686" s="299" t="n">
        <f aca="false">IF(ISBLANK(Аудиоаксессуары!$F$28),"",Аудиоаксессуары!$F$28)</f>
        <v>123.95</v>
      </c>
      <c r="S686" s="292" t="str">
        <f aca="false">IF(ISBLANK(Аудиоаксессуары!$H$28),"",Аудиоаксессуары!$H$28)</f>
        <v/>
      </c>
    </row>
    <row r="687" customFormat="false" ht="66" hidden="false" customHeight="true" outlineLevel="0" collapsed="false">
      <c r="A687" s="291" t="str">
        <f aca="true">IF(ISNUMBER($J687),INDIRECT("L"&amp;($J687+4)),"")</f>
        <v/>
      </c>
      <c r="B687" s="291" t="str">
        <f aca="true">IF(ISNUMBER($J687),INDIRECT("M"&amp;($J687+4)),"")</f>
        <v/>
      </c>
      <c r="C687" s="296" t="str">
        <f aca="true">IF(ISNUMBER($J687),INDIRECT("N"&amp;($J687+4)),"")</f>
        <v/>
      </c>
      <c r="D687" s="291" t="str">
        <f aca="true">IF(ISNUMBER($J687),INDIRECT("O"&amp;($J687+4)),"")</f>
        <v/>
      </c>
      <c r="E687" s="291" t="str">
        <f aca="true">IF(ISNUMBER($J687),INDIRECT("P"&amp;($J687+4)),"")</f>
        <v/>
      </c>
      <c r="F687" s="300" t="str">
        <f aca="true">IF(ISNUMBER($J687),INDIRECT("Q"&amp;($J687+4)),"")</f>
        <v/>
      </c>
      <c r="G687" s="298" t="str">
        <f aca="true">IF(ISNUMBER($J687),INDIRECT("R"&amp;($J687+4)),"")</f>
        <v/>
      </c>
      <c r="H687" s="298" t="str">
        <f aca="true">IF(ISNUMBER($J687),INDIRECT("S"&amp;($J687+4)),"")</f>
        <v/>
      </c>
      <c r="J687" s="292" t="str">
        <f aca="true">IF(683&lt;=$K$1,MATCH(682.5,INDIRECT("$K$4:$K$1374"),1),"")</f>
        <v/>
      </c>
      <c r="K687" s="292" t="n">
        <f aca="false">$K$644+COUNTIF($Q$645:Q687,"&gt;0")</f>
        <v>0</v>
      </c>
      <c r="L687" s="292" t="str">
        <f aca="false">"Аудиоаксессуары"</f>
        <v>Аудиоаксессуары</v>
      </c>
      <c r="M687" s="292" t="str">
        <f aca="false">IF(ISBLANK(Аудиоаксессуары!$A$29),"",Аудиоаксессуары!$A$29)</f>
        <v>BL19 Creator цифровой аудио кабель конвертер Type-C</v>
      </c>
      <c r="N687" s="292" t="str">
        <f aca="false">IF(ISBLANK(Аудиоаксессуары!$D$29),"",Аудиоаксессуары!$D$29)</f>
        <v>6941991108334</v>
      </c>
      <c r="O687" s="292" t="str">
        <f aca="false">IF(ISBLANK(Аудиоаксессуары!$E$29),"",Аудиоаксессуары!$E$29)</f>
        <v>черный</v>
      </c>
      <c r="P687" s="292" t="str">
        <f aca="false">"ед."</f>
        <v>ед.</v>
      </c>
      <c r="Q687" s="292" t="n">
        <f aca="false">N(Аудиоаксессуары!$G$29)</f>
        <v>0</v>
      </c>
      <c r="R687" s="299" t="n">
        <f aca="false">IF(ISBLANK(Аудиоаксессуары!$F$29),"",Аудиоаксессуары!$F$29)</f>
        <v>106.01</v>
      </c>
      <c r="S687" s="292" t="str">
        <f aca="false">IF(ISBLANK(Аудиоаксессуары!$H$29),"",Аудиоаксессуары!$H$29)</f>
        <v/>
      </c>
    </row>
    <row r="688" customFormat="false" ht="66" hidden="false" customHeight="true" outlineLevel="0" collapsed="false">
      <c r="A688" s="291" t="str">
        <f aca="true">IF(ISNUMBER($J688),INDIRECT("L"&amp;($J688+4)),"")</f>
        <v/>
      </c>
      <c r="B688" s="291" t="str">
        <f aca="true">IF(ISNUMBER($J688),INDIRECT("M"&amp;($J688+4)),"")</f>
        <v/>
      </c>
      <c r="C688" s="296" t="str">
        <f aca="true">IF(ISNUMBER($J688),INDIRECT("N"&amp;($J688+4)),"")</f>
        <v/>
      </c>
      <c r="D688" s="291" t="str">
        <f aca="true">IF(ISNUMBER($J688),INDIRECT("O"&amp;($J688+4)),"")</f>
        <v/>
      </c>
      <c r="E688" s="291" t="str">
        <f aca="true">IF(ISNUMBER($J688),INDIRECT("P"&amp;($J688+4)),"")</f>
        <v/>
      </c>
      <c r="F688" s="300" t="str">
        <f aca="true">IF(ISNUMBER($J688),INDIRECT("Q"&amp;($J688+4)),"")</f>
        <v/>
      </c>
      <c r="G688" s="298" t="str">
        <f aca="true">IF(ISNUMBER($J688),INDIRECT("R"&amp;($J688+4)),"")</f>
        <v/>
      </c>
      <c r="H688" s="298" t="str">
        <f aca="true">IF(ISNUMBER($J688),INDIRECT("S"&amp;($J688+4)),"")</f>
        <v/>
      </c>
      <c r="J688" s="292" t="str">
        <f aca="true">IF(684&lt;=$K$1,MATCH(683.5,INDIRECT("$K$4:$K$1374"),1),"")</f>
        <v/>
      </c>
      <c r="K688" s="292" t="n">
        <f aca="false">$K$644+COUNTIF($Q$645:Q688,"&gt;0")</f>
        <v>0</v>
      </c>
      <c r="L688" s="292" t="str">
        <f aca="false">"Аудиоаксессуары"</f>
        <v>Аудиоаксессуары</v>
      </c>
      <c r="M688" s="292" t="str">
        <f aca="false">IF(ISBLANK(Аудиоаксессуары!$A$29),"",Аудиоаксессуары!$A$29)</f>
        <v>BL19 Creator цифровой аудио кабель конвертер Type-C</v>
      </c>
      <c r="N688" s="292" t="str">
        <f aca="false">IF(ISBLANK(Аудиоаксессуары!$D$30),"",Аудиоаксессуары!$D$30)</f>
        <v>6941991108587</v>
      </c>
      <c r="O688" s="292" t="str">
        <f aca="false">IF(ISBLANK(Аудиоаксессуары!$E$30),"",Аудиоаксессуары!$E$30)</f>
        <v>белый</v>
      </c>
      <c r="P688" s="292" t="str">
        <f aca="false">"ед."</f>
        <v>ед.</v>
      </c>
      <c r="Q688" s="292" t="n">
        <f aca="false">N(Аудиоаксессуары!$G$30)</f>
        <v>0</v>
      </c>
      <c r="R688" s="299" t="n">
        <f aca="false">IF(ISBLANK(Аудиоаксессуары!$F$30),"",Аудиоаксессуары!$F$30)</f>
        <v>106.01</v>
      </c>
      <c r="S688" s="292" t="str">
        <f aca="false">IF(ISBLANK(Аудиоаксессуары!$H$30),"",Аудиоаксессуары!$H$30)</f>
        <v/>
      </c>
    </row>
    <row r="689" customFormat="false" ht="66" hidden="false" customHeight="true" outlineLevel="0" collapsed="false">
      <c r="A689" s="291" t="str">
        <f aca="true">IF(ISNUMBER($J689),INDIRECT("L"&amp;($J689+4)),"")</f>
        <v/>
      </c>
      <c r="B689" s="291" t="str">
        <f aca="true">IF(ISNUMBER($J689),INDIRECT("M"&amp;($J689+4)),"")</f>
        <v/>
      </c>
      <c r="C689" s="296" t="str">
        <f aca="true">IF(ISNUMBER($J689),INDIRECT("N"&amp;($J689+4)),"")</f>
        <v/>
      </c>
      <c r="D689" s="291" t="str">
        <f aca="true">IF(ISNUMBER($J689),INDIRECT("O"&amp;($J689+4)),"")</f>
        <v/>
      </c>
      <c r="E689" s="291" t="str">
        <f aca="true">IF(ISNUMBER($J689),INDIRECT("P"&amp;($J689+4)),"")</f>
        <v/>
      </c>
      <c r="F689" s="300" t="str">
        <f aca="true">IF(ISNUMBER($J689),INDIRECT("Q"&amp;($J689+4)),"")</f>
        <v/>
      </c>
      <c r="G689" s="298" t="str">
        <f aca="true">IF(ISNUMBER($J689),INDIRECT("R"&amp;($J689+4)),"")</f>
        <v/>
      </c>
      <c r="H689" s="298" t="str">
        <f aca="true">IF(ISNUMBER($J689),INDIRECT("S"&amp;($J689+4)),"")</f>
        <v/>
      </c>
      <c r="J689" s="292" t="str">
        <f aca="true">IF(685&lt;=$K$1,MATCH(684.5,INDIRECT("$K$4:$K$1374"),1),"")</f>
        <v/>
      </c>
      <c r="K689" s="292" t="n">
        <f aca="false">$K$644+COUNTIF($Q$645:Q689,"&gt;0")</f>
        <v>0</v>
      </c>
      <c r="L689" s="292" t="str">
        <f aca="false">"Аудиоаксессуары"</f>
        <v>Аудиоаксессуары</v>
      </c>
      <c r="M689" s="292" t="str">
        <f aca="false">IF(ISBLANK(Аудиоаксессуары!$A$31),"",Аудиоаксессуары!$A$31)</f>
        <v>BL16 Clear sound AUX аудио кабель</v>
      </c>
      <c r="N689" s="292" t="str">
        <f aca="false">IF(ISBLANK(Аудиоаксессуары!$D$31),"",Аудиоаксессуары!$D$31)</f>
        <v>6974443389166</v>
      </c>
      <c r="O689" s="292" t="str">
        <f aca="false">IF(ISBLANK(Аудиоаксессуары!$E$31),"",Аудиоаксессуары!$E$31)</f>
        <v>черный</v>
      </c>
      <c r="P689" s="292" t="str">
        <f aca="false">"ед."</f>
        <v>ед.</v>
      </c>
      <c r="Q689" s="292" t="n">
        <f aca="false">N(Аудиоаксессуары!$G$31)</f>
        <v>0</v>
      </c>
      <c r="R689" s="299" t="n">
        <f aca="false">IF(ISBLANK(Аудиоаксессуары!$F$31),"",Аудиоаксессуары!$F$31)</f>
        <v>48.93</v>
      </c>
      <c r="S689" s="292" t="str">
        <f aca="false">IF(ISBLANK(Аудиоаксессуары!$H$31),"",Аудиоаксессуары!$H$31)</f>
        <v/>
      </c>
    </row>
    <row r="690" customFormat="false" ht="66" hidden="false" customHeight="true" outlineLevel="0" collapsed="false">
      <c r="A690" s="291" t="str">
        <f aca="true">IF(ISNUMBER($J690),INDIRECT("L"&amp;($J690+4)),"")</f>
        <v/>
      </c>
      <c r="B690" s="291" t="str">
        <f aca="true">IF(ISNUMBER($J690),INDIRECT("M"&amp;($J690+4)),"")</f>
        <v/>
      </c>
      <c r="C690" s="296" t="str">
        <f aca="true">IF(ISNUMBER($J690),INDIRECT("N"&amp;($J690+4)),"")</f>
        <v/>
      </c>
      <c r="D690" s="291" t="str">
        <f aca="true">IF(ISNUMBER($J690),INDIRECT("O"&amp;($J690+4)),"")</f>
        <v/>
      </c>
      <c r="E690" s="291" t="str">
        <f aca="true">IF(ISNUMBER($J690),INDIRECT("P"&amp;($J690+4)),"")</f>
        <v/>
      </c>
      <c r="F690" s="300" t="str">
        <f aca="true">IF(ISNUMBER($J690),INDIRECT("Q"&amp;($J690+4)),"")</f>
        <v/>
      </c>
      <c r="G690" s="298" t="str">
        <f aca="true">IF(ISNUMBER($J690),INDIRECT("R"&amp;($J690+4)),"")</f>
        <v/>
      </c>
      <c r="H690" s="298" t="str">
        <f aca="true">IF(ISNUMBER($J690),INDIRECT("S"&amp;($J690+4)),"")</f>
        <v/>
      </c>
      <c r="J690" s="292" t="str">
        <f aca="true">IF(686&lt;=$K$1,MATCH(685.5,INDIRECT("$K$4:$K$1374"),1),"")</f>
        <v/>
      </c>
      <c r="K690" s="292" t="n">
        <f aca="false">$K$644+COUNTIF($Q$645:Q690,"&gt;0")</f>
        <v>0</v>
      </c>
      <c r="L690" s="292" t="str">
        <f aca="false">"Аудиоаксессуары"</f>
        <v>Аудиоаксессуары</v>
      </c>
      <c r="M690" s="292" t="str">
        <f aca="false">IF(ISBLANK(Аудиоаксессуары!$A$32),"",Аудиоаксессуары!$A$32)</f>
        <v>BL11 3.5mm на два RCA аудио кабель</v>
      </c>
      <c r="N690" s="292" t="str">
        <f aca="false">IF(ISBLANK(Аудиоаксессуары!$D$32),"",Аудиоаксессуары!$D$32)</f>
        <v>6974443382204</v>
      </c>
      <c r="O690" s="292" t="str">
        <f aca="false">IF(ISBLANK(Аудиоаксессуары!$E$32),"",Аудиоаксессуары!$E$32)</f>
        <v>черный</v>
      </c>
      <c r="P690" s="292" t="str">
        <f aca="false">"ед."</f>
        <v>ед.</v>
      </c>
      <c r="Q690" s="292" t="n">
        <f aca="false">N(Аудиоаксессуары!$G$32)</f>
        <v>0</v>
      </c>
      <c r="R690" s="299" t="n">
        <f aca="false">IF(ISBLANK(Аудиоаксессуары!$F$32),"",Аудиоаксессуары!$F$32)</f>
        <v>114.17</v>
      </c>
      <c r="S690" s="292" t="str">
        <f aca="false">IF(ISBLANK(Аудиоаксессуары!$H$32),"",Аудиоаксессуары!$H$32)</f>
        <v/>
      </c>
    </row>
    <row r="691" customFormat="false" ht="66" hidden="false" customHeight="true" outlineLevel="0" collapsed="false">
      <c r="A691" s="291" t="str">
        <f aca="true">IF(ISNUMBER($J691),INDIRECT("L"&amp;($J691+4)),"")</f>
        <v/>
      </c>
      <c r="B691" s="291" t="str">
        <f aca="true">IF(ISNUMBER($J691),INDIRECT("M"&amp;($J691+4)),"")</f>
        <v/>
      </c>
      <c r="C691" s="296" t="str">
        <f aca="true">IF(ISNUMBER($J691),INDIRECT("N"&amp;($J691+4)),"")</f>
        <v/>
      </c>
      <c r="D691" s="291" t="str">
        <f aca="true">IF(ISNUMBER($J691),INDIRECT("O"&amp;($J691+4)),"")</f>
        <v/>
      </c>
      <c r="E691" s="291" t="str">
        <f aca="true">IF(ISNUMBER($J691),INDIRECT("P"&amp;($J691+4)),"")</f>
        <v/>
      </c>
      <c r="F691" s="300" t="str">
        <f aca="true">IF(ISNUMBER($J691),INDIRECT("Q"&amp;($J691+4)),"")</f>
        <v/>
      </c>
      <c r="G691" s="298" t="str">
        <f aca="true">IF(ISNUMBER($J691),INDIRECT("R"&amp;($J691+4)),"")</f>
        <v/>
      </c>
      <c r="H691" s="298" t="str">
        <f aca="true">IF(ISNUMBER($J691),INDIRECT("S"&amp;($J691+4)),"")</f>
        <v/>
      </c>
      <c r="J691" s="292" t="str">
        <f aca="true">IF(687&lt;=$K$1,MATCH(686.5,INDIRECT("$K$4:$K$1374"),1),"")</f>
        <v/>
      </c>
      <c r="K691" s="292" t="n">
        <f aca="false">$K$644+COUNTIF($Q$645:Q691,"&gt;0")</f>
        <v>0</v>
      </c>
      <c r="L691" s="292" t="str">
        <f aca="false">"Аудиоаксессуары"</f>
        <v>Аудиоаксессуары</v>
      </c>
      <c r="M691" s="292" t="str">
        <f aca="false">IF(ISBLANK(Аудиоаксессуары!$A$35),"",Аудиоаксессуары!$A$35)</f>
        <v>BV24 Graceful цифровой кабель аудио конвертер Type-C на 3.5mm</v>
      </c>
      <c r="N691" s="292" t="str">
        <f aca="false">IF(ISBLANK(Аудиоаксессуары!$D$35),"",Аудиоаксессуары!$D$35)</f>
        <v>6941991118999</v>
      </c>
      <c r="O691" s="292" t="str">
        <f aca="false">IF(ISBLANK(Аудиоаксессуары!$E$35),"",Аудиоаксессуары!$E$35)</f>
        <v>металлик</v>
      </c>
      <c r="P691" s="292" t="str">
        <f aca="false">"ед."</f>
        <v>ед.</v>
      </c>
      <c r="Q691" s="292" t="n">
        <f aca="false">N(Аудиоаксессуары!$G$35)</f>
        <v>0</v>
      </c>
      <c r="R691" s="299" t="n">
        <f aca="false">IF(ISBLANK(Аудиоаксессуары!$F$35),"",Аудиоаксессуары!$F$35)</f>
        <v>96.23</v>
      </c>
      <c r="S691" s="292" t="str">
        <f aca="false">IF(ISBLANK(Аудиоаксессуары!$H$35),"",Аудиоаксессуары!$H$35)</f>
        <v/>
      </c>
    </row>
    <row r="692" customFormat="false" ht="66" hidden="false" customHeight="true" outlineLevel="0" collapsed="false">
      <c r="A692" s="291" t="str">
        <f aca="true">IF(ISNUMBER($J692),INDIRECT("L"&amp;($J692+4)),"")</f>
        <v/>
      </c>
      <c r="B692" s="291" t="str">
        <f aca="true">IF(ISNUMBER($J692),INDIRECT("M"&amp;($J692+4)),"")</f>
        <v/>
      </c>
      <c r="C692" s="296" t="str">
        <f aca="true">IF(ISNUMBER($J692),INDIRECT("N"&amp;($J692+4)),"")</f>
        <v/>
      </c>
      <c r="D692" s="291" t="str">
        <f aca="true">IF(ISNUMBER($J692),INDIRECT("O"&amp;($J692+4)),"")</f>
        <v/>
      </c>
      <c r="E692" s="291" t="str">
        <f aca="true">IF(ISNUMBER($J692),INDIRECT("P"&amp;($J692+4)),"")</f>
        <v/>
      </c>
      <c r="F692" s="300" t="str">
        <f aca="true">IF(ISNUMBER($J692),INDIRECT("Q"&amp;($J692+4)),"")</f>
        <v/>
      </c>
      <c r="G692" s="298" t="str">
        <f aca="true">IF(ISNUMBER($J692),INDIRECT("R"&amp;($J692+4)),"")</f>
        <v/>
      </c>
      <c r="H692" s="298" t="str">
        <f aca="true">IF(ISNUMBER($J692),INDIRECT("S"&amp;($J692+4)),"")</f>
        <v/>
      </c>
      <c r="J692" s="292" t="str">
        <f aca="true">IF(688&lt;=$K$1,MATCH(687.5,INDIRECT("$K$4:$K$1374"),1),"")</f>
        <v/>
      </c>
      <c r="K692" s="292" t="n">
        <f aca="false">$K$644+COUNTIF($Q$645:Q692,"&gt;0")</f>
        <v>0</v>
      </c>
      <c r="L692" s="292" t="str">
        <f aca="false">"Аудиоаксессуары"</f>
        <v>Аудиоаксессуары</v>
      </c>
      <c r="M692" s="292" t="str">
        <f aca="false">IF(ISBLANK(Аудиоаксессуары!$A$36),"",Аудиоаксессуары!$A$36)</f>
        <v>BV24 Graceful цифровой кабель аудио конвертер iP на 3.5mm</v>
      </c>
      <c r="N692" s="292" t="str">
        <f aca="false">IF(ISBLANK(Аудиоаксессуары!$D$36),"",Аудиоаксессуары!$D$36)</f>
        <v>6941991120398</v>
      </c>
      <c r="O692" s="292" t="str">
        <f aca="false">IF(ISBLANK(Аудиоаксессуары!$E$36),"",Аудиоаксессуары!$E$36)</f>
        <v>металлик</v>
      </c>
      <c r="P692" s="292" t="str">
        <f aca="false">"ед."</f>
        <v>ед.</v>
      </c>
      <c r="Q692" s="292" t="n">
        <f aca="false">N(Аудиоаксессуары!$G$36)</f>
        <v>0</v>
      </c>
      <c r="R692" s="299" t="n">
        <f aca="false">IF(ISBLANK(Аудиоаксессуары!$F$36),"",Аудиоаксессуары!$F$36)</f>
        <v>114.17</v>
      </c>
      <c r="S692" s="292" t="str">
        <f aca="false">IF(ISBLANK(Аудиоаксессуары!$H$36),"",Аудиоаксессуары!$H$36)</f>
        <v/>
      </c>
    </row>
    <row r="693" customFormat="false" ht="66" hidden="false" customHeight="true" outlineLevel="0" collapsed="false">
      <c r="A693" s="291" t="str">
        <f aca="true">IF(ISNUMBER($J693),INDIRECT("L"&amp;($J693+4)),"")</f>
        <v/>
      </c>
      <c r="B693" s="291" t="str">
        <f aca="true">IF(ISNUMBER($J693),INDIRECT("M"&amp;($J693+4)),"")</f>
        <v/>
      </c>
      <c r="C693" s="296" t="str">
        <f aca="true">IF(ISNUMBER($J693),INDIRECT("N"&amp;($J693+4)),"")</f>
        <v/>
      </c>
      <c r="D693" s="291" t="str">
        <f aca="true">IF(ISNUMBER($J693),INDIRECT("O"&amp;($J693+4)),"")</f>
        <v/>
      </c>
      <c r="E693" s="291" t="str">
        <f aca="true">IF(ISNUMBER($J693),INDIRECT("P"&amp;($J693+4)),"")</f>
        <v/>
      </c>
      <c r="F693" s="300" t="str">
        <f aca="true">IF(ISNUMBER($J693),INDIRECT("Q"&amp;($J693+4)),"")</f>
        <v/>
      </c>
      <c r="G693" s="298" t="str">
        <f aca="true">IF(ISNUMBER($J693),INDIRECT("R"&amp;($J693+4)),"")</f>
        <v/>
      </c>
      <c r="H693" s="298" t="str">
        <f aca="true">IF(ISNUMBER($J693),INDIRECT("S"&amp;($J693+4)),"")</f>
        <v/>
      </c>
      <c r="J693" s="292" t="str">
        <f aca="true">IF(689&lt;=$K$1,MATCH(688.5,INDIRECT("$K$4:$K$1374"),1),"")</f>
        <v/>
      </c>
      <c r="K693" s="292" t="n">
        <f aca="false">$K$644+COUNTIF($Q$645:Q693,"&gt;0")</f>
        <v>0</v>
      </c>
      <c r="L693" s="292" t="str">
        <f aca="false">"Аудиоаксессуары"</f>
        <v>Аудиоаксессуары</v>
      </c>
      <c r="M693" s="292" t="str">
        <f aca="false">IF(ISBLANK(Аудиоаксессуары!$A$39),"",Аудиоаксессуары!$A$39)</f>
        <v>BC110 Find устройство защиты  от потери</v>
      </c>
      <c r="N693" s="292" t="str">
        <f aca="false">IF(ISBLANK(Аудиоаксессуары!$D$39),"",Аудиоаксессуары!$D$39)</f>
        <v>6941991127571</v>
      </c>
      <c r="O693" s="292" t="str">
        <f aca="false">IF(ISBLANK(Аудиоаксессуары!$E$39),"",Аудиоаксессуары!$E$39)</f>
        <v>белый</v>
      </c>
      <c r="P693" s="292" t="str">
        <f aca="false">"ед."</f>
        <v>ед.</v>
      </c>
      <c r="Q693" s="292" t="n">
        <f aca="false">N(Аудиоаксессуары!$G$39)</f>
        <v>0</v>
      </c>
      <c r="R693" s="299" t="n">
        <f aca="false">IF(ISBLANK(Аудиоаксессуары!$F$39),"",Аудиоаксессуары!$F$39)</f>
        <v>366.96</v>
      </c>
      <c r="S693" s="292" t="str">
        <f aca="false">IF(ISBLANK(Аудиоаксессуары!$H$39),"",Аудиоаксессуары!$H$39)</f>
        <v/>
      </c>
    </row>
    <row r="694" customFormat="false" ht="66" hidden="false" customHeight="true" outlineLevel="0" collapsed="false">
      <c r="A694" s="291" t="str">
        <f aca="true">IF(ISNUMBER($J694),INDIRECT("L"&amp;($J694+4)),"")</f>
        <v/>
      </c>
      <c r="B694" s="291" t="str">
        <f aca="true">IF(ISNUMBER($J694),INDIRECT("M"&amp;($J694+4)),"")</f>
        <v/>
      </c>
      <c r="C694" s="296" t="str">
        <f aca="true">IF(ISNUMBER($J694),INDIRECT("N"&amp;($J694+4)),"")</f>
        <v/>
      </c>
      <c r="D694" s="291" t="str">
        <f aca="true">IF(ISNUMBER($J694),INDIRECT("O"&amp;($J694+4)),"")</f>
        <v/>
      </c>
      <c r="E694" s="291" t="str">
        <f aca="true">IF(ISNUMBER($J694),INDIRECT("P"&amp;($J694+4)),"")</f>
        <v/>
      </c>
      <c r="F694" s="300" t="str">
        <f aca="true">IF(ISNUMBER($J694),INDIRECT("Q"&amp;($J694+4)),"")</f>
        <v/>
      </c>
      <c r="G694" s="298" t="str">
        <f aca="true">IF(ISNUMBER($J694),INDIRECT("R"&amp;($J694+4)),"")</f>
        <v/>
      </c>
      <c r="H694" s="298" t="str">
        <f aca="true">IF(ISNUMBER($J694),INDIRECT("S"&amp;($J694+4)),"")</f>
        <v/>
      </c>
      <c r="J694" s="292" t="str">
        <f aca="true">IF(690&lt;=$K$1,MATCH(689.5,INDIRECT("$K$4:$K$1374"),1),"")</f>
        <v/>
      </c>
      <c r="K694" s="292" t="n">
        <f aca="false">$K$644+COUNTIF($Q$645:Q694,"&gt;0")</f>
        <v>0</v>
      </c>
      <c r="L694" s="292" t="str">
        <f aca="false">"Аудиоаксессуары"</f>
        <v>Аудиоаксессуары</v>
      </c>
      <c r="M694" s="292" t="str">
        <f aca="false">IF(ISBLANK(Аудиоаксессуары!$A$40),"",Аудиоаксессуары!$A$40)</f>
        <v>BC105 Clear GOOG локатор</v>
      </c>
      <c r="N694" s="292" t="str">
        <f aca="false">IF(ISBLANK(Аудиоаксессуары!$D$40),"",Аудиоаксессуары!$D$40)</f>
        <v>6941991127564</v>
      </c>
      <c r="O694" s="292" t="str">
        <f aca="false">IF(ISBLANK(Аудиоаксессуары!$E$40),"",Аудиоаксессуары!$E$40)</f>
        <v>черный</v>
      </c>
      <c r="P694" s="292" t="str">
        <f aca="false">"ед."</f>
        <v>ед.</v>
      </c>
      <c r="Q694" s="292" t="n">
        <f aca="false">N(Аудиоаксессуары!$G$40)</f>
        <v>0</v>
      </c>
      <c r="R694" s="299" t="n">
        <f aca="false">IF(ISBLANK(Аудиоаксессуары!$F$40),"",Аудиоаксессуары!$F$40)</f>
        <v>277.26</v>
      </c>
      <c r="S694" s="292" t="str">
        <f aca="false">IF(ISBLANK(Аудиоаксессуары!$H$40),"",Аудиоаксессуары!$H$40)</f>
        <v/>
      </c>
    </row>
    <row r="695" customFormat="false" ht="66" hidden="false" customHeight="true" outlineLevel="0" collapsed="false">
      <c r="A695" s="291" t="str">
        <f aca="true">IF(ISNUMBER($J695),INDIRECT("L"&amp;($J695+4)),"")</f>
        <v/>
      </c>
      <c r="B695" s="291" t="str">
        <f aca="true">IF(ISNUMBER($J695),INDIRECT("M"&amp;($J695+4)),"")</f>
        <v/>
      </c>
      <c r="C695" s="296" t="str">
        <f aca="true">IF(ISNUMBER($J695),INDIRECT("N"&amp;($J695+4)),"")</f>
        <v/>
      </c>
      <c r="D695" s="291" t="str">
        <f aca="true">IF(ISNUMBER($J695),INDIRECT("O"&amp;($J695+4)),"")</f>
        <v/>
      </c>
      <c r="E695" s="291" t="str">
        <f aca="true">IF(ISNUMBER($J695),INDIRECT("P"&amp;($J695+4)),"")</f>
        <v/>
      </c>
      <c r="F695" s="300" t="str">
        <f aca="true">IF(ISNUMBER($J695),INDIRECT("Q"&amp;($J695+4)),"")</f>
        <v/>
      </c>
      <c r="G695" s="298" t="str">
        <f aca="true">IF(ISNUMBER($J695),INDIRECT("R"&amp;($J695+4)),"")</f>
        <v/>
      </c>
      <c r="H695" s="298" t="str">
        <f aca="true">IF(ISNUMBER($J695),INDIRECT("S"&amp;($J695+4)),"")</f>
        <v/>
      </c>
      <c r="J695" s="292" t="str">
        <f aca="true">IF(691&lt;=$K$1,MATCH(690.5,INDIRECT("$K$4:$K$1374"),1),"")</f>
        <v/>
      </c>
      <c r="K695" s="292" t="n">
        <f aca="false">$K$644+COUNTIF($Q$645:Q695,"&gt;0")</f>
        <v>0</v>
      </c>
      <c r="L695" s="292" t="str">
        <f aca="false">"Аудиоаксессуары"</f>
        <v>Аудиоаксессуары</v>
      </c>
      <c r="M695" s="292" t="str">
        <f aca="false">IF(ISBLANK(Аудиоаксессуары!$A$41),"",Аудиоаксессуары!$A$41)</f>
        <v>BC104 смарт устройство для защиты от потери</v>
      </c>
      <c r="N695" s="292" t="str">
        <f aca="false">IF(ISBLANK(Аудиоаксессуары!$D$41),"",Аудиоаксессуары!$D$41)</f>
        <v>6941991124822</v>
      </c>
      <c r="O695" s="292" t="str">
        <f aca="false">IF(ISBLANK(Аудиоаксессуары!$E$41),"",Аудиоаксессуары!$E$41)</f>
        <v>черный</v>
      </c>
      <c r="P695" s="292" t="str">
        <f aca="false">"ед."</f>
        <v>ед.</v>
      </c>
      <c r="Q695" s="292" t="n">
        <f aca="false">N(Аудиоаксессуары!$G$41)</f>
        <v>0</v>
      </c>
      <c r="R695" s="299" t="n">
        <f aca="false">IF(ISBLANK(Аудиоаксессуары!$F$41),"",Аудиоаксессуары!$F$41)</f>
        <v>269.11</v>
      </c>
      <c r="S695" s="292" t="str">
        <f aca="false">IF(ISBLANK(Аудиоаксессуары!$H$41),"",Аудиоаксессуары!$H$41)</f>
        <v/>
      </c>
    </row>
    <row r="696" customFormat="false" ht="66" hidden="false" customHeight="true" outlineLevel="0" collapsed="false">
      <c r="A696" s="291" t="str">
        <f aca="true">IF(ISNUMBER($J696),INDIRECT("L"&amp;($J696+4)),"")</f>
        <v/>
      </c>
      <c r="B696" s="291" t="str">
        <f aca="true">IF(ISNUMBER($J696),INDIRECT("M"&amp;($J696+4)),"")</f>
        <v/>
      </c>
      <c r="C696" s="296" t="str">
        <f aca="true">IF(ISNUMBER($J696),INDIRECT("N"&amp;($J696+4)),"")</f>
        <v/>
      </c>
      <c r="D696" s="291" t="str">
        <f aca="true">IF(ISNUMBER($J696),INDIRECT("O"&amp;($J696+4)),"")</f>
        <v/>
      </c>
      <c r="E696" s="291" t="str">
        <f aca="true">IF(ISNUMBER($J696),INDIRECT("P"&amp;($J696+4)),"")</f>
        <v/>
      </c>
      <c r="F696" s="300" t="str">
        <f aca="true">IF(ISNUMBER($J696),INDIRECT("Q"&amp;($J696+4)),"")</f>
        <v/>
      </c>
      <c r="G696" s="298" t="str">
        <f aca="true">IF(ISNUMBER($J696),INDIRECT("R"&amp;($J696+4)),"")</f>
        <v/>
      </c>
      <c r="H696" s="298" t="str">
        <f aca="true">IF(ISNUMBER($J696),INDIRECT("S"&amp;($J696+4)),"")</f>
        <v/>
      </c>
      <c r="J696" s="292" t="str">
        <f aca="true">IF(692&lt;=$K$1,MATCH(691.5,INDIRECT("$K$4:$K$1374"),1),"")</f>
        <v/>
      </c>
      <c r="K696" s="292" t="n">
        <f aca="false">$K$644+COUNTIF($Q$645:Q696,"&gt;0")</f>
        <v>0</v>
      </c>
      <c r="L696" s="292" t="str">
        <f aca="false">"Аудиоаксессуары"</f>
        <v>Аудиоаксессуары</v>
      </c>
      <c r="M696" s="292" t="str">
        <f aca="false">IF(ISBLANK(Аудиоаксессуары!$A$44),"",Аудиоаксессуары!$A$44)</f>
        <v>BC66 автомобильный BT FM передатчик</v>
      </c>
      <c r="N696" s="292" t="str">
        <f aca="false">IF(ISBLANK(Аудиоаксессуары!$D$44),"",Аудиоаксессуары!$D$44)</f>
        <v>6941991129711</v>
      </c>
      <c r="O696" s="292" t="str">
        <f aca="false">IF(ISBLANK(Аудиоаксессуары!$E$44),"",Аудиоаксессуары!$E$44)</f>
        <v>черный</v>
      </c>
      <c r="P696" s="292" t="str">
        <f aca="false">"ед."</f>
        <v>ед.</v>
      </c>
      <c r="Q696" s="292" t="n">
        <f aca="false">N(Аудиоаксессуары!$G$44)</f>
        <v>0</v>
      </c>
      <c r="R696" s="299" t="n">
        <f aca="false">IF(ISBLANK(Аудиоаксессуары!$F$44),"",Аудиоаксессуары!$F$44)</f>
        <v>203.87</v>
      </c>
      <c r="S696" s="292" t="str">
        <f aca="false">IF(ISBLANK(Аудиоаксессуары!$H$44),"",Аудиоаксессуары!$H$44)</f>
        <v/>
      </c>
    </row>
    <row r="697" customFormat="false" ht="66" hidden="false" customHeight="true" outlineLevel="0" collapsed="false">
      <c r="A697" s="291" t="str">
        <f aca="true">IF(ISNUMBER($J697),INDIRECT("L"&amp;($J697+4)),"")</f>
        <v/>
      </c>
      <c r="B697" s="291" t="str">
        <f aca="true">IF(ISNUMBER($J697),INDIRECT("M"&amp;($J697+4)),"")</f>
        <v/>
      </c>
      <c r="C697" s="296" t="str">
        <f aca="true">IF(ISNUMBER($J697),INDIRECT("N"&amp;($J697+4)),"")</f>
        <v/>
      </c>
      <c r="D697" s="291" t="str">
        <f aca="true">IF(ISNUMBER($J697),INDIRECT("O"&amp;($J697+4)),"")</f>
        <v/>
      </c>
      <c r="E697" s="291" t="str">
        <f aca="true">IF(ISNUMBER($J697),INDIRECT("P"&amp;($J697+4)),"")</f>
        <v/>
      </c>
      <c r="F697" s="300" t="str">
        <f aca="true">IF(ISNUMBER($J697),INDIRECT("Q"&amp;($J697+4)),"")</f>
        <v/>
      </c>
      <c r="G697" s="298" t="str">
        <f aca="true">IF(ISNUMBER($J697),INDIRECT("R"&amp;($J697+4)),"")</f>
        <v/>
      </c>
      <c r="H697" s="298" t="str">
        <f aca="true">IF(ISNUMBER($J697),INDIRECT("S"&amp;($J697+4)),"")</f>
        <v/>
      </c>
      <c r="J697" s="292" t="str">
        <f aca="true">IF(693&lt;=$K$1,MATCH(692.5,INDIRECT("$K$4:$K$1374"),1),"")</f>
        <v/>
      </c>
      <c r="K697" s="292" t="n">
        <f aca="false">$K$644+COUNTIF($Q$645:Q697,"&gt;0")</f>
        <v>0</v>
      </c>
      <c r="L697" s="292" t="str">
        <f aca="false">"Аудиоаксессуары"</f>
        <v>Аудиоаксессуары</v>
      </c>
      <c r="M697" s="292" t="str">
        <f aca="false">IF(ISBLANK(Аудиоаксессуары!$A$45),"",Аудиоаксессуары!$A$45)</f>
        <v>BC64 Contento автомобильный BT ресивет со встроенным кабелем</v>
      </c>
      <c r="N697" s="292" t="str">
        <f aca="false">IF(ISBLANK(Аудиоаксессуары!$D$45),"",Аудиоаксессуары!$D$45)</f>
        <v>6941991126567</v>
      </c>
      <c r="O697" s="292" t="str">
        <f aca="false">IF(ISBLANK(Аудиоаксессуары!$E$45),"",Аудиоаксессуары!$E$45)</f>
        <v>черный</v>
      </c>
      <c r="P697" s="292" t="str">
        <f aca="false">"ед."</f>
        <v>ед.</v>
      </c>
      <c r="Q697" s="292" t="n">
        <f aca="false">N(Аудиоаксессуары!$G$45)</f>
        <v>0</v>
      </c>
      <c r="R697" s="299" t="n">
        <f aca="false">IF(ISBLANK(Аудиоаксессуары!$F$45),"",Аудиоаксессуары!$F$45)</f>
        <v>187.56</v>
      </c>
      <c r="S697" s="292" t="str">
        <f aca="false">IF(ISBLANK(Аудиоаксессуары!$H$45),"",Аудиоаксессуары!$H$45)</f>
        <v/>
      </c>
    </row>
    <row r="698" customFormat="false" ht="66" hidden="false" customHeight="true" outlineLevel="0" collapsed="false">
      <c r="A698" s="291" t="str">
        <f aca="true">IF(ISNUMBER($J698),INDIRECT("L"&amp;($J698+4)),"")</f>
        <v/>
      </c>
      <c r="B698" s="291" t="str">
        <f aca="true">IF(ISNUMBER($J698),INDIRECT("M"&amp;($J698+4)),"")</f>
        <v/>
      </c>
      <c r="C698" s="296" t="str">
        <f aca="true">IF(ISNUMBER($J698),INDIRECT("N"&amp;($J698+4)),"")</f>
        <v/>
      </c>
      <c r="D698" s="291" t="str">
        <f aca="true">IF(ISNUMBER($J698),INDIRECT("O"&amp;($J698+4)),"")</f>
        <v/>
      </c>
      <c r="E698" s="291" t="str">
        <f aca="true">IF(ISNUMBER($J698),INDIRECT("P"&amp;($J698+4)),"")</f>
        <v/>
      </c>
      <c r="F698" s="300" t="str">
        <f aca="true">IF(ISNUMBER($J698),INDIRECT("Q"&amp;($J698+4)),"")</f>
        <v/>
      </c>
      <c r="G698" s="298" t="str">
        <f aca="true">IF(ISNUMBER($J698),INDIRECT("R"&amp;($J698+4)),"")</f>
        <v/>
      </c>
      <c r="H698" s="298" t="str">
        <f aca="true">IF(ISNUMBER($J698),INDIRECT("S"&amp;($J698+4)),"")</f>
        <v/>
      </c>
      <c r="J698" s="292" t="str">
        <f aca="true">IF(694&lt;=$K$1,MATCH(693.5,INDIRECT("$K$4:$K$1374"),1),"")</f>
        <v/>
      </c>
      <c r="K698" s="292" t="n">
        <f aca="false">$K$644+COUNTIF($Q$645:Q698,"&gt;0")</f>
        <v>0</v>
      </c>
      <c r="L698" s="292" t="str">
        <f aca="false">"Аудиоаксессуары"</f>
        <v>Аудиоаксессуары</v>
      </c>
      <c r="M698" s="292" t="str">
        <f aca="false">IF(ISBLANK(Аудиоаксессуары!$A$46),"",Аудиоаксессуары!$A$46)</f>
        <v>BC63 Selecto автомобильный BT FM трансмиттер</v>
      </c>
      <c r="N698" s="292" t="str">
        <f aca="false">IF(ISBLANK(Аудиоаксессуары!$D$46),"",Аудиоаксессуары!$D$46)</f>
        <v>6941991126185</v>
      </c>
      <c r="O698" s="292" t="str">
        <f aca="false">IF(ISBLANK(Аудиоаксессуары!$E$46),"",Аудиоаксессуары!$E$46)</f>
        <v>черный</v>
      </c>
      <c r="P698" s="292" t="str">
        <f aca="false">"ед."</f>
        <v>ед.</v>
      </c>
      <c r="Q698" s="292" t="n">
        <f aca="false">N(Аудиоаксессуары!$G$46)</f>
        <v>0</v>
      </c>
      <c r="R698" s="299" t="n">
        <f aca="false">IF(ISBLANK(Аудиоаксессуары!$F$46),"",Аудиоаксессуары!$F$46)</f>
        <v>236.49</v>
      </c>
      <c r="S698" s="292" t="str">
        <f aca="false">IF(ISBLANK(Аудиоаксессуары!$H$46),"",Аудиоаксессуары!$H$46)</f>
        <v/>
      </c>
    </row>
    <row r="699" customFormat="false" ht="66" hidden="false" customHeight="true" outlineLevel="0" collapsed="false">
      <c r="A699" s="291" t="str">
        <f aca="true">IF(ISNUMBER($J699),INDIRECT("L"&amp;($J699+4)),"")</f>
        <v/>
      </c>
      <c r="B699" s="291" t="str">
        <f aca="true">IF(ISNUMBER($J699),INDIRECT("M"&amp;($J699+4)),"")</f>
        <v/>
      </c>
      <c r="C699" s="296" t="str">
        <f aca="true">IF(ISNUMBER($J699),INDIRECT("N"&amp;($J699+4)),"")</f>
        <v/>
      </c>
      <c r="D699" s="291" t="str">
        <f aca="true">IF(ISNUMBER($J699),INDIRECT("O"&amp;($J699+4)),"")</f>
        <v/>
      </c>
      <c r="E699" s="291" t="str">
        <f aca="true">IF(ISNUMBER($J699),INDIRECT("P"&amp;($J699+4)),"")</f>
        <v/>
      </c>
      <c r="F699" s="300" t="str">
        <f aca="true">IF(ISNUMBER($J699),INDIRECT("Q"&amp;($J699+4)),"")</f>
        <v/>
      </c>
      <c r="G699" s="298" t="str">
        <f aca="true">IF(ISNUMBER($J699),INDIRECT("R"&amp;($J699+4)),"")</f>
        <v/>
      </c>
      <c r="H699" s="298" t="str">
        <f aca="true">IF(ISNUMBER($J699),INDIRECT("S"&amp;($J699+4)),"")</f>
        <v/>
      </c>
      <c r="J699" s="292" t="str">
        <f aca="true">IF(695&lt;=$K$1,MATCH(694.5,INDIRECT("$K$4:$K$1374"),1),"")</f>
        <v/>
      </c>
      <c r="K699" s="292" t="n">
        <f aca="false">$K$644+COUNTIF($Q$645:Q699,"&gt;0")</f>
        <v>0</v>
      </c>
      <c r="L699" s="292" t="str">
        <f aca="false">"Аудиоаксессуары"</f>
        <v>Аудиоаксессуары</v>
      </c>
      <c r="M699" s="292" t="str">
        <f aca="false">IF(ISBLANK(Аудиоаксессуары!$A$47),"",Аудиоаксессуары!$A$47)</f>
        <v>BC62 Walker AUX BT ресивер/трансмиттер</v>
      </c>
      <c r="N699" s="292" t="str">
        <f aca="false">IF(ISBLANK(Аудиоаксессуары!$D$47),"",Аудиоаксессуары!$D$47)</f>
        <v>6941991124143</v>
      </c>
      <c r="O699" s="292" t="str">
        <f aca="false">IF(ISBLANK(Аудиоаксессуары!$E$47),"",Аудиоаксессуары!$E$47)</f>
        <v>черный</v>
      </c>
      <c r="P699" s="292" t="str">
        <f aca="false">"ед."</f>
        <v>ед.</v>
      </c>
      <c r="Q699" s="292" t="n">
        <f aca="false">N(Аудиоаксессуары!$G$47)</f>
        <v>0</v>
      </c>
      <c r="R699" s="299" t="n">
        <f aca="false">IF(ISBLANK(Аудиоаксессуары!$F$47),"",Аудиоаксессуары!$F$47)</f>
        <v>228.33</v>
      </c>
      <c r="S699" s="292" t="str">
        <f aca="false">IF(ISBLANK(Аудиоаксессуары!$H$47),"",Аудиоаксессуары!$H$47)</f>
        <v/>
      </c>
    </row>
    <row r="700" customFormat="false" ht="66" hidden="false" customHeight="true" outlineLevel="0" collapsed="false">
      <c r="A700" s="291" t="str">
        <f aca="true">IF(ISNUMBER($J700),INDIRECT("L"&amp;($J700+4)),"")</f>
        <v/>
      </c>
      <c r="B700" s="291" t="str">
        <f aca="true">IF(ISNUMBER($J700),INDIRECT("M"&amp;($J700+4)),"")</f>
        <v/>
      </c>
      <c r="C700" s="296" t="str">
        <f aca="true">IF(ISNUMBER($J700),INDIRECT("N"&amp;($J700+4)),"")</f>
        <v/>
      </c>
      <c r="D700" s="291" t="str">
        <f aca="true">IF(ISNUMBER($J700),INDIRECT("O"&amp;($J700+4)),"")</f>
        <v/>
      </c>
      <c r="E700" s="291" t="str">
        <f aca="true">IF(ISNUMBER($J700),INDIRECT("P"&amp;($J700+4)),"")</f>
        <v/>
      </c>
      <c r="F700" s="300" t="str">
        <f aca="true">IF(ISNUMBER($J700),INDIRECT("Q"&amp;($J700+4)),"")</f>
        <v/>
      </c>
      <c r="G700" s="298" t="str">
        <f aca="true">IF(ISNUMBER($J700),INDIRECT("R"&amp;($J700+4)),"")</f>
        <v/>
      </c>
      <c r="H700" s="298" t="str">
        <f aca="true">IF(ISNUMBER($J700),INDIRECT("S"&amp;($J700+4)),"")</f>
        <v/>
      </c>
      <c r="J700" s="292" t="str">
        <f aca="true">IF(696&lt;=$K$1,MATCH(695.5,INDIRECT("$K$4:$K$1374"),1),"")</f>
        <v/>
      </c>
      <c r="K700" s="292" t="n">
        <f aca="false">$K$644+COUNTIF($Q$645:Q700,"&gt;0")</f>
        <v>0</v>
      </c>
      <c r="L700" s="292" t="str">
        <f aca="false">"Аудиоаксессуары"</f>
        <v>Аудиоаксессуары</v>
      </c>
      <c r="M700" s="292" t="str">
        <f aca="false">IF(ISBLANK(Аудиоаксессуары!$A$48),"",Аудиоаксессуары!$A$48)</f>
        <v>BC61 Ocean 45W(1A1C) автомобильный BT FM трансмиттер</v>
      </c>
      <c r="N700" s="292" t="str">
        <f aca="false">IF(ISBLANK(Аудиоаксессуары!$D$48),"",Аудиоаксессуары!$D$48)</f>
        <v>6941991125126</v>
      </c>
      <c r="O700" s="292" t="str">
        <f aca="false">IF(ISBLANK(Аудиоаксессуары!$E$48),"",Аудиоаксессуары!$E$48)</f>
        <v>черный</v>
      </c>
      <c r="P700" s="292" t="str">
        <f aca="false">"ед."</f>
        <v>ед.</v>
      </c>
      <c r="Q700" s="292" t="n">
        <f aca="false">N(Аудиоаксессуары!$G$48)</f>
        <v>0</v>
      </c>
      <c r="R700" s="299" t="n">
        <f aca="false">IF(ISBLANK(Аудиоаксессуары!$F$48),"",Аудиоаксессуары!$F$48)</f>
        <v>301.72</v>
      </c>
      <c r="S700" s="292" t="str">
        <f aca="false">IF(ISBLANK(Аудиоаксессуары!$H$48),"",Аудиоаксессуары!$H$48)</f>
        <v/>
      </c>
    </row>
    <row r="701" customFormat="false" ht="66" hidden="false" customHeight="true" outlineLevel="0" collapsed="false">
      <c r="A701" s="291" t="str">
        <f aca="true">IF(ISNUMBER($J701),INDIRECT("L"&amp;($J701+4)),"")</f>
        <v/>
      </c>
      <c r="B701" s="291" t="str">
        <f aca="true">IF(ISNUMBER($J701),INDIRECT("M"&amp;($J701+4)),"")</f>
        <v/>
      </c>
      <c r="C701" s="296" t="str">
        <f aca="true">IF(ISNUMBER($J701),INDIRECT("N"&amp;($J701+4)),"")</f>
        <v/>
      </c>
      <c r="D701" s="291" t="str">
        <f aca="true">IF(ISNUMBER($J701),INDIRECT("O"&amp;($J701+4)),"")</f>
        <v/>
      </c>
      <c r="E701" s="291" t="str">
        <f aca="true">IF(ISNUMBER($J701),INDIRECT("P"&amp;($J701+4)),"")</f>
        <v/>
      </c>
      <c r="F701" s="300" t="str">
        <f aca="true">IF(ISNUMBER($J701),INDIRECT("Q"&amp;($J701+4)),"")</f>
        <v/>
      </c>
      <c r="G701" s="298" t="str">
        <f aca="true">IF(ISNUMBER($J701),INDIRECT("R"&amp;($J701+4)),"")</f>
        <v/>
      </c>
      <c r="H701" s="298" t="str">
        <f aca="true">IF(ISNUMBER($J701),INDIRECT("S"&amp;($J701+4)),"")</f>
        <v/>
      </c>
      <c r="J701" s="292" t="str">
        <f aca="true">IF(697&lt;=$K$1,MATCH(696.5,INDIRECT("$K$4:$K$1374"),1),"")</f>
        <v/>
      </c>
      <c r="K701" s="292" t="n">
        <f aca="false">$K$644+COUNTIF($Q$645:Q701,"&gt;0")</f>
        <v>0</v>
      </c>
      <c r="L701" s="292" t="str">
        <f aca="false">"Аудиоаксессуары"</f>
        <v>Аудиоаксессуары</v>
      </c>
      <c r="M701" s="292" t="str">
        <f aca="false">IF(ISBLANK(Аудиоаксессуары!$A$49),"",Аудиоаксессуары!$A$49)</f>
        <v>BC60 Hero 35W(1A1C) автомобильный BT FM передатчик</v>
      </c>
      <c r="N701" s="292" t="str">
        <f aca="false">IF(ISBLANK(Аудиоаксессуары!$D$49),"",Аудиоаксессуары!$D$49)</f>
        <v>6941991121388</v>
      </c>
      <c r="O701" s="292" t="str">
        <f aca="false">IF(ISBLANK(Аудиоаксессуары!$E$49),"",Аудиоаксессуары!$E$49)</f>
        <v>черный</v>
      </c>
      <c r="P701" s="292" t="str">
        <f aca="false">"ед."</f>
        <v>ед.</v>
      </c>
      <c r="Q701" s="292" t="n">
        <f aca="false">N(Аудиоаксессуары!$G$49)</f>
        <v>0</v>
      </c>
      <c r="R701" s="299" t="n">
        <f aca="false">IF(ISBLANK(Аудиоаксессуары!$F$49),"",Аудиоаксессуары!$F$49)</f>
        <v>318.03</v>
      </c>
      <c r="S701" s="292" t="str">
        <f aca="false">IF(ISBLANK(Аудиоаксессуары!$H$49),"",Аудиоаксессуары!$H$49)</f>
        <v/>
      </c>
    </row>
    <row r="702" customFormat="false" ht="66" hidden="false" customHeight="true" outlineLevel="0" collapsed="false">
      <c r="A702" s="291" t="str">
        <f aca="true">IF(ISNUMBER($J702),INDIRECT("L"&amp;($J702+4)),"")</f>
        <v/>
      </c>
      <c r="B702" s="291" t="str">
        <f aca="true">IF(ISNUMBER($J702),INDIRECT("M"&amp;($J702+4)),"")</f>
        <v/>
      </c>
      <c r="C702" s="296" t="str">
        <f aca="true">IF(ISNUMBER($J702),INDIRECT("N"&amp;($J702+4)),"")</f>
        <v/>
      </c>
      <c r="D702" s="291" t="str">
        <f aca="true">IF(ISNUMBER($J702),INDIRECT("O"&amp;($J702+4)),"")</f>
        <v/>
      </c>
      <c r="E702" s="291" t="str">
        <f aca="true">IF(ISNUMBER($J702),INDIRECT("P"&amp;($J702+4)),"")</f>
        <v/>
      </c>
      <c r="F702" s="300" t="str">
        <f aca="true">IF(ISNUMBER($J702),INDIRECT("Q"&amp;($J702+4)),"")</f>
        <v/>
      </c>
      <c r="G702" s="298" t="str">
        <f aca="true">IF(ISNUMBER($J702),INDIRECT("R"&amp;($J702+4)),"")</f>
        <v/>
      </c>
      <c r="H702" s="298" t="str">
        <f aca="true">IF(ISNUMBER($J702),INDIRECT("S"&amp;($J702+4)),"")</f>
        <v/>
      </c>
      <c r="J702" s="292" t="str">
        <f aca="true">IF(698&lt;=$K$1,MATCH(697.5,INDIRECT("$K$4:$K$1374"),1),"")</f>
        <v/>
      </c>
      <c r="K702" s="292" t="n">
        <f aca="false">$K$644+COUNTIF($Q$645:Q702,"&gt;0")</f>
        <v>0</v>
      </c>
      <c r="L702" s="292" t="str">
        <f aca="false">"Аудиоаксессуары"</f>
        <v>Аудиоаксессуары</v>
      </c>
      <c r="M702" s="292" t="str">
        <f aca="false">IF(ISBLANK(Аудиоаксессуары!$A$50),"",Аудиоаксессуары!$A$50)</f>
        <v>BC59 Heroic автомобильный BT FM трансмиттер</v>
      </c>
      <c r="N702" s="292" t="str">
        <f aca="false">IF(ISBLANK(Аудиоаксессуары!$D$50),"",Аудиоаксессуары!$D$50)</f>
        <v>6941991117312</v>
      </c>
      <c r="O702" s="292" t="str">
        <f aca="false">IF(ISBLANK(Аудиоаксессуары!$E$50),"",Аудиоаксессуары!$E$50)</f>
        <v>черный</v>
      </c>
      <c r="P702" s="292" t="str">
        <f aca="false">"ед."</f>
        <v>ед.</v>
      </c>
      <c r="Q702" s="292" t="n">
        <f aca="false">N(Аудиоаксессуары!$G$50)</f>
        <v>0</v>
      </c>
      <c r="R702" s="299" t="n">
        <f aca="false">IF(ISBLANK(Аудиоаксессуары!$F$50),"",Аудиоаксессуары!$F$50)</f>
        <v>244.64</v>
      </c>
      <c r="S702" s="292" t="str">
        <f aca="false">IF(ISBLANK(Аудиоаксессуары!$H$50),"",Аудиоаксессуары!$H$50)</f>
        <v/>
      </c>
    </row>
    <row r="703" customFormat="false" ht="66" hidden="false" customHeight="true" outlineLevel="0" collapsed="false">
      <c r="A703" s="291" t="str">
        <f aca="true">IF(ISNUMBER($J703),INDIRECT("L"&amp;($J703+4)),"")</f>
        <v/>
      </c>
      <c r="B703" s="291" t="str">
        <f aca="true">IF(ISNUMBER($J703),INDIRECT("M"&amp;($J703+4)),"")</f>
        <v/>
      </c>
      <c r="C703" s="296" t="str">
        <f aca="true">IF(ISNUMBER($J703),INDIRECT("N"&amp;($J703+4)),"")</f>
        <v/>
      </c>
      <c r="D703" s="291" t="str">
        <f aca="true">IF(ISNUMBER($J703),INDIRECT("O"&amp;($J703+4)),"")</f>
        <v/>
      </c>
      <c r="E703" s="291" t="str">
        <f aca="true">IF(ISNUMBER($J703),INDIRECT("P"&amp;($J703+4)),"")</f>
        <v/>
      </c>
      <c r="F703" s="300" t="str">
        <f aca="true">IF(ISNUMBER($J703),INDIRECT("Q"&amp;($J703+4)),"")</f>
        <v/>
      </c>
      <c r="G703" s="298" t="str">
        <f aca="true">IF(ISNUMBER($J703),INDIRECT("R"&amp;($J703+4)),"")</f>
        <v/>
      </c>
      <c r="H703" s="298" t="str">
        <f aca="true">IF(ISNUMBER($J703),INDIRECT("S"&amp;($J703+4)),"")</f>
        <v/>
      </c>
      <c r="J703" s="292" t="str">
        <f aca="true">IF(699&lt;=$K$1,MATCH(698.5,INDIRECT("$K$4:$K$1374"),1),"")</f>
        <v/>
      </c>
      <c r="K703" s="292" t="n">
        <f aca="false">$K$644+COUNTIF($Q$645:Q703,"&gt;0")</f>
        <v>0</v>
      </c>
      <c r="L703" s="292" t="str">
        <f aca="false">"Аудиоаксессуары"</f>
        <v>Аудиоаксессуары</v>
      </c>
      <c r="M703" s="292" t="str">
        <f aca="false">IF(ISBLANK(Аудиоаксессуары!$A$51),"",Аудиоаксессуары!$A$51)</f>
        <v>BC56 Peaceful автомобильный AUX BT ресивер с кабелем</v>
      </c>
      <c r="N703" s="292" t="str">
        <f aca="false">IF(ISBLANK(Аудиоаксессуары!$D$51),"",Аудиоаксессуары!$D$51)</f>
        <v>6941991113031</v>
      </c>
      <c r="O703" s="292" t="str">
        <f aca="false">IF(ISBLANK(Аудиоаксессуары!$E$51),"",Аудиоаксессуары!$E$51)</f>
        <v>металлик</v>
      </c>
      <c r="P703" s="292" t="str">
        <f aca="false">"ед."</f>
        <v>ед.</v>
      </c>
      <c r="Q703" s="292" t="n">
        <f aca="false">N(Аудиоаксессуары!$G$51)</f>
        <v>0</v>
      </c>
      <c r="R703" s="299" t="n">
        <f aca="false">IF(ISBLANK(Аудиоаксессуары!$F$51),"",Аудиоаксессуары!$F$51)</f>
        <v>244.64</v>
      </c>
      <c r="S703" s="292" t="str">
        <f aca="false">IF(ISBLANK(Аудиоаксессуары!$H$51),"",Аудиоаксессуары!$H$51)</f>
        <v/>
      </c>
    </row>
    <row r="704" customFormat="false" ht="66" hidden="false" customHeight="true" outlineLevel="0" collapsed="false">
      <c r="A704" s="291" t="str">
        <f aca="true">IF(ISNUMBER($J704),INDIRECT("L"&amp;($J704+4)),"")</f>
        <v/>
      </c>
      <c r="B704" s="291" t="str">
        <f aca="true">IF(ISNUMBER($J704),INDIRECT("M"&amp;($J704+4)),"")</f>
        <v/>
      </c>
      <c r="C704" s="296" t="str">
        <f aca="true">IF(ISNUMBER($J704),INDIRECT("N"&amp;($J704+4)),"")</f>
        <v/>
      </c>
      <c r="D704" s="291" t="str">
        <f aca="true">IF(ISNUMBER($J704),INDIRECT("O"&amp;($J704+4)),"")</f>
        <v/>
      </c>
      <c r="E704" s="291" t="str">
        <f aca="true">IF(ISNUMBER($J704),INDIRECT("P"&amp;($J704+4)),"")</f>
        <v/>
      </c>
      <c r="F704" s="300" t="str">
        <f aca="true">IF(ISNUMBER($J704),INDIRECT("Q"&amp;($J704+4)),"")</f>
        <v/>
      </c>
      <c r="G704" s="298" t="str">
        <f aca="true">IF(ISNUMBER($J704),INDIRECT("R"&amp;($J704+4)),"")</f>
        <v/>
      </c>
      <c r="H704" s="298" t="str">
        <f aca="true">IF(ISNUMBER($J704),INDIRECT("S"&amp;($J704+4)),"")</f>
        <v/>
      </c>
      <c r="J704" s="292" t="str">
        <f aca="true">IF(700&lt;=$K$1,MATCH(699.5,INDIRECT("$K$4:$K$1374"),1),"")</f>
        <v/>
      </c>
      <c r="K704" s="292" t="n">
        <f aca="false">$K$644+COUNTIF($Q$645:Q704,"&gt;0")</f>
        <v>0</v>
      </c>
      <c r="L704" s="292" t="str">
        <f aca="false">"Аудиоаксессуары"</f>
        <v>Аудиоаксессуары</v>
      </c>
      <c r="M704" s="292" t="str">
        <f aca="false">IF(ISBLANK(Аудиоаксессуары!$A$52),"",Аудиоаксессуары!$A$52)</f>
        <v>BC55 Suave автомобильный AUX BT ресивер</v>
      </c>
      <c r="N704" s="292" t="str">
        <f aca="false">IF(ISBLANK(Аудиоаксессуары!$D$52),"",Аудиоаксессуары!$D$52)</f>
        <v>6941991112225</v>
      </c>
      <c r="O704" s="292" t="str">
        <f aca="false">IF(ISBLANK(Аудиоаксессуары!$E$52),"",Аудиоаксессуары!$E$52)</f>
        <v>черный</v>
      </c>
      <c r="P704" s="292" t="str">
        <f aca="false">"ед."</f>
        <v>ед.</v>
      </c>
      <c r="Q704" s="292" t="n">
        <f aca="false">N(Аудиоаксессуары!$G$52)</f>
        <v>0</v>
      </c>
      <c r="R704" s="299" t="n">
        <f aca="false">IF(ISBLANK(Аудиоаксессуары!$F$52),"",Аудиоаксессуары!$F$52)</f>
        <v>260.95</v>
      </c>
      <c r="S704" s="292" t="str">
        <f aca="false">IF(ISBLANK(Аудиоаксессуары!$H$52),"",Аудиоаксессуары!$H$52)</f>
        <v/>
      </c>
    </row>
    <row r="705" customFormat="false" ht="66" hidden="false" customHeight="true" outlineLevel="0" collapsed="false">
      <c r="A705" s="291" t="str">
        <f aca="true">IF(ISNUMBER($J705),INDIRECT("L"&amp;($J705+4)),"")</f>
        <v/>
      </c>
      <c r="B705" s="291" t="str">
        <f aca="true">IF(ISNUMBER($J705),INDIRECT("M"&amp;($J705+4)),"")</f>
        <v/>
      </c>
      <c r="C705" s="296" t="str">
        <f aca="true">IF(ISNUMBER($J705),INDIRECT("N"&amp;($J705+4)),"")</f>
        <v/>
      </c>
      <c r="D705" s="291" t="str">
        <f aca="true">IF(ISNUMBER($J705),INDIRECT("O"&amp;($J705+4)),"")</f>
        <v/>
      </c>
      <c r="E705" s="291" t="str">
        <f aca="true">IF(ISNUMBER($J705),INDIRECT("P"&amp;($J705+4)),"")</f>
        <v/>
      </c>
      <c r="F705" s="300" t="str">
        <f aca="true">IF(ISNUMBER($J705),INDIRECT("Q"&amp;($J705+4)),"")</f>
        <v/>
      </c>
      <c r="G705" s="298" t="str">
        <f aca="true">IF(ISNUMBER($J705),INDIRECT("R"&amp;($J705+4)),"")</f>
        <v/>
      </c>
      <c r="H705" s="298" t="str">
        <f aca="true">IF(ISNUMBER($J705),INDIRECT("S"&amp;($J705+4)),"")</f>
        <v/>
      </c>
      <c r="J705" s="292" t="str">
        <f aca="true">IF(701&lt;=$K$1,MATCH(700.5,INDIRECT("$K$4:$K$1374"),1),"")</f>
        <v/>
      </c>
      <c r="K705" s="292" t="n">
        <f aca="false">$K$644+COUNTIF($Q$645:Q705,"&gt;0")</f>
        <v>0</v>
      </c>
      <c r="L705" s="292" t="str">
        <f aca="false">"Аудиоаксессуары"</f>
        <v>Аудиоаксессуары</v>
      </c>
      <c r="M705" s="292" t="str">
        <f aca="false">IF(ISBLANK(Аудиоаксессуары!$A$53),"",Аудиоаксессуары!$A$53)</f>
        <v>BC53 Highway PD20W+QC3.0 автомобильный BT FM трансмиттер</v>
      </c>
      <c r="N705" s="292" t="str">
        <f aca="false">IF(ISBLANK(Аудиоаксессуары!$D$53),"",Аудиоаксессуары!$D$53)</f>
        <v>6941991108457</v>
      </c>
      <c r="O705" s="292" t="str">
        <f aca="false">IF(ISBLANK(Аудиоаксессуары!$E$53),"",Аудиоаксессуары!$E$53)</f>
        <v>черный</v>
      </c>
      <c r="P705" s="292" t="str">
        <f aca="false">"ед."</f>
        <v>ед.</v>
      </c>
      <c r="Q705" s="292" t="n">
        <f aca="false">N(Аудиоаксессуары!$G$53)</f>
        <v>0</v>
      </c>
      <c r="R705" s="299" t="n">
        <f aca="false">IF(ISBLANK(Аудиоаксессуары!$F$53),"",Аудиоаксессуары!$F$53)</f>
        <v>391.43</v>
      </c>
      <c r="S705" s="292" t="str">
        <f aca="false">IF(ISBLANK(Аудиоаксессуары!$H$53),"",Аудиоаксессуары!$H$53)</f>
        <v/>
      </c>
    </row>
    <row r="706" customFormat="false" ht="66" hidden="false" customHeight="true" outlineLevel="0" collapsed="false">
      <c r="A706" s="291" t="str">
        <f aca="true">IF(ISNUMBER($J706),INDIRECT("L"&amp;($J706+4)),"")</f>
        <v/>
      </c>
      <c r="B706" s="291" t="str">
        <f aca="true">IF(ISNUMBER($J706),INDIRECT("M"&amp;($J706+4)),"")</f>
        <v/>
      </c>
      <c r="C706" s="296" t="str">
        <f aca="true">IF(ISNUMBER($J706),INDIRECT("N"&amp;($J706+4)),"")</f>
        <v/>
      </c>
      <c r="D706" s="291" t="str">
        <f aca="true">IF(ISNUMBER($J706),INDIRECT("O"&amp;($J706+4)),"")</f>
        <v/>
      </c>
      <c r="E706" s="291" t="str">
        <f aca="true">IF(ISNUMBER($J706),INDIRECT("P"&amp;($J706+4)),"")</f>
        <v/>
      </c>
      <c r="F706" s="300" t="str">
        <f aca="true">IF(ISNUMBER($J706),INDIRECT("Q"&amp;($J706+4)),"")</f>
        <v/>
      </c>
      <c r="G706" s="298" t="str">
        <f aca="true">IF(ISNUMBER($J706),INDIRECT("R"&amp;($J706+4)),"")</f>
        <v/>
      </c>
      <c r="H706" s="298" t="str">
        <f aca="true">IF(ISNUMBER($J706),INDIRECT("S"&amp;($J706+4)),"")</f>
        <v/>
      </c>
      <c r="J706" s="292" t="str">
        <f aca="true">IF(702&lt;=$K$1,MATCH(701.5,INDIRECT("$K$4:$K$1374"),1),"")</f>
        <v/>
      </c>
      <c r="K706" s="292" t="n">
        <f aca="false">$K$644+COUNTIF($Q$645:Q706,"&gt;0")</f>
        <v>0</v>
      </c>
      <c r="L706" s="292" t="str">
        <f aca="false">"Аудиоаксессуары"</f>
        <v>Аудиоаксессуары</v>
      </c>
      <c r="M706" s="292" t="str">
        <f aca="false">IF(ISBLANK(Аудиоаксессуары!$A$54),"",Аудиоаксессуары!$A$54)</f>
        <v>BC51 Clear way AUX BT аудио ресивер/трансмиттер</v>
      </c>
      <c r="N706" s="292" t="str">
        <f aca="false">IF(ISBLANK(Аудиоаксессуары!$D$54),"",Аудиоаксессуары!$D$54)</f>
        <v>6941991117305</v>
      </c>
      <c r="O706" s="292" t="str">
        <f aca="false">IF(ISBLANK(Аудиоаксессуары!$E$54),"",Аудиоаксессуары!$E$54)</f>
        <v>металлик</v>
      </c>
      <c r="P706" s="292" t="str">
        <f aca="false">"ед."</f>
        <v>ед.</v>
      </c>
      <c r="Q706" s="292" t="n">
        <f aca="false">N(Аудиоаксессуары!$G$54)</f>
        <v>0</v>
      </c>
      <c r="R706" s="299" t="n">
        <f aca="false">IF(ISBLANK(Аудиоаксессуары!$F$54),"",Аудиоаксессуары!$F$54)</f>
        <v>350.65</v>
      </c>
      <c r="S706" s="292" t="str">
        <f aca="false">IF(ISBLANK(Аудиоаксессуары!$H$54),"",Аудиоаксессуары!$H$54)</f>
        <v/>
      </c>
    </row>
    <row r="707" customFormat="false" ht="66" hidden="false" customHeight="true" outlineLevel="0" collapsed="false">
      <c r="A707" s="291" t="str">
        <f aca="true">IF(ISNUMBER($J707),INDIRECT("L"&amp;($J707+4)),"")</f>
        <v/>
      </c>
      <c r="B707" s="291" t="str">
        <f aca="true">IF(ISNUMBER($J707),INDIRECT("M"&amp;($J707+4)),"")</f>
        <v/>
      </c>
      <c r="C707" s="296" t="str">
        <f aca="true">IF(ISNUMBER($J707),INDIRECT("N"&amp;($J707+4)),"")</f>
        <v/>
      </c>
      <c r="D707" s="291" t="str">
        <f aca="true">IF(ISNUMBER($J707),INDIRECT("O"&amp;($J707+4)),"")</f>
        <v/>
      </c>
      <c r="E707" s="291" t="str">
        <f aca="true">IF(ISNUMBER($J707),INDIRECT("P"&amp;($J707+4)),"")</f>
        <v/>
      </c>
      <c r="F707" s="300" t="str">
        <f aca="true">IF(ISNUMBER($J707),INDIRECT("Q"&amp;($J707+4)),"")</f>
        <v/>
      </c>
      <c r="G707" s="298" t="str">
        <f aca="true">IF(ISNUMBER($J707),INDIRECT("R"&amp;($J707+4)),"")</f>
        <v/>
      </c>
      <c r="H707" s="298" t="str">
        <f aca="true">IF(ISNUMBER($J707),INDIRECT("S"&amp;($J707+4)),"")</f>
        <v/>
      </c>
      <c r="J707" s="292" t="str">
        <f aca="true">IF(703&lt;=$K$1,MATCH(702.5,INDIRECT("$K$4:$K$1374"),1),"")</f>
        <v/>
      </c>
      <c r="K707" s="292" t="n">
        <f aca="false">$K$644+COUNTIF($Q$645:Q707,"&gt;0")</f>
        <v>0</v>
      </c>
      <c r="L707" s="292" t="str">
        <f aca="false">"Аудиоаксессуары"</f>
        <v>Аудиоаксессуары</v>
      </c>
      <c r="M707" s="292" t="str">
        <f aca="false">IF(ISBLANK(Аудиоаксессуары!$A$55),"",Аудиоаксессуары!$A$55)</f>
        <v>BC50 Ascenso PD20W+QC3.0 автомобильный BT FM трансмиттер</v>
      </c>
      <c r="N707" s="292" t="str">
        <f aca="false">IF(ISBLANK(Аудиоаксессуары!$D$55),"",Аудиоаксессуары!$D$55)</f>
        <v>6941991115257</v>
      </c>
      <c r="O707" s="292" t="str">
        <f aca="false">IF(ISBLANK(Аудиоаксессуары!$E$55),"",Аудиоаксессуары!$E$55)</f>
        <v>черный</v>
      </c>
      <c r="P707" s="292" t="str">
        <f aca="false">"ед."</f>
        <v>ед.</v>
      </c>
      <c r="Q707" s="292" t="n">
        <f aca="false">N(Аудиоаксессуары!$G$55)</f>
        <v>0</v>
      </c>
      <c r="R707" s="299" t="n">
        <f aca="false">IF(ISBLANK(Аудиоаксессуары!$F$55),"",Аудиоаксессуары!$F$55)</f>
        <v>366.96</v>
      </c>
      <c r="S707" s="292" t="str">
        <f aca="false">IF(ISBLANK(Аудиоаксессуары!$H$55),"",Аудиоаксессуары!$H$55)</f>
        <v/>
      </c>
    </row>
    <row r="708" customFormat="false" ht="66" hidden="false" customHeight="true" outlineLevel="0" collapsed="false">
      <c r="A708" s="291" t="str">
        <f aca="true">IF(ISNUMBER($J708),INDIRECT("L"&amp;($J708+4)),"")</f>
        <v/>
      </c>
      <c r="B708" s="291" t="str">
        <f aca="true">IF(ISNUMBER($J708),INDIRECT("M"&amp;($J708+4)),"")</f>
        <v/>
      </c>
      <c r="C708" s="296" t="str">
        <f aca="true">IF(ISNUMBER($J708),INDIRECT("N"&amp;($J708+4)),"")</f>
        <v/>
      </c>
      <c r="D708" s="291" t="str">
        <f aca="true">IF(ISNUMBER($J708),INDIRECT("O"&amp;($J708+4)),"")</f>
        <v/>
      </c>
      <c r="E708" s="291" t="str">
        <f aca="true">IF(ISNUMBER($J708),INDIRECT("P"&amp;($J708+4)),"")</f>
        <v/>
      </c>
      <c r="F708" s="300" t="str">
        <f aca="true">IF(ISNUMBER($J708),INDIRECT("Q"&amp;($J708+4)),"")</f>
        <v/>
      </c>
      <c r="G708" s="298" t="str">
        <f aca="true">IF(ISNUMBER($J708),INDIRECT("R"&amp;($J708+4)),"")</f>
        <v/>
      </c>
      <c r="H708" s="298" t="str">
        <f aca="true">IF(ISNUMBER($J708),INDIRECT("S"&amp;($J708+4)),"")</f>
        <v/>
      </c>
      <c r="J708" s="292" t="str">
        <f aca="true">IF(704&lt;=$K$1,MATCH(703.5,INDIRECT("$K$4:$K$1374"),1),"")</f>
        <v/>
      </c>
      <c r="K708" s="292" t="n">
        <f aca="false">$K$644+COUNTIF($Q$645:Q708,"&gt;0")</f>
        <v>0</v>
      </c>
      <c r="L708" s="292" t="str">
        <f aca="false">"Аудиоаксессуары"</f>
        <v>Аудиоаксессуары</v>
      </c>
      <c r="M708" s="292" t="str">
        <f aca="false">IF(ISBLANK(Аудиоаксессуары!$A$56),"",Аудиоаксессуары!$A$56)</f>
        <v>BC48 Broad QC3.0 автомобильный BT FM трансмиттер</v>
      </c>
      <c r="N708" s="292" t="str">
        <f aca="false">IF(ISBLANK(Аудиоаксессуары!$D$56),"",Аудиоаксессуары!$D$56)</f>
        <v>6941991104039</v>
      </c>
      <c r="O708" s="292" t="str">
        <f aca="false">IF(ISBLANK(Аудиоаксессуары!$E$56),"",Аудиоаксессуары!$E$56)</f>
        <v>черный</v>
      </c>
      <c r="P708" s="292" t="str">
        <f aca="false">"ед."</f>
        <v>ед.</v>
      </c>
      <c r="Q708" s="292" t="n">
        <f aca="false">N(Аудиоаксессуары!$G$56)</f>
        <v>0</v>
      </c>
      <c r="R708" s="299" t="n">
        <f aca="false">IF(ISBLANK(Аудиоаксессуары!$F$56),"",Аудиоаксессуары!$F$56)</f>
        <v>309.88</v>
      </c>
      <c r="S708" s="292" t="str">
        <f aca="false">IF(ISBLANK(Аудиоаксессуары!$H$56),"",Аудиоаксессуары!$H$56)</f>
        <v/>
      </c>
    </row>
    <row r="709" customFormat="false" ht="66" hidden="false" customHeight="true" outlineLevel="0" collapsed="false">
      <c r="A709" s="291" t="str">
        <f aca="true">IF(ISNUMBER($J709),INDIRECT("L"&amp;($J709+4)),"")</f>
        <v/>
      </c>
      <c r="B709" s="291" t="str">
        <f aca="true">IF(ISNUMBER($J709),INDIRECT("M"&amp;($J709+4)),"")</f>
        <v/>
      </c>
      <c r="C709" s="296" t="str">
        <f aca="true">IF(ISNUMBER($J709),INDIRECT("N"&amp;($J709+4)),"")</f>
        <v/>
      </c>
      <c r="D709" s="291" t="str">
        <f aca="true">IF(ISNUMBER($J709),INDIRECT("O"&amp;($J709+4)),"")</f>
        <v/>
      </c>
      <c r="E709" s="291" t="str">
        <f aca="true">IF(ISNUMBER($J709),INDIRECT("P"&amp;($J709+4)),"")</f>
        <v/>
      </c>
      <c r="F709" s="300" t="str">
        <f aca="true">IF(ISNUMBER($J709),INDIRECT("Q"&amp;($J709+4)),"")</f>
        <v/>
      </c>
      <c r="G709" s="298" t="str">
        <f aca="true">IF(ISNUMBER($J709),INDIRECT("R"&amp;($J709+4)),"")</f>
        <v/>
      </c>
      <c r="H709" s="298" t="str">
        <f aca="true">IF(ISNUMBER($J709),INDIRECT("S"&amp;($J709+4)),"")</f>
        <v/>
      </c>
      <c r="J709" s="292" t="str">
        <f aca="true">IF(705&lt;=$K$1,MATCH(704.5,INDIRECT("$K$4:$K$1374"),1),"")</f>
        <v/>
      </c>
      <c r="K709" s="292" t="n">
        <f aca="false">$K$644+COUNTIF($Q$645:Q709,"&gt;0")</f>
        <v>0</v>
      </c>
      <c r="L709" s="292" t="str">
        <f aca="false">"Аудиоаксессуары"</f>
        <v>Аудиоаксессуары</v>
      </c>
      <c r="M709" s="292" t="str">
        <f aca="false">IF(ISBLANK(Аудиоаксессуары!$A$57),"",Аудиоаксессуары!$A$57)</f>
        <v>BC43 Flash QC3.0 car BT FM transmitter</v>
      </c>
      <c r="N709" s="292" t="str">
        <f aca="false">IF(ISBLANK(Аудиоаксессуары!$D$57),"",Аудиоаксессуары!$D$57)</f>
        <v>6974443387223</v>
      </c>
      <c r="O709" s="292" t="str">
        <f aca="false">IF(ISBLANK(Аудиоаксессуары!$E$57),"",Аудиоаксессуары!$E$57)</f>
        <v>черный</v>
      </c>
      <c r="P709" s="292" t="str">
        <f aca="false">"ед."</f>
        <v>ед.</v>
      </c>
      <c r="Q709" s="292" t="n">
        <f aca="false">N(Аудиоаксессуары!$G$57)</f>
        <v>0</v>
      </c>
      <c r="R709" s="299" t="n">
        <f aca="false">IF(ISBLANK(Аудиоаксессуары!$F$57),"",Аудиоаксессуары!$F$57)</f>
        <v>456.66</v>
      </c>
      <c r="S709" s="292" t="str">
        <f aca="false">IF(ISBLANK(Аудиоаксессуары!$H$57),"",Аудиоаксессуары!$H$57)</f>
        <v/>
      </c>
    </row>
    <row r="710" customFormat="false" ht="66" hidden="false" customHeight="true" outlineLevel="0" collapsed="false">
      <c r="A710" s="291" t="str">
        <f aca="true">IF(ISNUMBER($J710),INDIRECT("L"&amp;($J710+4)),"")</f>
        <v/>
      </c>
      <c r="B710" s="291" t="str">
        <f aca="true">IF(ISNUMBER($J710),INDIRECT("M"&amp;($J710+4)),"")</f>
        <v/>
      </c>
      <c r="C710" s="296" t="str">
        <f aca="true">IF(ISNUMBER($J710),INDIRECT("N"&amp;($J710+4)),"")</f>
        <v/>
      </c>
      <c r="D710" s="291" t="str">
        <f aca="true">IF(ISNUMBER($J710),INDIRECT("O"&amp;($J710+4)),"")</f>
        <v/>
      </c>
      <c r="E710" s="291" t="str">
        <f aca="true">IF(ISNUMBER($J710),INDIRECT("P"&amp;($J710+4)),"")</f>
        <v/>
      </c>
      <c r="F710" s="300" t="str">
        <f aca="true">IF(ISNUMBER($J710),INDIRECT("Q"&amp;($J710+4)),"")</f>
        <v/>
      </c>
      <c r="G710" s="298" t="str">
        <f aca="true">IF(ISNUMBER($J710),INDIRECT("R"&amp;($J710+4)),"")</f>
        <v/>
      </c>
      <c r="H710" s="298" t="str">
        <f aca="true">IF(ISNUMBER($J710),INDIRECT("S"&amp;($J710+4)),"")</f>
        <v/>
      </c>
      <c r="J710" s="292" t="str">
        <f aca="true">IF(706&lt;=$K$1,MATCH(705.5,INDIRECT("$K$4:$K$1374"),1),"")</f>
        <v/>
      </c>
      <c r="K710" s="292" t="n">
        <f aca="false">$K$644+COUNTIF($Q$645:Q710,"&gt;0")</f>
        <v>0</v>
      </c>
      <c r="L710" s="292" t="str">
        <f aca="false">"Аудиоаксессуары"</f>
        <v>Аудиоаксессуары</v>
      </c>
      <c r="M710" s="292" t="str">
        <f aca="false">IF(ISBLANK(Аудиоаксессуары!$A$58),"",Аудиоаксессуары!$A$58)</f>
        <v>BC35 Wideway автомобильный AUX BT ресивер</v>
      </c>
      <c r="N710" s="292" t="str">
        <f aca="false">IF(ISBLANK(Аудиоаксессуары!$D$58),"",Аудиоаксессуары!$D$58)</f>
        <v>6974443381450</v>
      </c>
      <c r="O710" s="292" t="str">
        <f aca="false">IF(ISBLANK(Аудиоаксессуары!$E$58),"",Аудиоаксессуары!$E$58)</f>
        <v>черный</v>
      </c>
      <c r="P710" s="292" t="str">
        <f aca="false">"ед."</f>
        <v>ед.</v>
      </c>
      <c r="Q710" s="292" t="n">
        <f aca="false">N(Аудиоаксессуары!$G$58)</f>
        <v>0</v>
      </c>
      <c r="R710" s="299" t="n">
        <f aca="false">IF(ISBLANK(Аудиоаксессуары!$F$58),"",Аудиоаксессуары!$F$58)</f>
        <v>350.65</v>
      </c>
      <c r="S710" s="292" t="str">
        <f aca="false">IF(ISBLANK(Аудиоаксессуары!$H$58),"",Аудиоаксессуары!$H$58)</f>
        <v/>
      </c>
    </row>
    <row r="711" customFormat="false" ht="66" hidden="false" customHeight="true" outlineLevel="0" collapsed="false">
      <c r="A711" s="291" t="str">
        <f aca="true">IF(ISNUMBER($J711),INDIRECT("L"&amp;($J711+4)),"")</f>
        <v/>
      </c>
      <c r="B711" s="291" t="str">
        <f aca="true">IF(ISNUMBER($J711),INDIRECT("M"&amp;($J711+4)),"")</f>
        <v/>
      </c>
      <c r="C711" s="296" t="str">
        <f aca="true">IF(ISNUMBER($J711),INDIRECT("N"&amp;($J711+4)),"")</f>
        <v/>
      </c>
      <c r="D711" s="291" t="str">
        <f aca="true">IF(ISNUMBER($J711),INDIRECT("O"&amp;($J711+4)),"")</f>
        <v/>
      </c>
      <c r="E711" s="291" t="str">
        <f aca="true">IF(ISNUMBER($J711),INDIRECT("P"&amp;($J711+4)),"")</f>
        <v/>
      </c>
      <c r="F711" s="300" t="str">
        <f aca="true">IF(ISNUMBER($J711),INDIRECT("Q"&amp;($J711+4)),"")</f>
        <v/>
      </c>
      <c r="G711" s="298" t="str">
        <f aca="true">IF(ISNUMBER($J711),INDIRECT("R"&amp;($J711+4)),"")</f>
        <v/>
      </c>
      <c r="H711" s="298" t="str">
        <f aca="true">IF(ISNUMBER($J711),INDIRECT("S"&amp;($J711+4)),"")</f>
        <v/>
      </c>
      <c r="J711" s="292" t="str">
        <f aca="true">IF(707&lt;=$K$1,MATCH(706.5,INDIRECT("$K$4:$K$1374"),1),"")</f>
        <v/>
      </c>
      <c r="K711" s="292" t="n">
        <f aca="false">$K$644+COUNTIF($Q$645:Q711,"&gt;0")</f>
        <v>0</v>
      </c>
      <c r="L711" s="292" t="str">
        <f aca="false">"Офис и игры"</f>
        <v>Офис и игры</v>
      </c>
      <c r="M711" s="292" t="str">
        <f aca="false">IF(ISBLANK('Офис и игры'!$A$5),"",'Офис и игры'!$A$5)</f>
        <v>BG151 Cielo беспроводная мышь два режима</v>
      </c>
      <c r="N711" s="292" t="str">
        <f aca="false">IF(ISBLANK('Офис и игры'!$D$5),"",'Офис и игры'!$D$5)</f>
        <v>6941991127687</v>
      </c>
      <c r="O711" s="292" t="str">
        <f aca="false">IF(ISBLANK('Офис и игры'!$E$5),"",'Офис и игры'!$E$5)</f>
        <v>чёрный</v>
      </c>
      <c r="P711" s="292" t="str">
        <f aca="false">"ед."</f>
        <v>ед.</v>
      </c>
      <c r="Q711" s="292" t="n">
        <f aca="false">N('Офис и игры'!$G$5)</f>
        <v>0</v>
      </c>
      <c r="R711" s="299" t="n">
        <f aca="false">IF(ISBLANK('Офис и игры'!$F$5),"",'Офис и игры'!$F$5)</f>
        <v>228.33</v>
      </c>
      <c r="S711" s="292" t="str">
        <f aca="false">IF(ISBLANK('Офис и игры'!$H$5),"",'Офис и игры'!$H$5)</f>
        <v/>
      </c>
    </row>
    <row r="712" customFormat="false" ht="66" hidden="false" customHeight="true" outlineLevel="0" collapsed="false">
      <c r="A712" s="291" t="str">
        <f aca="true">IF(ISNUMBER($J712),INDIRECT("L"&amp;($J712+4)),"")</f>
        <v/>
      </c>
      <c r="B712" s="291" t="str">
        <f aca="true">IF(ISNUMBER($J712),INDIRECT("M"&amp;($J712+4)),"")</f>
        <v/>
      </c>
      <c r="C712" s="296" t="str">
        <f aca="true">IF(ISNUMBER($J712),INDIRECT("N"&amp;($J712+4)),"")</f>
        <v/>
      </c>
      <c r="D712" s="291" t="str">
        <f aca="true">IF(ISNUMBER($J712),INDIRECT("O"&amp;($J712+4)),"")</f>
        <v/>
      </c>
      <c r="E712" s="291" t="str">
        <f aca="true">IF(ISNUMBER($J712),INDIRECT("P"&amp;($J712+4)),"")</f>
        <v/>
      </c>
      <c r="F712" s="300" t="str">
        <f aca="true">IF(ISNUMBER($J712),INDIRECT("Q"&amp;($J712+4)),"")</f>
        <v/>
      </c>
      <c r="G712" s="298" t="str">
        <f aca="true">IF(ISNUMBER($J712),INDIRECT("R"&amp;($J712+4)),"")</f>
        <v/>
      </c>
      <c r="H712" s="298" t="str">
        <f aca="true">IF(ISNUMBER($J712),INDIRECT("S"&amp;($J712+4)),"")</f>
        <v/>
      </c>
      <c r="J712" s="292" t="str">
        <f aca="true">IF(708&lt;=$K$1,MATCH(707.5,INDIRECT("$K$4:$K$1374"),1),"")</f>
        <v/>
      </c>
      <c r="K712" s="292" t="n">
        <f aca="false">$K$644+COUNTIF($Q$645:Q712,"&gt;0")</f>
        <v>0</v>
      </c>
      <c r="L712" s="292" t="str">
        <f aca="false">"Офис и игры"</f>
        <v>Офис и игры</v>
      </c>
      <c r="M712" s="292" t="str">
        <f aca="false">IF(ISBLANK('Офис и игры'!$A$5),"",'Офис и игры'!$A$5)</f>
        <v>BG151 Cielo беспроводная мышь два режима</v>
      </c>
      <c r="N712" s="292" t="str">
        <f aca="false">IF(ISBLANK('Офис и игры'!$D$6),"",'Офис и игры'!$D$6)</f>
        <v>6941991127694</v>
      </c>
      <c r="O712" s="292" t="str">
        <f aca="false">IF(ISBLANK('Офис и игры'!$E$6),"",'Офис и игры'!$E$6)</f>
        <v>белый</v>
      </c>
      <c r="P712" s="292" t="str">
        <f aca="false">"ед."</f>
        <v>ед.</v>
      </c>
      <c r="Q712" s="292" t="n">
        <f aca="false">N('Офис и игры'!$G$6)</f>
        <v>0</v>
      </c>
      <c r="R712" s="299" t="n">
        <f aca="false">IF(ISBLANK('Офис и игры'!$F$6),"",'Офис и игры'!$F$6)</f>
        <v>228.33</v>
      </c>
      <c r="S712" s="292" t="str">
        <f aca="false">IF(ISBLANK('Офис и игры'!$H$6),"",'Офис и игры'!$H$6)</f>
        <v/>
      </c>
    </row>
    <row r="713" customFormat="false" ht="66" hidden="false" customHeight="true" outlineLevel="0" collapsed="false">
      <c r="A713" s="291" t="str">
        <f aca="true">IF(ISNUMBER($J713),INDIRECT("L"&amp;($J713+4)),"")</f>
        <v/>
      </c>
      <c r="B713" s="291" t="str">
        <f aca="true">IF(ISNUMBER($J713),INDIRECT("M"&amp;($J713+4)),"")</f>
        <v/>
      </c>
      <c r="C713" s="296" t="str">
        <f aca="true">IF(ISNUMBER($J713),INDIRECT("N"&amp;($J713+4)),"")</f>
        <v/>
      </c>
      <c r="D713" s="291" t="str">
        <f aca="true">IF(ISNUMBER($J713),INDIRECT("O"&amp;($J713+4)),"")</f>
        <v/>
      </c>
      <c r="E713" s="291" t="str">
        <f aca="true">IF(ISNUMBER($J713),INDIRECT("P"&amp;($J713+4)),"")</f>
        <v/>
      </c>
      <c r="F713" s="300" t="str">
        <f aca="true">IF(ISNUMBER($J713),INDIRECT("Q"&amp;($J713+4)),"")</f>
        <v/>
      </c>
      <c r="G713" s="298" t="str">
        <f aca="true">IF(ISNUMBER($J713),INDIRECT("R"&amp;($J713+4)),"")</f>
        <v/>
      </c>
      <c r="H713" s="298" t="str">
        <f aca="true">IF(ISNUMBER($J713),INDIRECT("S"&amp;($J713+4)),"")</f>
        <v/>
      </c>
      <c r="J713" s="292" t="str">
        <f aca="true">IF(709&lt;=$K$1,MATCH(708.5,INDIRECT("$K$4:$K$1374"),1),"")</f>
        <v/>
      </c>
      <c r="K713" s="292" t="n">
        <f aca="false">$K$644+COUNTIF($Q$645:Q713,"&gt;0")</f>
        <v>0</v>
      </c>
      <c r="L713" s="292" t="str">
        <f aca="false">"Офис и игры"</f>
        <v>Офис и игры</v>
      </c>
      <c r="M713" s="292" t="str">
        <f aca="false">IF(ISBLANK('Офис и игры'!$A$7),"",'Офис и игры'!$A$7)</f>
        <v>BG221 Shadow проводная клавиатура (English version)</v>
      </c>
      <c r="N713" s="292" t="str">
        <f aca="false">IF(ISBLANK('Офис и игры'!$D$7),"",'Офис и игры'!$D$7)</f>
        <v>6941991131066</v>
      </c>
      <c r="O713" s="292" t="str">
        <f aca="false">IF(ISBLANK('Офис и игры'!$E$7),"",'Офис и игры'!$E$7)</f>
        <v>чёрный</v>
      </c>
      <c r="P713" s="292" t="str">
        <f aca="false">"ед."</f>
        <v>ед.</v>
      </c>
      <c r="Q713" s="292" t="n">
        <f aca="false">N('Офис и игры'!$G$7)</f>
        <v>0</v>
      </c>
      <c r="R713" s="299" t="n">
        <f aca="false">IF(ISBLANK('Офис и игры'!$F$7),"",'Офис и игры'!$F$7)</f>
        <v>342.5</v>
      </c>
      <c r="S713" s="292" t="str">
        <f aca="false">IF(ISBLANK('Офис и игры'!$H$7),"",'Офис и игры'!$H$7)</f>
        <v/>
      </c>
    </row>
    <row r="714" customFormat="false" ht="66" hidden="false" customHeight="true" outlineLevel="0" collapsed="false">
      <c r="A714" s="291" t="str">
        <f aca="true">IF(ISNUMBER($J714),INDIRECT("L"&amp;($J714+4)),"")</f>
        <v/>
      </c>
      <c r="B714" s="291" t="str">
        <f aca="true">IF(ISNUMBER($J714),INDIRECT("M"&amp;($J714+4)),"")</f>
        <v/>
      </c>
      <c r="C714" s="296" t="str">
        <f aca="true">IF(ISNUMBER($J714),INDIRECT("N"&amp;($J714+4)),"")</f>
        <v/>
      </c>
      <c r="D714" s="291" t="str">
        <f aca="true">IF(ISNUMBER($J714),INDIRECT("O"&amp;($J714+4)),"")</f>
        <v/>
      </c>
      <c r="E714" s="291" t="str">
        <f aca="true">IF(ISNUMBER($J714),INDIRECT("P"&amp;($J714+4)),"")</f>
        <v/>
      </c>
      <c r="F714" s="300" t="str">
        <f aca="true">IF(ISNUMBER($J714),INDIRECT("Q"&amp;($J714+4)),"")</f>
        <v/>
      </c>
      <c r="G714" s="298" t="str">
        <f aca="true">IF(ISNUMBER($J714),INDIRECT("R"&amp;($J714+4)),"")</f>
        <v/>
      </c>
      <c r="H714" s="298" t="str">
        <f aca="true">IF(ISNUMBER($J714),INDIRECT("S"&amp;($J714+4)),"")</f>
        <v/>
      </c>
      <c r="J714" s="292" t="str">
        <f aca="true">IF(710&lt;=$K$1,MATCH(709.5,INDIRECT("$K$4:$K$1374"),1),"")</f>
        <v/>
      </c>
      <c r="K714" s="292" t="n">
        <f aca="false">$K$644+COUNTIF($Q$645:Q714,"&gt;0")</f>
        <v>0</v>
      </c>
      <c r="L714" s="292" t="str">
        <f aca="false">"Офис и игры"</f>
        <v>Офис и игры</v>
      </c>
      <c r="M714" s="292" t="str">
        <f aca="false">IF(ISBLANK('Офис и игры'!$A$8),"",'Офис и игры'!$A$8)</f>
        <v>BG221 Shadow проводная клавиатура (кириллица)</v>
      </c>
      <c r="N714" s="292" t="str">
        <f aca="false">IF(ISBLANK('Офис и игры'!$D$8),"",'Офис и игры'!$D$8)</f>
        <v>6941991131073</v>
      </c>
      <c r="O714" s="292" t="str">
        <f aca="false">IF(ISBLANK('Офис и игры'!$E$8),"",'Офис и игры'!$E$8)</f>
        <v>чёрный</v>
      </c>
      <c r="P714" s="292" t="str">
        <f aca="false">"ед."</f>
        <v>ед.</v>
      </c>
      <c r="Q714" s="292" t="n">
        <f aca="false">N('Офис и игры'!$G$8)</f>
        <v>0</v>
      </c>
      <c r="R714" s="299" t="n">
        <f aca="false">IF(ISBLANK('Офис и игры'!$F$8),"",'Офис и игры'!$F$8)</f>
        <v>342.5</v>
      </c>
      <c r="S714" s="292" t="str">
        <f aca="false">IF(ISBLANK('Офис и игры'!$H$8),"",'Офис и игры'!$H$8)</f>
        <v/>
      </c>
    </row>
    <row r="715" customFormat="false" ht="66" hidden="false" customHeight="true" outlineLevel="0" collapsed="false">
      <c r="A715" s="291" t="str">
        <f aca="true">IF(ISNUMBER($J715),INDIRECT("L"&amp;($J715+4)),"")</f>
        <v/>
      </c>
      <c r="B715" s="291" t="str">
        <f aca="true">IF(ISNUMBER($J715),INDIRECT("M"&amp;($J715+4)),"")</f>
        <v/>
      </c>
      <c r="C715" s="296" t="str">
        <f aca="true">IF(ISNUMBER($J715),INDIRECT("N"&amp;($J715+4)),"")</f>
        <v/>
      </c>
      <c r="D715" s="291" t="str">
        <f aca="true">IF(ISNUMBER($J715),INDIRECT("O"&amp;($J715+4)),"")</f>
        <v/>
      </c>
      <c r="E715" s="291" t="str">
        <f aca="true">IF(ISNUMBER($J715),INDIRECT("P"&amp;($J715+4)),"")</f>
        <v/>
      </c>
      <c r="F715" s="300" t="str">
        <f aca="true">IF(ISNUMBER($J715),INDIRECT("Q"&amp;($J715+4)),"")</f>
        <v/>
      </c>
      <c r="G715" s="298" t="str">
        <f aca="true">IF(ISNUMBER($J715),INDIRECT("R"&amp;($J715+4)),"")</f>
        <v/>
      </c>
      <c r="H715" s="298" t="str">
        <f aca="true">IF(ISNUMBER($J715),INDIRECT("S"&amp;($J715+4)),"")</f>
        <v/>
      </c>
      <c r="J715" s="292" t="str">
        <f aca="true">IF(711&lt;=$K$1,MATCH(710.5,INDIRECT("$K$4:$K$1374"),1),"")</f>
        <v/>
      </c>
      <c r="K715" s="292" t="n">
        <f aca="false">$K$644+COUNTIF($Q$645:Q715,"&gt;0")</f>
        <v>0</v>
      </c>
      <c r="L715" s="292" t="str">
        <f aca="false">"Офис и игры"</f>
        <v>Офис и игры</v>
      </c>
      <c r="M715" s="292" t="str">
        <f aca="false">IF(ISBLANK('Офис и игры'!$A$9),"",'Офис и игры'!$A$9)</f>
        <v>BG101 Active емкостное перо с дисплеем для планшета</v>
      </c>
      <c r="N715" s="292" t="str">
        <f aca="false">IF(ISBLANK('Офис и игры'!$D$9),"",'Офис и игры'!$D$9)</f>
        <v>6941991115974</v>
      </c>
      <c r="O715" s="292" t="str">
        <f aca="false">IF(ISBLANK('Офис и игры'!$E$9),"",'Офис и игры'!$E$9)</f>
        <v>белый</v>
      </c>
      <c r="P715" s="292" t="str">
        <f aca="false">"ед."</f>
        <v>ед.</v>
      </c>
      <c r="Q715" s="292" t="n">
        <f aca="false">N('Офис и игры'!$G$9)</f>
        <v>0</v>
      </c>
      <c r="R715" s="299" t="n">
        <f aca="false">IF(ISBLANK('Офис и игры'!$F$9),"",'Офис и игры'!$F$9)</f>
        <v>521.9</v>
      </c>
      <c r="S715" s="292" t="str">
        <f aca="false">IF(ISBLANK('Офис и игры'!$H$9),"",'Офис и игры'!$H$9)</f>
        <v/>
      </c>
    </row>
    <row r="716" customFormat="false" ht="66" hidden="false" customHeight="true" outlineLevel="0" collapsed="false">
      <c r="A716" s="291" t="str">
        <f aca="true">IF(ISNUMBER($J716),INDIRECT("L"&amp;($J716+4)),"")</f>
        <v/>
      </c>
      <c r="B716" s="291" t="str">
        <f aca="true">IF(ISNUMBER($J716),INDIRECT("M"&amp;($J716+4)),"")</f>
        <v/>
      </c>
      <c r="C716" s="296" t="str">
        <f aca="true">IF(ISNUMBER($J716),INDIRECT("N"&amp;($J716+4)),"")</f>
        <v/>
      </c>
      <c r="D716" s="291" t="str">
        <f aca="true">IF(ISNUMBER($J716),INDIRECT("O"&amp;($J716+4)),"")</f>
        <v/>
      </c>
      <c r="E716" s="291" t="str">
        <f aca="true">IF(ISNUMBER($J716),INDIRECT("P"&amp;($J716+4)),"")</f>
        <v/>
      </c>
      <c r="F716" s="300" t="str">
        <f aca="true">IF(ISNUMBER($J716),INDIRECT("Q"&amp;($J716+4)),"")</f>
        <v/>
      </c>
      <c r="G716" s="298" t="str">
        <f aca="true">IF(ISNUMBER($J716),INDIRECT("R"&amp;($J716+4)),"")</f>
        <v/>
      </c>
      <c r="H716" s="298" t="str">
        <f aca="true">IF(ISNUMBER($J716),INDIRECT("S"&amp;($J716+4)),"")</f>
        <v/>
      </c>
      <c r="J716" s="292" t="str">
        <f aca="true">IF(712&lt;=$K$1,MATCH(711.5,INDIRECT("$K$4:$K$1374"),1),"")</f>
        <v/>
      </c>
      <c r="K716" s="292" t="n">
        <f aca="false">$K$644+COUNTIF($Q$645:Q716,"&gt;0")</f>
        <v>0</v>
      </c>
      <c r="L716" s="292" t="str">
        <f aca="false">"Офис и игры"</f>
        <v>Офис и игры</v>
      </c>
      <c r="M716" s="292" t="str">
        <f aca="false">IF(ISBLANK('Офис и игры'!$A$10),"",'Офис и игры'!$A$10)</f>
        <v>BG100 Universal емкостное перо с дисплеем</v>
      </c>
      <c r="N716" s="292" t="str">
        <f aca="false">IF(ISBLANK('Офис и игры'!$D$10),"",'Офис и игры'!$D$10)</f>
        <v>6941991115950</v>
      </c>
      <c r="O716" s="292" t="str">
        <f aca="false">IF(ISBLANK('Офис и игры'!$E$10),"",'Офис и игры'!$E$10)</f>
        <v>чёрный</v>
      </c>
      <c r="P716" s="292" t="str">
        <f aca="false">"ед."</f>
        <v>ед.</v>
      </c>
      <c r="Q716" s="292" t="n">
        <f aca="false">N('Офис и игры'!$G$10)</f>
        <v>0</v>
      </c>
      <c r="R716" s="299" t="n">
        <f aca="false">IF(ISBLANK('Офис и игры'!$F$10),"",'Офис и игры'!$F$10)</f>
        <v>521.9</v>
      </c>
      <c r="S716" s="292" t="str">
        <f aca="false">IF(ISBLANK('Офис и игры'!$H$10),"",'Офис и игры'!$H$10)</f>
        <v/>
      </c>
    </row>
    <row r="717" customFormat="false" ht="66" hidden="false" customHeight="true" outlineLevel="0" collapsed="false">
      <c r="A717" s="291" t="str">
        <f aca="true">IF(ISNUMBER($J717),INDIRECT("L"&amp;($J717+4)),"")</f>
        <v/>
      </c>
      <c r="B717" s="291" t="str">
        <f aca="true">IF(ISNUMBER($J717),INDIRECT("M"&amp;($J717+4)),"")</f>
        <v/>
      </c>
      <c r="C717" s="296" t="str">
        <f aca="true">IF(ISNUMBER($J717),INDIRECT("N"&amp;($J717+4)),"")</f>
        <v/>
      </c>
      <c r="D717" s="291" t="str">
        <f aca="true">IF(ISNUMBER($J717),INDIRECT("O"&amp;($J717+4)),"")</f>
        <v/>
      </c>
      <c r="E717" s="291" t="str">
        <f aca="true">IF(ISNUMBER($J717),INDIRECT("P"&amp;($J717+4)),"")</f>
        <v/>
      </c>
      <c r="F717" s="300" t="str">
        <f aca="true">IF(ISNUMBER($J717),INDIRECT("Q"&amp;($J717+4)),"")</f>
        <v/>
      </c>
      <c r="G717" s="298" t="str">
        <f aca="true">IF(ISNUMBER($J717),INDIRECT("R"&amp;($J717+4)),"")</f>
        <v/>
      </c>
      <c r="H717" s="298" t="str">
        <f aca="true">IF(ISNUMBER($J717),INDIRECT("S"&amp;($J717+4)),"")</f>
        <v/>
      </c>
      <c r="J717" s="292" t="str">
        <f aca="true">IF(713&lt;=$K$1,MATCH(712.5,INDIRECT("$K$4:$K$1374"),1),"")</f>
        <v/>
      </c>
      <c r="K717" s="292" t="n">
        <f aca="false">$K$644+COUNTIF($Q$645:Q717,"&gt;0")</f>
        <v>0</v>
      </c>
      <c r="L717" s="292" t="str">
        <f aca="false">"Офис и игры"</f>
        <v>Офис и игры</v>
      </c>
      <c r="M717" s="292" t="str">
        <f aca="false">IF(ISBLANK('Офис и игры'!$A$11),"",'Офис и игры'!$A$11)</f>
        <v>BG19 Moda проводная мышь</v>
      </c>
      <c r="N717" s="292" t="str">
        <f aca="false">IF(ISBLANK('Офис и игры'!$D$11),"",'Офис и игры'!$D$11)</f>
        <v>6941991130236</v>
      </c>
      <c r="O717" s="292" t="str">
        <f aca="false">IF(ISBLANK('Офис и игры'!$E$11),"",'Офис и игры'!$E$11)</f>
        <v>чёрный</v>
      </c>
      <c r="P717" s="292" t="str">
        <f aca="false">"ед."</f>
        <v>ед.</v>
      </c>
      <c r="Q717" s="292" t="n">
        <f aca="false">N('Офис и игры'!$G$11)</f>
        <v>0</v>
      </c>
      <c r="R717" s="299" t="n">
        <f aca="false">IF(ISBLANK('Офис и игры'!$F$11),"",'Офис и игры'!$F$11)</f>
        <v>117.43</v>
      </c>
      <c r="S717" s="292" t="str">
        <f aca="false">IF(ISBLANK('Офис и игры'!$H$11),"",'Офис и игры'!$H$11)</f>
        <v/>
      </c>
    </row>
    <row r="718" customFormat="false" ht="66" hidden="false" customHeight="true" outlineLevel="0" collapsed="false">
      <c r="A718" s="291" t="str">
        <f aca="true">IF(ISNUMBER($J718),INDIRECT("L"&amp;($J718+4)),"")</f>
        <v/>
      </c>
      <c r="B718" s="291" t="str">
        <f aca="true">IF(ISNUMBER($J718),INDIRECT("M"&amp;($J718+4)),"")</f>
        <v/>
      </c>
      <c r="C718" s="296" t="str">
        <f aca="true">IF(ISNUMBER($J718),INDIRECT("N"&amp;($J718+4)),"")</f>
        <v/>
      </c>
      <c r="D718" s="291" t="str">
        <f aca="true">IF(ISNUMBER($J718),INDIRECT("O"&amp;($J718+4)),"")</f>
        <v/>
      </c>
      <c r="E718" s="291" t="str">
        <f aca="true">IF(ISNUMBER($J718),INDIRECT("P"&amp;($J718+4)),"")</f>
        <v/>
      </c>
      <c r="F718" s="300" t="str">
        <f aca="true">IF(ISNUMBER($J718),INDIRECT("Q"&amp;($J718+4)),"")</f>
        <v/>
      </c>
      <c r="G718" s="298" t="str">
        <f aca="true">IF(ISNUMBER($J718),INDIRECT("R"&amp;($J718+4)),"")</f>
        <v/>
      </c>
      <c r="H718" s="298" t="str">
        <f aca="true">IF(ISNUMBER($J718),INDIRECT("S"&amp;($J718+4)),"")</f>
        <v/>
      </c>
      <c r="J718" s="292" t="str">
        <f aca="true">IF(714&lt;=$K$1,MATCH(713.5,INDIRECT("$K$4:$K$1374"),1),"")</f>
        <v/>
      </c>
      <c r="K718" s="292" t="n">
        <f aca="false">$K$644+COUNTIF($Q$645:Q718,"&gt;0")</f>
        <v>0</v>
      </c>
      <c r="L718" s="292" t="str">
        <f aca="false">"Офис и игры"</f>
        <v>Офис и игры</v>
      </c>
      <c r="M718" s="292" t="str">
        <f aca="false">IF(ISBLANK('Офис и игры'!$A$11),"",'Офис и игры'!$A$11)</f>
        <v>BG19 Moda проводная мышь</v>
      </c>
      <c r="N718" s="292" t="str">
        <f aca="false">IF(ISBLANK('Офис и игры'!$D$12),"",'Офис и игры'!$D$12)</f>
        <v>6941991130243</v>
      </c>
      <c r="O718" s="292" t="str">
        <f aca="false">IF(ISBLANK('Офис и игры'!$E$12),"",'Офис и игры'!$E$12)</f>
        <v>белый</v>
      </c>
      <c r="P718" s="292" t="str">
        <f aca="false">"ед."</f>
        <v>ед.</v>
      </c>
      <c r="Q718" s="292" t="n">
        <f aca="false">N('Офис и игры'!$G$12)</f>
        <v>0</v>
      </c>
      <c r="R718" s="299" t="n">
        <f aca="false">IF(ISBLANK('Офис и игры'!$F$12),"",'Офис и игры'!$F$12)</f>
        <v>117.43</v>
      </c>
      <c r="S718" s="292" t="str">
        <f aca="false">IF(ISBLANK('Офис и игры'!$H$12),"",'Офис и игры'!$H$12)</f>
        <v/>
      </c>
    </row>
    <row r="719" customFormat="false" ht="66" hidden="false" customHeight="true" outlineLevel="0" collapsed="false">
      <c r="A719" s="291" t="str">
        <f aca="true">IF(ISNUMBER($J719),INDIRECT("L"&amp;($J719+4)),"")</f>
        <v/>
      </c>
      <c r="B719" s="291" t="str">
        <f aca="true">IF(ISNUMBER($J719),INDIRECT("M"&amp;($J719+4)),"")</f>
        <v/>
      </c>
      <c r="C719" s="296" t="str">
        <f aca="true">IF(ISNUMBER($J719),INDIRECT("N"&amp;($J719+4)),"")</f>
        <v/>
      </c>
      <c r="D719" s="291" t="str">
        <f aca="true">IF(ISNUMBER($J719),INDIRECT("O"&amp;($J719+4)),"")</f>
        <v/>
      </c>
      <c r="E719" s="291" t="str">
        <f aca="true">IF(ISNUMBER($J719),INDIRECT("P"&amp;($J719+4)),"")</f>
        <v/>
      </c>
      <c r="F719" s="300" t="str">
        <f aca="true">IF(ISNUMBER($J719),INDIRECT("Q"&amp;($J719+4)),"")</f>
        <v/>
      </c>
      <c r="G719" s="298" t="str">
        <f aca="true">IF(ISNUMBER($J719),INDIRECT("R"&amp;($J719+4)),"")</f>
        <v/>
      </c>
      <c r="H719" s="298" t="str">
        <f aca="true">IF(ISNUMBER($J719),INDIRECT("S"&amp;($J719+4)),"")</f>
        <v/>
      </c>
      <c r="J719" s="292" t="str">
        <f aca="true">IF(715&lt;=$K$1,MATCH(714.5,INDIRECT("$K$4:$K$1374"),1),"")</f>
        <v/>
      </c>
      <c r="K719" s="292" t="n">
        <f aca="false">$K$644+COUNTIF($Q$645:Q719,"&gt;0")</f>
        <v>0</v>
      </c>
      <c r="L719" s="292" t="str">
        <f aca="false">"Офис и игры"</f>
        <v>Офис и игры</v>
      </c>
      <c r="M719" s="292" t="str">
        <f aca="false">IF(ISBLANK('Офис и игры'!$A$13),"",'Офис и игры'!$A$13)</f>
        <v>BG18 Valeroso игровая проводная мышь с подсветкой</v>
      </c>
      <c r="N719" s="292" t="str">
        <f aca="false">IF(ISBLANK('Офис и игры'!$D$13),"",'Офис и игры'!$D$13)</f>
        <v>6941991127816</v>
      </c>
      <c r="O719" s="292" t="str">
        <f aca="false">IF(ISBLANK('Офис и игры'!$E$13),"",'Офис и игры'!$E$13)</f>
        <v>чёрный</v>
      </c>
      <c r="P719" s="292" t="str">
        <f aca="false">"ед."</f>
        <v>ед.</v>
      </c>
      <c r="Q719" s="292" t="n">
        <f aca="false">N('Офис и игры'!$G$13)</f>
        <v>0</v>
      </c>
      <c r="R719" s="299" t="n">
        <f aca="false">IF(ISBLANK('Офис и игры'!$F$13),"",'Офис и игры'!$F$13)</f>
        <v>318.03</v>
      </c>
      <c r="S719" s="292" t="str">
        <f aca="false">IF(ISBLANK('Офис и игры'!$H$13),"",'Офис и игры'!$H$13)</f>
        <v/>
      </c>
    </row>
    <row r="720" customFormat="false" ht="66" hidden="false" customHeight="true" outlineLevel="0" collapsed="false">
      <c r="A720" s="291" t="str">
        <f aca="true">IF(ISNUMBER($J720),INDIRECT("L"&amp;($J720+4)),"")</f>
        <v/>
      </c>
      <c r="B720" s="291" t="str">
        <f aca="true">IF(ISNUMBER($J720),INDIRECT("M"&amp;($J720+4)),"")</f>
        <v/>
      </c>
      <c r="C720" s="296" t="str">
        <f aca="true">IF(ISNUMBER($J720),INDIRECT("N"&amp;($J720+4)),"")</f>
        <v/>
      </c>
      <c r="D720" s="291" t="str">
        <f aca="true">IF(ISNUMBER($J720),INDIRECT("O"&amp;($J720+4)),"")</f>
        <v/>
      </c>
      <c r="E720" s="291" t="str">
        <f aca="true">IF(ISNUMBER($J720),INDIRECT("P"&amp;($J720+4)),"")</f>
        <v/>
      </c>
      <c r="F720" s="300" t="str">
        <f aca="true">IF(ISNUMBER($J720),INDIRECT("Q"&amp;($J720+4)),"")</f>
        <v/>
      </c>
      <c r="G720" s="298" t="str">
        <f aca="true">IF(ISNUMBER($J720),INDIRECT("R"&amp;($J720+4)),"")</f>
        <v/>
      </c>
      <c r="H720" s="298" t="str">
        <f aca="true">IF(ISNUMBER($J720),INDIRECT("S"&amp;($J720+4)),"")</f>
        <v/>
      </c>
      <c r="J720" s="292" t="str">
        <f aca="true">IF(716&lt;=$K$1,MATCH(715.5,INDIRECT("$K$4:$K$1374"),1),"")</f>
        <v/>
      </c>
      <c r="K720" s="292" t="n">
        <f aca="false">$K$644+COUNTIF($Q$645:Q720,"&gt;0")</f>
        <v>0</v>
      </c>
      <c r="L720" s="292" t="str">
        <f aca="false">"Офис и игры"</f>
        <v>Офис и игры</v>
      </c>
      <c r="M720" s="292" t="str">
        <f aca="false">IF(ISBLANK('Офис и игры'!$A$13),"",'Офис и игры'!$A$13)</f>
        <v>BG18 Valeroso игровая проводная мышь с подсветкой</v>
      </c>
      <c r="N720" s="292" t="str">
        <f aca="false">IF(ISBLANK('Офис и игры'!$D$14),"",'Офис и игры'!$D$14)</f>
        <v>6941991127823</v>
      </c>
      <c r="O720" s="292" t="str">
        <f aca="false">IF(ISBLANK('Офис и игры'!$E$14),"",'Офис и игры'!$E$14)</f>
        <v>серый и белый</v>
      </c>
      <c r="P720" s="292" t="str">
        <f aca="false">"ед."</f>
        <v>ед.</v>
      </c>
      <c r="Q720" s="292" t="n">
        <f aca="false">N('Офис и игры'!$G$14)</f>
        <v>0</v>
      </c>
      <c r="R720" s="299" t="n">
        <f aca="false">IF(ISBLANK('Офис и игры'!$F$14),"",'Офис и игры'!$F$14)</f>
        <v>318.03</v>
      </c>
      <c r="S720" s="292" t="str">
        <f aca="false">IF(ISBLANK('Офис и игры'!$H$14),"",'Офис и игры'!$H$14)</f>
        <v/>
      </c>
    </row>
    <row r="721" customFormat="false" ht="66" hidden="false" customHeight="true" outlineLevel="0" collapsed="false">
      <c r="A721" s="291" t="str">
        <f aca="true">IF(ISNUMBER($J721),INDIRECT("L"&amp;($J721+4)),"")</f>
        <v/>
      </c>
      <c r="B721" s="291" t="str">
        <f aca="true">IF(ISNUMBER($J721),INDIRECT("M"&amp;($J721+4)),"")</f>
        <v/>
      </c>
      <c r="C721" s="296" t="str">
        <f aca="true">IF(ISNUMBER($J721),INDIRECT("N"&amp;($J721+4)),"")</f>
        <v/>
      </c>
      <c r="D721" s="291" t="str">
        <f aca="true">IF(ISNUMBER($J721),INDIRECT("O"&amp;($J721+4)),"")</f>
        <v/>
      </c>
      <c r="E721" s="291" t="str">
        <f aca="true">IF(ISNUMBER($J721),INDIRECT("P"&amp;($J721+4)),"")</f>
        <v/>
      </c>
      <c r="F721" s="300" t="str">
        <f aca="true">IF(ISNUMBER($J721),INDIRECT("Q"&amp;($J721+4)),"")</f>
        <v/>
      </c>
      <c r="G721" s="298" t="str">
        <f aca="true">IF(ISNUMBER($J721),INDIRECT("R"&amp;($J721+4)),"")</f>
        <v/>
      </c>
      <c r="H721" s="298" t="str">
        <f aca="true">IF(ISNUMBER($J721),INDIRECT("S"&amp;($J721+4)),"")</f>
        <v/>
      </c>
      <c r="J721" s="292" t="str">
        <f aca="true">IF(717&lt;=$K$1,MATCH(716.5,INDIRECT("$K$4:$K$1374"),1),"")</f>
        <v/>
      </c>
      <c r="K721" s="292" t="n">
        <f aca="false">$K$644+COUNTIF($Q$645:Q721,"&gt;0")</f>
        <v>0</v>
      </c>
      <c r="L721" s="292" t="str">
        <f aca="false">"Офис и игры"</f>
        <v>Офис и игры</v>
      </c>
      <c r="M721" s="292" t="str">
        <f aca="false">IF(ISBLANK('Офис и игры'!$A$15),"",'Офис и игры'!$A$15)</f>
        <v>BG17 Morning проводная мышь</v>
      </c>
      <c r="N721" s="292" t="str">
        <f aca="false">IF(ISBLANK('Офис и игры'!$D$15),"",'Офис и игры'!$D$15)</f>
        <v>6941991119125</v>
      </c>
      <c r="O721" s="292" t="str">
        <f aca="false">IF(ISBLANK('Офис и игры'!$E$15),"",'Офис и игры'!$E$15)</f>
        <v>чёрный</v>
      </c>
      <c r="P721" s="292" t="str">
        <f aca="false">"ед."</f>
        <v>ед.</v>
      </c>
      <c r="Q721" s="292" t="n">
        <f aca="false">N('Офис и игры'!$G$15)</f>
        <v>0</v>
      </c>
      <c r="R721" s="299" t="n">
        <f aca="false">IF(ISBLANK('Офис и игры'!$F$15),"",'Офис и игры'!$F$15)</f>
        <v>187.56</v>
      </c>
      <c r="S721" s="292" t="str">
        <f aca="false">IF(ISBLANK('Офис и игры'!$H$15),"",'Офис и игры'!$H$15)</f>
        <v/>
      </c>
    </row>
    <row r="722" customFormat="false" ht="66" hidden="false" customHeight="true" outlineLevel="0" collapsed="false">
      <c r="A722" s="291" t="str">
        <f aca="true">IF(ISNUMBER($J722),INDIRECT("L"&amp;($J722+4)),"")</f>
        <v/>
      </c>
      <c r="B722" s="291" t="str">
        <f aca="true">IF(ISNUMBER($J722),INDIRECT("M"&amp;($J722+4)),"")</f>
        <v/>
      </c>
      <c r="C722" s="296" t="str">
        <f aca="true">IF(ISNUMBER($J722),INDIRECT("N"&amp;($J722+4)),"")</f>
        <v/>
      </c>
      <c r="D722" s="291" t="str">
        <f aca="true">IF(ISNUMBER($J722),INDIRECT("O"&amp;($J722+4)),"")</f>
        <v/>
      </c>
      <c r="E722" s="291" t="str">
        <f aca="true">IF(ISNUMBER($J722),INDIRECT("P"&amp;($J722+4)),"")</f>
        <v/>
      </c>
      <c r="F722" s="300" t="str">
        <f aca="true">IF(ISNUMBER($J722),INDIRECT("Q"&amp;($J722+4)),"")</f>
        <v/>
      </c>
      <c r="G722" s="298" t="str">
        <f aca="true">IF(ISNUMBER($J722),INDIRECT("R"&amp;($J722+4)),"")</f>
        <v/>
      </c>
      <c r="H722" s="298" t="str">
        <f aca="true">IF(ISNUMBER($J722),INDIRECT("S"&amp;($J722+4)),"")</f>
        <v/>
      </c>
      <c r="J722" s="292" t="str">
        <f aca="true">IF(718&lt;=$K$1,MATCH(717.5,INDIRECT("$K$4:$K$1374"),1),"")</f>
        <v/>
      </c>
      <c r="K722" s="292" t="n">
        <f aca="false">$K$644+COUNTIF($Q$645:Q722,"&gt;0")</f>
        <v>0</v>
      </c>
      <c r="L722" s="292" t="str">
        <f aca="false">"Офис и игры"</f>
        <v>Офис и игры</v>
      </c>
      <c r="M722" s="292" t="str">
        <f aca="false">IF(ISBLANK('Офис и игры'!$A$16),"",'Офис и игры'!$A$16)</f>
        <v>BG15 Travel магнитное охлаждение для телефона</v>
      </c>
      <c r="N722" s="292" t="str">
        <f aca="false">IF(ISBLANK('Офис и игры'!$D$16),"",'Офис и игры'!$D$16)</f>
        <v>6941991117329</v>
      </c>
      <c r="O722" s="292" t="str">
        <f aca="false">IF(ISBLANK('Офис и игры'!$E$16),"",'Офис и игры'!$E$16)</f>
        <v>чёрный</v>
      </c>
      <c r="P722" s="292" t="str">
        <f aca="false">"ед."</f>
        <v>ед.</v>
      </c>
      <c r="Q722" s="292" t="n">
        <f aca="false">N('Офис и игры'!$G$16)</f>
        <v>0</v>
      </c>
      <c r="R722" s="299" t="n">
        <f aca="false">IF(ISBLANK('Офис и игры'!$F$16),"",'Офис и игры'!$F$16)</f>
        <v>415.89</v>
      </c>
      <c r="S722" s="292" t="str">
        <f aca="false">IF(ISBLANK('Офис и игры'!$H$16),"",'Офис и игры'!$H$16)</f>
        <v/>
      </c>
    </row>
    <row r="723" customFormat="false" ht="66" hidden="false" customHeight="true" outlineLevel="0" collapsed="false">
      <c r="A723" s="291" t="str">
        <f aca="true">IF(ISNUMBER($J723),INDIRECT("L"&amp;($J723+4)),"")</f>
        <v/>
      </c>
      <c r="B723" s="291" t="str">
        <f aca="true">IF(ISNUMBER($J723),INDIRECT("M"&amp;($J723+4)),"")</f>
        <v/>
      </c>
      <c r="C723" s="296" t="str">
        <f aca="true">IF(ISNUMBER($J723),INDIRECT("N"&amp;($J723+4)),"")</f>
        <v/>
      </c>
      <c r="D723" s="291" t="str">
        <f aca="true">IF(ISNUMBER($J723),INDIRECT("O"&amp;($J723+4)),"")</f>
        <v/>
      </c>
      <c r="E723" s="291" t="str">
        <f aca="true">IF(ISNUMBER($J723),INDIRECT("P"&amp;($J723+4)),"")</f>
        <v/>
      </c>
      <c r="F723" s="300" t="str">
        <f aca="true">IF(ISNUMBER($J723),INDIRECT("Q"&amp;($J723+4)),"")</f>
        <v/>
      </c>
      <c r="G723" s="298" t="str">
        <f aca="true">IF(ISNUMBER($J723),INDIRECT("R"&amp;($J723+4)),"")</f>
        <v/>
      </c>
      <c r="H723" s="298" t="str">
        <f aca="true">IF(ISNUMBER($J723),INDIRECT("S"&amp;($J723+4)),"")</f>
        <v/>
      </c>
      <c r="J723" s="292" t="str">
        <f aca="true">IF(719&lt;=$K$1,MATCH(718.5,INDIRECT("$K$4:$K$1374"),1),"")</f>
        <v/>
      </c>
      <c r="K723" s="292" t="n">
        <f aca="false">$K$644+COUNTIF($Q$645:Q723,"&gt;0")</f>
        <v>0</v>
      </c>
      <c r="L723" s="292" t="str">
        <f aca="false">"Офис и игры"</f>
        <v>Офис и игры</v>
      </c>
      <c r="M723" s="292" t="str">
        <f aca="false">IF(ISBLANK('Офис и игры'!$A$17),"",'Офис и игры'!$A$17)</f>
        <v>BG14 Planet 2.4G беспроводная мышь</v>
      </c>
      <c r="N723" s="292" t="str">
        <f aca="false">IF(ISBLANK('Офис и игры'!$D$17),"",'Офис и игры'!$D$17)</f>
        <v>6941991113376</v>
      </c>
      <c r="O723" s="292" t="str">
        <f aca="false">IF(ISBLANK('Офис и игры'!$E$17),"",'Офис и игры'!$E$17)</f>
        <v>черный</v>
      </c>
      <c r="P723" s="292" t="str">
        <f aca="false">"ед."</f>
        <v>ед.</v>
      </c>
      <c r="Q723" s="292" t="n">
        <f aca="false">N('Офис и игры'!$G$17)</f>
        <v>0</v>
      </c>
      <c r="R723" s="299" t="n">
        <f aca="false">IF(ISBLANK('Офис и игры'!$F$17),"",'Офис и игры'!$F$17)</f>
        <v>195.71</v>
      </c>
      <c r="S723" s="292" t="str">
        <f aca="false">IF(ISBLANK('Офис и игры'!$H$17),"",'Офис и игры'!$H$17)</f>
        <v/>
      </c>
    </row>
    <row r="724" customFormat="false" ht="66" hidden="false" customHeight="true" outlineLevel="0" collapsed="false">
      <c r="A724" s="291" t="str">
        <f aca="true">IF(ISNUMBER($J724),INDIRECT("L"&amp;($J724+4)),"")</f>
        <v/>
      </c>
      <c r="B724" s="291" t="str">
        <f aca="true">IF(ISNUMBER($J724),INDIRECT("M"&amp;($J724+4)),"")</f>
        <v/>
      </c>
      <c r="C724" s="296" t="str">
        <f aca="true">IF(ISNUMBER($J724),INDIRECT("N"&amp;($J724+4)),"")</f>
        <v/>
      </c>
      <c r="D724" s="291" t="str">
        <f aca="true">IF(ISNUMBER($J724),INDIRECT("O"&amp;($J724+4)),"")</f>
        <v/>
      </c>
      <c r="E724" s="291" t="str">
        <f aca="true">IF(ISNUMBER($J724),INDIRECT("P"&amp;($J724+4)),"")</f>
        <v/>
      </c>
      <c r="F724" s="300" t="str">
        <f aca="true">IF(ISNUMBER($J724),INDIRECT("Q"&amp;($J724+4)),"")</f>
        <v/>
      </c>
      <c r="G724" s="298" t="str">
        <f aca="true">IF(ISNUMBER($J724),INDIRECT("R"&amp;($J724+4)),"")</f>
        <v/>
      </c>
      <c r="H724" s="298" t="str">
        <f aca="true">IF(ISNUMBER($J724),INDIRECT("S"&amp;($J724+4)),"")</f>
        <v/>
      </c>
      <c r="J724" s="292" t="str">
        <f aca="true">IF(720&lt;=$K$1,MATCH(719.5,INDIRECT("$K$4:$K$1374"),1),"")</f>
        <v/>
      </c>
      <c r="K724" s="292" t="n">
        <f aca="false">$K$644+COUNTIF($Q$645:Q724,"&gt;0")</f>
        <v>0</v>
      </c>
      <c r="L724" s="292" t="str">
        <f aca="false">"Офис и игры"</f>
        <v>Офис и игры</v>
      </c>
      <c r="M724" s="292" t="str">
        <f aca="false">IF(ISBLANK('Офис и игры'!$A$17),"",'Офис и игры'!$A$17)</f>
        <v>BG14 Planet 2.4G беспроводная мышь</v>
      </c>
      <c r="N724" s="292" t="str">
        <f aca="false">IF(ISBLANK('Офис и игры'!$D$18),"",'Офис и игры'!$D$18)</f>
        <v>6941991113383</v>
      </c>
      <c r="O724" s="292" t="str">
        <f aca="false">IF(ISBLANK('Офис и игры'!$E$18),"",'Офис и игры'!$E$18)</f>
        <v>белый</v>
      </c>
      <c r="P724" s="292" t="str">
        <f aca="false">"ед."</f>
        <v>ед.</v>
      </c>
      <c r="Q724" s="292" t="n">
        <f aca="false">N('Офис и игры'!$G$18)</f>
        <v>0</v>
      </c>
      <c r="R724" s="299" t="n">
        <f aca="false">IF(ISBLANK('Офис и игры'!$F$18),"",'Офис и игры'!$F$18)</f>
        <v>195.71</v>
      </c>
      <c r="S724" s="292" t="str">
        <f aca="false">IF(ISBLANK('Офис и игры'!$H$18),"",'Офис и игры'!$H$18)</f>
        <v/>
      </c>
    </row>
    <row r="725" customFormat="false" ht="66" hidden="false" customHeight="true" outlineLevel="0" collapsed="false">
      <c r="A725" s="291" t="str">
        <f aca="true">IF(ISNUMBER($J725),INDIRECT("L"&amp;($J725+4)),"")</f>
        <v/>
      </c>
      <c r="B725" s="291" t="str">
        <f aca="true">IF(ISNUMBER($J725),INDIRECT("M"&amp;($J725+4)),"")</f>
        <v/>
      </c>
      <c r="C725" s="296" t="str">
        <f aca="true">IF(ISNUMBER($J725),INDIRECT("N"&amp;($J725+4)),"")</f>
        <v/>
      </c>
      <c r="D725" s="291" t="str">
        <f aca="true">IF(ISNUMBER($J725),INDIRECT("O"&amp;($J725+4)),"")</f>
        <v/>
      </c>
      <c r="E725" s="291" t="str">
        <f aca="true">IF(ISNUMBER($J725),INDIRECT("P"&amp;($J725+4)),"")</f>
        <v/>
      </c>
      <c r="F725" s="300" t="str">
        <f aca="true">IF(ISNUMBER($J725),INDIRECT("Q"&amp;($J725+4)),"")</f>
        <v/>
      </c>
      <c r="G725" s="298" t="str">
        <f aca="true">IF(ISNUMBER($J725),INDIRECT("R"&amp;($J725+4)),"")</f>
        <v/>
      </c>
      <c r="H725" s="298" t="str">
        <f aca="true">IF(ISNUMBER($J725),INDIRECT("S"&amp;($J725+4)),"")</f>
        <v/>
      </c>
      <c r="J725" s="292" t="str">
        <f aca="true">IF(721&lt;=$K$1,MATCH(720.5,INDIRECT("$K$4:$K$1374"),1),"")</f>
        <v/>
      </c>
      <c r="K725" s="292" t="n">
        <f aca="false">$K$644+COUNTIF($Q$645:Q725,"&gt;0")</f>
        <v>0</v>
      </c>
      <c r="L725" s="292" t="str">
        <f aca="false">"Офис и игры"</f>
        <v>Офис и игры</v>
      </c>
      <c r="M725" s="292" t="str">
        <f aca="false">IF(ISBLANK('Офис и игры'!$A$19),"",'Офис и игры'!$A$19)</f>
        <v>BG13 Winner 2.4G беспроводная мышь</v>
      </c>
      <c r="N725" s="292" t="str">
        <f aca="false">IF(ISBLANK('Офис и игры'!$D$19),"",'Офис и игры'!$D$19)</f>
        <v>6941991109997</v>
      </c>
      <c r="O725" s="292" t="str">
        <f aca="false">IF(ISBLANK('Офис и игры'!$E$19),"",'Офис и игры'!$E$19)</f>
        <v>черный металлик</v>
      </c>
      <c r="P725" s="292" t="str">
        <f aca="false">"ед."</f>
        <v>ед.</v>
      </c>
      <c r="Q725" s="292" t="n">
        <f aca="false">N('Офис и игры'!$G$19)</f>
        <v>0</v>
      </c>
      <c r="R725" s="299" t="n">
        <f aca="false">IF(ISBLANK('Офис и игры'!$F$19),"",'Офис и игры'!$F$19)</f>
        <v>285.41</v>
      </c>
      <c r="S725" s="292" t="str">
        <f aca="false">IF(ISBLANK('Офис и игры'!$H$19),"",'Офис и игры'!$H$19)</f>
        <v/>
      </c>
    </row>
    <row r="726" customFormat="false" ht="66" hidden="false" customHeight="true" outlineLevel="0" collapsed="false">
      <c r="A726" s="291" t="str">
        <f aca="true">IF(ISNUMBER($J726),INDIRECT("L"&amp;($J726+4)),"")</f>
        <v/>
      </c>
      <c r="B726" s="291" t="str">
        <f aca="true">IF(ISNUMBER($J726),INDIRECT("M"&amp;($J726+4)),"")</f>
        <v/>
      </c>
      <c r="C726" s="296" t="str">
        <f aca="true">IF(ISNUMBER($J726),INDIRECT("N"&amp;($J726+4)),"")</f>
        <v/>
      </c>
      <c r="D726" s="291" t="str">
        <f aca="true">IF(ISNUMBER($J726),INDIRECT("O"&amp;($J726+4)),"")</f>
        <v/>
      </c>
      <c r="E726" s="291" t="str">
        <f aca="true">IF(ISNUMBER($J726),INDIRECT("P"&amp;($J726+4)),"")</f>
        <v/>
      </c>
      <c r="F726" s="300" t="str">
        <f aca="true">IF(ISNUMBER($J726),INDIRECT("Q"&amp;($J726+4)),"")</f>
        <v/>
      </c>
      <c r="G726" s="298" t="str">
        <f aca="true">IF(ISNUMBER($J726),INDIRECT("R"&amp;($J726+4)),"")</f>
        <v/>
      </c>
      <c r="H726" s="298" t="str">
        <f aca="true">IF(ISNUMBER($J726),INDIRECT("S"&amp;($J726+4)),"")</f>
        <v/>
      </c>
      <c r="J726" s="292" t="str">
        <f aca="true">IF(722&lt;=$K$1,MATCH(721.5,INDIRECT("$K$4:$K$1374"),1),"")</f>
        <v/>
      </c>
      <c r="K726" s="292" t="n">
        <f aca="false">$K$644+COUNTIF($Q$645:Q726,"&gt;0")</f>
        <v>0</v>
      </c>
      <c r="L726" s="292" t="str">
        <f aca="false">"Офис и игры"</f>
        <v>Офис и игры</v>
      </c>
      <c r="M726" s="292" t="str">
        <f aca="false">IF(ISBLANK('Офис и игры'!$A$20),"",'Офис и игры'!$A$20)</f>
        <v>BG12 Illustrious игровой коврик для мыши(200*240mm)</v>
      </c>
      <c r="N726" s="292" t="str">
        <f aca="false">IF(ISBLANK('Офис и игры'!$D$20),"",'Офис и игры'!$D$20)</f>
        <v>6941991109218</v>
      </c>
      <c r="O726" s="292" t="str">
        <f aca="false">IF(ISBLANK('Офис и игры'!$E$20),"",'Офис и игры'!$E$20)</f>
        <v>симфония</v>
      </c>
      <c r="P726" s="292" t="str">
        <f aca="false">"ед."</f>
        <v>ед.</v>
      </c>
      <c r="Q726" s="292" t="n">
        <f aca="false">N('Офис и игры'!$G$20)</f>
        <v>0</v>
      </c>
      <c r="R726" s="299" t="n">
        <f aca="false">IF(ISBLANK('Офис и игры'!$F$20),"",'Офис и игры'!$F$20)</f>
        <v>40.77</v>
      </c>
      <c r="S726" s="292" t="str">
        <f aca="false">IF(ISBLANK('Офис и игры'!$H$20),"",'Офис и игры'!$H$20)</f>
        <v/>
      </c>
    </row>
    <row r="727" customFormat="false" ht="66" hidden="false" customHeight="true" outlineLevel="0" collapsed="false">
      <c r="A727" s="291" t="str">
        <f aca="true">IF(ISNUMBER($J727),INDIRECT("L"&amp;($J727+4)),"")</f>
        <v/>
      </c>
      <c r="B727" s="291" t="str">
        <f aca="true">IF(ISNUMBER($J727),INDIRECT("M"&amp;($J727+4)),"")</f>
        <v/>
      </c>
      <c r="C727" s="296" t="str">
        <f aca="true">IF(ISNUMBER($J727),INDIRECT("N"&amp;($J727+4)),"")</f>
        <v/>
      </c>
      <c r="D727" s="291" t="str">
        <f aca="true">IF(ISNUMBER($J727),INDIRECT("O"&amp;($J727+4)),"")</f>
        <v/>
      </c>
      <c r="E727" s="291" t="str">
        <f aca="true">IF(ISNUMBER($J727),INDIRECT("P"&amp;($J727+4)),"")</f>
        <v/>
      </c>
      <c r="F727" s="300" t="str">
        <f aca="true">IF(ISNUMBER($J727),INDIRECT("Q"&amp;($J727+4)),"")</f>
        <v/>
      </c>
      <c r="G727" s="298" t="str">
        <f aca="true">IF(ISNUMBER($J727),INDIRECT("R"&amp;($J727+4)),"")</f>
        <v/>
      </c>
      <c r="H727" s="298" t="str">
        <f aca="true">IF(ISNUMBER($J727),INDIRECT("S"&amp;($J727+4)),"")</f>
        <v/>
      </c>
      <c r="J727" s="292" t="str">
        <f aca="true">IF(723&lt;=$K$1,MATCH(722.5,INDIRECT("$K$4:$K$1374"),1),"")</f>
        <v/>
      </c>
      <c r="K727" s="292" t="n">
        <f aca="false">$K$644+COUNTIF($Q$645:Q727,"&gt;0")</f>
        <v>0</v>
      </c>
      <c r="L727" s="292" t="str">
        <f aca="false">"Офис и игры"</f>
        <v>Офис и игры</v>
      </c>
      <c r="M727" s="292" t="str">
        <f aca="false">IF(ISBLANK('Офис и игры'!$A$21),"",'Офис и игры'!$A$21)</f>
        <v>BG12 Illustrious игровой коврик для мыши(800*300mm)</v>
      </c>
      <c r="N727" s="292" t="str">
        <f aca="false">IF(ISBLANK('Офис и игры'!$D$21),"",'Офис и игры'!$D$21)</f>
        <v>6941991109225</v>
      </c>
      <c r="O727" s="292" t="str">
        <f aca="false">IF(ISBLANK('Офис и игры'!$E$21),"",'Офис и игры'!$E$21)</f>
        <v>симфония</v>
      </c>
      <c r="P727" s="292" t="str">
        <f aca="false">"ед."</f>
        <v>ед.</v>
      </c>
      <c r="Q727" s="292" t="n">
        <f aca="false">N('Офис и игры'!$G$21)</f>
        <v>0</v>
      </c>
      <c r="R727" s="299" t="n">
        <f aca="false">IF(ISBLANK('Офис и игры'!$F$21),"",'Офис и игры'!$F$21)</f>
        <v>163.09</v>
      </c>
      <c r="S727" s="292" t="str">
        <f aca="false">IF(ISBLANK('Офис и игры'!$H$21),"",'Офис и игры'!$H$21)</f>
        <v/>
      </c>
    </row>
    <row r="728" customFormat="false" ht="66" hidden="false" customHeight="true" outlineLevel="0" collapsed="false">
      <c r="A728" s="291" t="str">
        <f aca="true">IF(ISNUMBER($J728),INDIRECT("L"&amp;($J728+4)),"")</f>
        <v/>
      </c>
      <c r="B728" s="291" t="str">
        <f aca="true">IF(ISNUMBER($J728),INDIRECT("M"&amp;($J728+4)),"")</f>
        <v/>
      </c>
      <c r="C728" s="296" t="str">
        <f aca="true">IF(ISNUMBER($J728),INDIRECT("N"&amp;($J728+4)),"")</f>
        <v/>
      </c>
      <c r="D728" s="291" t="str">
        <f aca="true">IF(ISNUMBER($J728),INDIRECT("O"&amp;($J728+4)),"")</f>
        <v/>
      </c>
      <c r="E728" s="291" t="str">
        <f aca="true">IF(ISNUMBER($J728),INDIRECT("P"&amp;($J728+4)),"")</f>
        <v/>
      </c>
      <c r="F728" s="300" t="str">
        <f aca="true">IF(ISNUMBER($J728),INDIRECT("Q"&amp;($J728+4)),"")</f>
        <v/>
      </c>
      <c r="G728" s="298" t="str">
        <f aca="true">IF(ISNUMBER($J728),INDIRECT("R"&amp;($J728+4)),"")</f>
        <v/>
      </c>
      <c r="H728" s="298" t="str">
        <f aca="true">IF(ISNUMBER($J728),INDIRECT("S"&amp;($J728+4)),"")</f>
        <v/>
      </c>
      <c r="J728" s="292" t="str">
        <f aca="true">IF(724&lt;=$K$1,MATCH(723.5,INDIRECT("$K$4:$K$1374"),1),"")</f>
        <v/>
      </c>
      <c r="K728" s="292" t="n">
        <f aca="false">$K$644+COUNTIF($Q$645:Q728,"&gt;0")</f>
        <v>0</v>
      </c>
      <c r="L728" s="292" t="str">
        <f aca="false">"Офис и игры"</f>
        <v>Офис и игры</v>
      </c>
      <c r="M728" s="292" t="str">
        <f aca="false">IF(ISBLANK('Офис и игры'!$A$22),"",'Офис и игры'!$A$22)</f>
        <v>BG10 Soaring игровая проводная мышь</v>
      </c>
      <c r="N728" s="292" t="str">
        <f aca="false">IF(ISBLANK('Офис и игры'!$D$22),"",'Офис и игры'!$D$22)</f>
        <v>6941991102745</v>
      </c>
      <c r="O728" s="292" t="str">
        <f aca="false">IF(ISBLANK('Офис и игры'!$E$22),"",'Офис и игры'!$E$22)</f>
        <v>черный</v>
      </c>
      <c r="P728" s="292" t="str">
        <f aca="false">"ед."</f>
        <v>ед.</v>
      </c>
      <c r="Q728" s="292" t="n">
        <f aca="false">N('Офис и игры'!$G$22)</f>
        <v>0</v>
      </c>
      <c r="R728" s="299" t="n">
        <f aca="false">IF(ISBLANK('Офис и игры'!$F$22),"",'Офис и игры'!$F$22)</f>
        <v>187.56</v>
      </c>
      <c r="S728" s="292" t="str">
        <f aca="false">IF(ISBLANK('Офис и игры'!$H$22),"",'Офис и игры'!$H$22)</f>
        <v/>
      </c>
    </row>
    <row r="729" customFormat="false" ht="66" hidden="false" customHeight="true" outlineLevel="0" collapsed="false">
      <c r="A729" s="291" t="str">
        <f aca="true">IF(ISNUMBER($J729),INDIRECT("L"&amp;($J729+4)),"")</f>
        <v/>
      </c>
      <c r="B729" s="291" t="str">
        <f aca="true">IF(ISNUMBER($J729),INDIRECT("M"&amp;($J729+4)),"")</f>
        <v/>
      </c>
      <c r="C729" s="296" t="str">
        <f aca="true">IF(ISNUMBER($J729),INDIRECT("N"&amp;($J729+4)),"")</f>
        <v/>
      </c>
      <c r="D729" s="291" t="str">
        <f aca="true">IF(ISNUMBER($J729),INDIRECT("O"&amp;($J729+4)),"")</f>
        <v/>
      </c>
      <c r="E729" s="291" t="str">
        <f aca="true">IF(ISNUMBER($J729),INDIRECT("P"&amp;($J729+4)),"")</f>
        <v/>
      </c>
      <c r="F729" s="300" t="str">
        <f aca="true">IF(ISNUMBER($J729),INDIRECT("Q"&amp;($J729+4)),"")</f>
        <v/>
      </c>
      <c r="G729" s="298" t="str">
        <f aca="true">IF(ISNUMBER($J729),INDIRECT("R"&amp;($J729+4)),"")</f>
        <v/>
      </c>
      <c r="H729" s="298" t="str">
        <f aca="true">IF(ISNUMBER($J729),INDIRECT("S"&amp;($J729+4)),"")</f>
        <v/>
      </c>
      <c r="J729" s="292" t="str">
        <f aca="true">IF(725&lt;=$K$1,MATCH(724.5,INDIRECT("$K$4:$K$1374"),1),"")</f>
        <v/>
      </c>
      <c r="K729" s="292" t="n">
        <f aca="false">$K$644+COUNTIF($Q$645:Q729,"&gt;0")</f>
        <v>0</v>
      </c>
      <c r="L729" s="292" t="str">
        <f aca="false">"Офис и игры"</f>
        <v>Офис и игры</v>
      </c>
      <c r="M729" s="292" t="str">
        <f aca="false">IF(ISBLANK('Офис и игры'!$A$23),"",'Офис и игры'!$A$23)</f>
        <v>BG8 Flying Eagle коврик для мыши (200*240мм)</v>
      </c>
      <c r="N729" s="292" t="str">
        <f aca="false">IF(ISBLANK('Офис и игры'!$D$23),"",'Офис и игры'!$D$23)</f>
        <v>6941991102974</v>
      </c>
      <c r="O729" s="292" t="str">
        <f aca="false">IF(ISBLANK('Офис и игры'!$E$23),"",'Офис и игры'!$E$23)</f>
        <v>черный</v>
      </c>
      <c r="P729" s="292" t="str">
        <f aca="false">"ед."</f>
        <v>ед.</v>
      </c>
      <c r="Q729" s="292" t="n">
        <f aca="false">N('Офис и игры'!$G$23)</f>
        <v>0</v>
      </c>
      <c r="R729" s="299" t="n">
        <f aca="false">IF(ISBLANK('Офис и игры'!$F$23),"",'Офис и игры'!$F$23)</f>
        <v>40.77</v>
      </c>
      <c r="S729" s="292" t="str">
        <f aca="false">IF(ISBLANK('Офис и игры'!$H$23),"",'Офис и игры'!$H$23)</f>
        <v/>
      </c>
    </row>
    <row r="730" customFormat="false" ht="66" hidden="false" customHeight="true" outlineLevel="0" collapsed="false">
      <c r="A730" s="291" t="str">
        <f aca="true">IF(ISNUMBER($J730),INDIRECT("L"&amp;($J730+4)),"")</f>
        <v/>
      </c>
      <c r="B730" s="291" t="str">
        <f aca="true">IF(ISNUMBER($J730),INDIRECT("M"&amp;($J730+4)),"")</f>
        <v/>
      </c>
      <c r="C730" s="296" t="str">
        <f aca="true">IF(ISNUMBER($J730),INDIRECT("N"&amp;($J730+4)),"")</f>
        <v/>
      </c>
      <c r="D730" s="291" t="str">
        <f aca="true">IF(ISNUMBER($J730),INDIRECT("O"&amp;($J730+4)),"")</f>
        <v/>
      </c>
      <c r="E730" s="291" t="str">
        <f aca="true">IF(ISNUMBER($J730),INDIRECT("P"&amp;($J730+4)),"")</f>
        <v/>
      </c>
      <c r="F730" s="300" t="str">
        <f aca="true">IF(ISNUMBER($J730),INDIRECT("Q"&amp;($J730+4)),"")</f>
        <v/>
      </c>
      <c r="G730" s="298" t="str">
        <f aca="true">IF(ISNUMBER($J730),INDIRECT("R"&amp;($J730+4)),"")</f>
        <v/>
      </c>
      <c r="H730" s="298" t="str">
        <f aca="true">IF(ISNUMBER($J730),INDIRECT("S"&amp;($J730+4)),"")</f>
        <v/>
      </c>
      <c r="J730" s="292" t="str">
        <f aca="true">IF(726&lt;=$K$1,MATCH(725.5,INDIRECT("$K$4:$K$1374"),1),"")</f>
        <v/>
      </c>
      <c r="K730" s="292" t="n">
        <f aca="false">$K$644+COUNTIF($Q$645:Q730,"&gt;0")</f>
        <v>0</v>
      </c>
      <c r="L730" s="292" t="str">
        <f aca="false">"Офис и игры"</f>
        <v>Офис и игры</v>
      </c>
      <c r="M730" s="292" t="str">
        <f aca="false">IF(ISBLANK('Офис и игры'!$A$24),"",'Офис и игры'!$A$24)</f>
        <v>BG7 Platinum 2.4G беспроводная мышь</v>
      </c>
      <c r="N730" s="292" t="str">
        <f aca="false">IF(ISBLANK('Офис и игры'!$D$24),"",'Офис и игры'!$D$24)</f>
        <v>6974443389982</v>
      </c>
      <c r="O730" s="292" t="str">
        <f aca="false">IF(ISBLANK('Офис и игры'!$E$24),"",'Офис и игры'!$E$24)</f>
        <v>черный</v>
      </c>
      <c r="P730" s="292" t="str">
        <f aca="false">"ед."</f>
        <v>ед.</v>
      </c>
      <c r="Q730" s="292" t="n">
        <f aca="false">N('Офис и игры'!$G$24)</f>
        <v>0</v>
      </c>
      <c r="R730" s="299" t="n">
        <f aca="false">IF(ISBLANK('Офис и игры'!$F$24),"",'Офис и игры'!$F$24)</f>
        <v>293.57</v>
      </c>
      <c r="S730" s="292" t="str">
        <f aca="false">IF(ISBLANK('Офис и игры'!$H$24),"",'Офис и игры'!$H$24)</f>
        <v/>
      </c>
    </row>
    <row r="731" customFormat="false" ht="66" hidden="false" customHeight="true" outlineLevel="0" collapsed="false">
      <c r="A731" s="291" t="str">
        <f aca="true">IF(ISNUMBER($J731),INDIRECT("L"&amp;($J731+4)),"")</f>
        <v/>
      </c>
      <c r="B731" s="291" t="str">
        <f aca="true">IF(ISNUMBER($J731),INDIRECT("M"&amp;($J731+4)),"")</f>
        <v/>
      </c>
      <c r="C731" s="296" t="str">
        <f aca="true">IF(ISNUMBER($J731),INDIRECT("N"&amp;($J731+4)),"")</f>
        <v/>
      </c>
      <c r="D731" s="291" t="str">
        <f aca="true">IF(ISNUMBER($J731),INDIRECT("O"&amp;($J731+4)),"")</f>
        <v/>
      </c>
      <c r="E731" s="291" t="str">
        <f aca="true">IF(ISNUMBER($J731),INDIRECT("P"&amp;($J731+4)),"")</f>
        <v/>
      </c>
      <c r="F731" s="300" t="str">
        <f aca="true">IF(ISNUMBER($J731),INDIRECT("Q"&amp;($J731+4)),"")</f>
        <v/>
      </c>
      <c r="G731" s="298" t="str">
        <f aca="true">IF(ISNUMBER($J731),INDIRECT("R"&amp;($J731+4)),"")</f>
        <v/>
      </c>
      <c r="H731" s="298" t="str">
        <f aca="true">IF(ISNUMBER($J731),INDIRECT("S"&amp;($J731+4)),"")</f>
        <v/>
      </c>
      <c r="J731" s="292" t="str">
        <f aca="true">IF(727&lt;=$K$1,MATCH(726.5,INDIRECT("$K$4:$K$1374"),1),"")</f>
        <v/>
      </c>
      <c r="K731" s="292" t="n">
        <f aca="false">$K$644+COUNTIF($Q$645:Q731,"&gt;0")</f>
        <v>0</v>
      </c>
      <c r="L731" s="292" t="str">
        <f aca="false">"Офис и игры"</f>
        <v>Офис и игры</v>
      </c>
      <c r="M731" s="292" t="str">
        <f aca="false">IF(ISBLANK('Офис и игры'!$A$25),"",'Офис и игры'!$A$25)</f>
        <v>BG5 2.4G беспроводная мышь</v>
      </c>
      <c r="N731" s="292" t="str">
        <f aca="false">IF(ISBLANK('Офис и игры'!$D$25),"",'Офис и игры'!$D$25)</f>
        <v>6974443382990</v>
      </c>
      <c r="O731" s="292" t="str">
        <f aca="false">IF(ISBLANK('Офис и игры'!$E$25),"",'Офис и игры'!$E$25)</f>
        <v>черный</v>
      </c>
      <c r="P731" s="292" t="str">
        <f aca="false">"ед."</f>
        <v>ед.</v>
      </c>
      <c r="Q731" s="292" t="n">
        <f aca="false">N('Офис и игры'!$G$25)</f>
        <v>0</v>
      </c>
      <c r="R731" s="299" t="n">
        <f aca="false">IF(ISBLANK('Офис и игры'!$F$25),"",'Офис и игры'!$F$25)</f>
        <v>274</v>
      </c>
      <c r="S731" s="292" t="str">
        <f aca="false">IF(ISBLANK('Офис и игры'!$H$25),"",'Офис и игры'!$H$25)</f>
        <v/>
      </c>
    </row>
    <row r="732" customFormat="false" ht="66" hidden="false" customHeight="true" outlineLevel="0" collapsed="false">
      <c r="A732" s="291" t="str">
        <f aca="true">IF(ISNUMBER($J732),INDIRECT("L"&amp;($J732+4)),"")</f>
        <v/>
      </c>
      <c r="B732" s="291" t="str">
        <f aca="true">IF(ISNUMBER($J732),INDIRECT("M"&amp;($J732+4)),"")</f>
        <v/>
      </c>
      <c r="C732" s="296" t="str">
        <f aca="true">IF(ISNUMBER($J732),INDIRECT("N"&amp;($J732+4)),"")</f>
        <v/>
      </c>
      <c r="D732" s="291" t="str">
        <f aca="true">IF(ISNUMBER($J732),INDIRECT("O"&amp;($J732+4)),"")</f>
        <v/>
      </c>
      <c r="E732" s="291" t="str">
        <f aca="true">IF(ISNUMBER($J732),INDIRECT("P"&amp;($J732+4)),"")</f>
        <v/>
      </c>
      <c r="F732" s="300" t="str">
        <f aca="true">IF(ISNUMBER($J732),INDIRECT("Q"&amp;($J732+4)),"")</f>
        <v/>
      </c>
      <c r="G732" s="298" t="str">
        <f aca="true">IF(ISNUMBER($J732),INDIRECT("R"&amp;($J732+4)),"")</f>
        <v/>
      </c>
      <c r="H732" s="298" t="str">
        <f aca="true">IF(ISNUMBER($J732),INDIRECT("S"&amp;($J732+4)),"")</f>
        <v/>
      </c>
      <c r="J732" s="292" t="str">
        <f aca="true">IF(728&lt;=$K$1,MATCH(727.5,INDIRECT("$K$4:$K$1374"),1),"")</f>
        <v/>
      </c>
      <c r="K732" s="292" t="n">
        <f aca="false">$K$644+COUNTIF($Q$645:Q732,"&gt;0")</f>
        <v>0</v>
      </c>
      <c r="L732" s="292" t="str">
        <f aca="false">"Офис и игры"</f>
        <v>Офис и игры</v>
      </c>
      <c r="M732" s="292" t="str">
        <f aca="false">IF(ISBLANK('Офис и игры'!$A$26),"",'Офис и игры'!$A$26)</f>
        <v>BG4 Business проводная мышь</v>
      </c>
      <c r="N732" s="292" t="str">
        <f aca="false">IF(ISBLANK('Офис и игры'!$D$26),"",'Офис и игры'!$D$26)</f>
        <v>6974443382976</v>
      </c>
      <c r="O732" s="292" t="str">
        <f aca="false">IF(ISBLANK('Офис и игры'!$E$26),"",'Офис и игры'!$E$26)</f>
        <v>черный</v>
      </c>
      <c r="P732" s="292" t="str">
        <f aca="false">"ед."</f>
        <v>ед.</v>
      </c>
      <c r="Q732" s="292" t="n">
        <f aca="false">N('Офис и игры'!$G$26)</f>
        <v>0</v>
      </c>
      <c r="R732" s="299" t="n">
        <f aca="false">IF(ISBLANK('Офис и игры'!$F$26),"",'Офис и игры'!$F$26)</f>
        <v>195.71</v>
      </c>
      <c r="S732" s="292" t="str">
        <f aca="false">IF(ISBLANK('Офис и игры'!$H$26),"",'Офис и игры'!$H$26)</f>
        <v/>
      </c>
    </row>
    <row r="733" customFormat="false" ht="66" hidden="false" customHeight="true" outlineLevel="0" collapsed="false">
      <c r="A733" s="291" t="str">
        <f aca="true">IF(ISNUMBER($J733),INDIRECT("L"&amp;($J733+4)),"")</f>
        <v/>
      </c>
      <c r="B733" s="291" t="str">
        <f aca="true">IF(ISNUMBER($J733),INDIRECT("M"&amp;($J733+4)),"")</f>
        <v/>
      </c>
      <c r="C733" s="296" t="str">
        <f aca="true">IF(ISNUMBER($J733),INDIRECT("N"&amp;($J733+4)),"")</f>
        <v/>
      </c>
      <c r="D733" s="291" t="str">
        <f aca="true">IF(ISNUMBER($J733),INDIRECT("O"&amp;($J733+4)),"")</f>
        <v/>
      </c>
      <c r="E733" s="291" t="str">
        <f aca="true">IF(ISNUMBER($J733),INDIRECT("P"&amp;($J733+4)),"")</f>
        <v/>
      </c>
      <c r="F733" s="300" t="str">
        <f aca="true">IF(ISNUMBER($J733),INDIRECT("Q"&amp;($J733+4)),"")</f>
        <v/>
      </c>
      <c r="G733" s="298" t="str">
        <f aca="true">IF(ISNUMBER($J733),INDIRECT("R"&amp;($J733+4)),"")</f>
        <v/>
      </c>
      <c r="H733" s="298" t="str">
        <f aca="true">IF(ISNUMBER($J733),INDIRECT("S"&amp;($J733+4)),"")</f>
        <v/>
      </c>
      <c r="J733" s="292" t="str">
        <f aca="true">IF(729&lt;=$K$1,MATCH(728.5,INDIRECT("$K$4:$K$1374"),1),"")</f>
        <v/>
      </c>
      <c r="K733" s="292" t="n">
        <f aca="false">$K$644+COUNTIF($Q$645:Q733,"&gt;0")</f>
        <v>0</v>
      </c>
      <c r="L733" s="292" t="str">
        <f aca="false">"Офис и игры"</f>
        <v>Офис и игры</v>
      </c>
      <c r="M733" s="292" t="str">
        <f aca="false">IF(ISBLANK('Офис и игры'!$A$27),"",'Офис и игры'!$A$27)</f>
        <v>BG3 Warrior геймпад с охлаждением</v>
      </c>
      <c r="N733" s="292" t="str">
        <f aca="false">IF(ISBLANK('Офис и игры'!$D$27),"",'Офис и игры'!$D$27)</f>
        <v>6931474749406</v>
      </c>
      <c r="O733" s="292" t="str">
        <f aca="false">IF(ISBLANK('Офис и игры'!$E$27),"",'Офис и игры'!$E$27)</f>
        <v>черный</v>
      </c>
      <c r="P733" s="292" t="str">
        <f aca="false">"ед."</f>
        <v>ед.</v>
      </c>
      <c r="Q733" s="292" t="n">
        <f aca="false">N('Офис и игры'!$G$27)</f>
        <v>0</v>
      </c>
      <c r="R733" s="299" t="n">
        <f aca="false">IF(ISBLANK('Офис и игры'!$F$27),"",'Офис и игры'!$F$27)</f>
        <v>260.95</v>
      </c>
      <c r="S733" s="292" t="str">
        <f aca="false">IF(ISBLANK('Офис и игры'!$H$27),"",'Офис и игры'!$H$27)</f>
        <v/>
      </c>
    </row>
    <row r="734" customFormat="false" ht="66" hidden="false" customHeight="true" outlineLevel="0" collapsed="false">
      <c r="A734" s="291" t="str">
        <f aca="true">IF(ISNUMBER($J734),INDIRECT("L"&amp;($J734+4)),"")</f>
        <v/>
      </c>
      <c r="B734" s="291" t="str">
        <f aca="true">IF(ISNUMBER($J734),INDIRECT("M"&amp;($J734+4)),"")</f>
        <v/>
      </c>
      <c r="C734" s="296" t="str">
        <f aca="true">IF(ISNUMBER($J734),INDIRECT("N"&amp;($J734+4)),"")</f>
        <v/>
      </c>
      <c r="D734" s="291" t="str">
        <f aca="true">IF(ISNUMBER($J734),INDIRECT("O"&amp;($J734+4)),"")</f>
        <v/>
      </c>
      <c r="E734" s="291" t="str">
        <f aca="true">IF(ISNUMBER($J734),INDIRECT("P"&amp;($J734+4)),"")</f>
        <v/>
      </c>
      <c r="F734" s="300" t="str">
        <f aca="true">IF(ISNUMBER($J734),INDIRECT("Q"&amp;($J734+4)),"")</f>
        <v/>
      </c>
      <c r="G734" s="298" t="str">
        <f aca="true">IF(ISNUMBER($J734),INDIRECT("R"&amp;($J734+4)),"")</f>
        <v/>
      </c>
      <c r="H734" s="298" t="str">
        <f aca="true">IF(ISNUMBER($J734),INDIRECT("S"&amp;($J734+4)),"")</f>
        <v/>
      </c>
      <c r="J734" s="292" t="str">
        <f aca="true">IF(730&lt;=$K$1,MATCH(729.5,INDIRECT("$K$4:$K$1374"),1),"")</f>
        <v/>
      </c>
      <c r="K734" s="292" t="n">
        <f aca="false">$K$644+COUNTIF($Q$645:Q734,"&gt;0")</f>
        <v>0</v>
      </c>
      <c r="L734" s="292" t="str">
        <f aca="false">"Офис и игры"</f>
        <v>Офис и игры</v>
      </c>
      <c r="M734" s="292" t="str">
        <f aca="false">IF(ISBLANK('Офис и игры'!$A$28),"",'Офис и игры'!$A$28)</f>
        <v>BG2 Spartan кнопка для мобильных игр</v>
      </c>
      <c r="N734" s="292" t="str">
        <f aca="false">IF(ISBLANK('Офис и игры'!$D$28),"",'Офис и игры'!$D$28)</f>
        <v>6931474749390</v>
      </c>
      <c r="O734" s="292" t="str">
        <f aca="false">IF(ISBLANK('Офис и игры'!$E$28),"",'Офис и игры'!$E$28)</f>
        <v>черный/серебро</v>
      </c>
      <c r="P734" s="292" t="str">
        <f aca="false">"ед."</f>
        <v>ед.</v>
      </c>
      <c r="Q734" s="292" t="n">
        <f aca="false">N('Офис и игры'!$G$28)</f>
        <v>0</v>
      </c>
      <c r="R734" s="299" t="n">
        <f aca="false">IF(ISBLANK('Офис и игры'!$F$28),"",'Офис и игры'!$F$28)</f>
        <v>163.09</v>
      </c>
      <c r="S734" s="292" t="str">
        <f aca="false">IF(ISBLANK('Офис и игры'!$H$28),"",'Офис и игры'!$H$28)</f>
        <v/>
      </c>
    </row>
    <row r="735" customFormat="false" ht="66" hidden="false" customHeight="true" outlineLevel="0" collapsed="false">
      <c r="A735" s="291" t="str">
        <f aca="true">IF(ISNUMBER($J735),INDIRECT("L"&amp;($J735+4)),"")</f>
        <v/>
      </c>
      <c r="B735" s="291" t="str">
        <f aca="true">IF(ISNUMBER($J735),INDIRECT("M"&amp;($J735+4)),"")</f>
        <v/>
      </c>
      <c r="C735" s="296" t="str">
        <f aca="true">IF(ISNUMBER($J735),INDIRECT("N"&amp;($J735+4)),"")</f>
        <v/>
      </c>
      <c r="D735" s="291" t="str">
        <f aca="true">IF(ISNUMBER($J735),INDIRECT("O"&amp;($J735+4)),"")</f>
        <v/>
      </c>
      <c r="E735" s="291" t="str">
        <f aca="true">IF(ISNUMBER($J735),INDIRECT("P"&amp;($J735+4)),"")</f>
        <v/>
      </c>
      <c r="F735" s="300" t="str">
        <f aca="true">IF(ISNUMBER($J735),INDIRECT("Q"&amp;($J735+4)),"")</f>
        <v/>
      </c>
      <c r="G735" s="298" t="str">
        <f aca="true">IF(ISNUMBER($J735),INDIRECT("R"&amp;($J735+4)),"")</f>
        <v/>
      </c>
      <c r="H735" s="298" t="str">
        <f aca="true">IF(ISNUMBER($J735),INDIRECT("S"&amp;($J735+4)),"")</f>
        <v/>
      </c>
      <c r="J735" s="292" t="str">
        <f aca="true">IF(731&lt;=$K$1,MATCH(730.5,INDIRECT("$K$4:$K$1374"),1),"")</f>
        <v/>
      </c>
      <c r="K735" s="292" t="n">
        <f aca="false">$K$644+COUNTIF($Q$645:Q735,"&gt;0")</f>
        <v>0</v>
      </c>
      <c r="L735" s="292" t="str">
        <f aca="false">"Офис и игры"</f>
        <v>Офис и игры</v>
      </c>
      <c r="M735" s="292" t="str">
        <f aca="false">IF(ISBLANK('Офис и игры'!$A$29),"",'Офис и игры'!$A$29)</f>
        <v>BG1 Superconducting игровые напальчники для мобильных игр из сверхпроводящего волокна (рисунок карбонового волокна)</v>
      </c>
      <c r="N735" s="292" t="str">
        <f aca="false">IF(ISBLANK('Офис и игры'!$D$29),"",'Офис и игры'!$D$29)</f>
        <v>6931474750358</v>
      </c>
      <c r="O735" s="292" t="str">
        <f aca="false">IF(ISBLANK('Офис и игры'!$E$29),"",'Офис и игры'!$E$29)</f>
        <v>черный</v>
      </c>
      <c r="P735" s="292" t="str">
        <f aca="false">"ед."</f>
        <v>ед.</v>
      </c>
      <c r="Q735" s="292" t="n">
        <f aca="false">N('Офис и игры'!$G$29)</f>
        <v>0</v>
      </c>
      <c r="R735" s="299" t="n">
        <f aca="false">IF(ISBLANK('Офис и игры'!$F$29),"",'Офис и игры'!$F$29)</f>
        <v>22.83</v>
      </c>
      <c r="S735" s="292" t="str">
        <f aca="false">IF(ISBLANK('Офис и игры'!$H$29),"",'Офис и игры'!$H$29)</f>
        <v/>
      </c>
    </row>
    <row r="736" customFormat="false" ht="66" hidden="false" customHeight="true" outlineLevel="0" collapsed="false">
      <c r="A736" s="291" t="str">
        <f aca="true">IF(ISNUMBER($J736),INDIRECT("L"&amp;($J736+4)),"")</f>
        <v/>
      </c>
      <c r="B736" s="291" t="str">
        <f aca="true">IF(ISNUMBER($J736),INDIRECT("M"&amp;($J736+4)),"")</f>
        <v/>
      </c>
      <c r="C736" s="296" t="str">
        <f aca="true">IF(ISNUMBER($J736),INDIRECT("N"&amp;($J736+4)),"")</f>
        <v/>
      </c>
      <c r="D736" s="291" t="str">
        <f aca="true">IF(ISNUMBER($J736),INDIRECT("O"&amp;($J736+4)),"")</f>
        <v/>
      </c>
      <c r="E736" s="291" t="str">
        <f aca="true">IF(ISNUMBER($J736),INDIRECT("P"&amp;($J736+4)),"")</f>
        <v/>
      </c>
      <c r="F736" s="300" t="str">
        <f aca="true">IF(ISNUMBER($J736),INDIRECT("Q"&amp;($J736+4)),"")</f>
        <v/>
      </c>
      <c r="G736" s="298" t="str">
        <f aca="true">IF(ISNUMBER($J736),INDIRECT("R"&amp;($J736+4)),"")</f>
        <v/>
      </c>
      <c r="H736" s="298" t="str">
        <f aca="true">IF(ISNUMBER($J736),INDIRECT("S"&amp;($J736+4)),"")</f>
        <v/>
      </c>
      <c r="J736" s="292" t="str">
        <f aca="true">IF(732&lt;=$K$1,MATCH(731.5,INDIRECT("$K$4:$K$1374"),1),"")</f>
        <v/>
      </c>
      <c r="K736" s="292" t="n">
        <f aca="false">$K$644+COUNTIF($Q$645:Q736,"&gt;0")</f>
        <v>0</v>
      </c>
      <c r="L736" s="292" t="str">
        <f aca="false">"Умные часы"</f>
        <v>Умные часы</v>
      </c>
      <c r="M736" s="292" t="str">
        <f aca="false">IF(ISBLANK('Умные часы'!$A$4),"",'Умные часы'!$A$4)</f>
        <v>BD19 смарт часы (поддержка звонков)</v>
      </c>
      <c r="N736" s="292" t="str">
        <f aca="false">IF(ISBLANK('Умные часы'!$D$4),"",'Умные часы'!$D$4)</f>
        <v>6941991130205</v>
      </c>
      <c r="O736" s="292" t="str">
        <f aca="false">IF(ISBLANK('Умные часы'!$E$4),"",'Умные часы'!$E$4)</f>
        <v>чёрный</v>
      </c>
      <c r="P736" s="292" t="str">
        <f aca="false">"ед."</f>
        <v>ед.</v>
      </c>
      <c r="Q736" s="292" t="n">
        <f aca="false">N('Умные часы'!$G$4)</f>
        <v>0</v>
      </c>
      <c r="R736" s="299" t="n">
        <f aca="false">IF(ISBLANK('Умные часы'!$F$4),"",'Умные часы'!$F$4)</f>
        <v>660.53</v>
      </c>
      <c r="S736" s="292" t="str">
        <f aca="false">IF(ISBLANK('Умные часы'!$H$4),"",'Умные часы'!$H$4)</f>
        <v/>
      </c>
    </row>
    <row r="737" customFormat="false" ht="66" hidden="false" customHeight="true" outlineLevel="0" collapsed="false">
      <c r="A737" s="291" t="str">
        <f aca="true">IF(ISNUMBER($J737),INDIRECT("L"&amp;($J737+4)),"")</f>
        <v/>
      </c>
      <c r="B737" s="291" t="str">
        <f aca="true">IF(ISNUMBER($J737),INDIRECT("M"&amp;($J737+4)),"")</f>
        <v/>
      </c>
      <c r="C737" s="296" t="str">
        <f aca="true">IF(ISNUMBER($J737),INDIRECT("N"&amp;($J737+4)),"")</f>
        <v/>
      </c>
      <c r="D737" s="291" t="str">
        <f aca="true">IF(ISNUMBER($J737),INDIRECT("O"&amp;($J737+4)),"")</f>
        <v/>
      </c>
      <c r="E737" s="291" t="str">
        <f aca="true">IF(ISNUMBER($J737),INDIRECT("P"&amp;($J737+4)),"")</f>
        <v/>
      </c>
      <c r="F737" s="300" t="str">
        <f aca="true">IF(ISNUMBER($J737),INDIRECT("Q"&amp;($J737+4)),"")</f>
        <v/>
      </c>
      <c r="G737" s="298" t="str">
        <f aca="true">IF(ISNUMBER($J737),INDIRECT("R"&amp;($J737+4)),"")</f>
        <v/>
      </c>
      <c r="H737" s="298" t="str">
        <f aca="true">IF(ISNUMBER($J737),INDIRECT("S"&amp;($J737+4)),"")</f>
        <v/>
      </c>
      <c r="J737" s="292" t="str">
        <f aca="true">IF(733&lt;=$K$1,MATCH(732.5,INDIRECT("$K$4:$K$1374"),1),"")</f>
        <v/>
      </c>
      <c r="K737" s="292" t="n">
        <f aca="false">$K$644+COUNTIF($Q$645:Q737,"&gt;0")</f>
        <v>0</v>
      </c>
      <c r="L737" s="292" t="str">
        <f aca="false">"Умные часы"</f>
        <v>Умные часы</v>
      </c>
      <c r="M737" s="292" t="str">
        <f aca="false">IF(ISBLANK('Умные часы'!$A$4),"",'Умные часы'!$A$4)</f>
        <v>BD19 смарт часы (поддержка звонков)</v>
      </c>
      <c r="N737" s="292" t="str">
        <f aca="false">IF(ISBLANK('Умные часы'!$D$5),"",'Умные часы'!$D$5)</f>
        <v>6941991130212</v>
      </c>
      <c r="O737" s="292" t="str">
        <f aca="false">IF(ISBLANK('Умные часы'!$E$5),"",'Умные часы'!$E$5)</f>
        <v>серебро</v>
      </c>
      <c r="P737" s="292" t="str">
        <f aca="false">"ед."</f>
        <v>ед.</v>
      </c>
      <c r="Q737" s="292" t="n">
        <f aca="false">N('Умные часы'!$G$5)</f>
        <v>0</v>
      </c>
      <c r="R737" s="299" t="n">
        <f aca="false">IF(ISBLANK('Умные часы'!$F$5),"",'Умные часы'!$F$5)</f>
        <v>660.53</v>
      </c>
      <c r="S737" s="292" t="str">
        <f aca="false">IF(ISBLANK('Умные часы'!$H$5),"",'Умные часы'!$H$5)</f>
        <v/>
      </c>
    </row>
    <row r="738" customFormat="false" ht="66" hidden="false" customHeight="true" outlineLevel="0" collapsed="false">
      <c r="A738" s="291" t="str">
        <f aca="true">IF(ISNUMBER($J738),INDIRECT("L"&amp;($J738+4)),"")</f>
        <v/>
      </c>
      <c r="B738" s="291" t="str">
        <f aca="true">IF(ISNUMBER($J738),INDIRECT("M"&amp;($J738+4)),"")</f>
        <v/>
      </c>
      <c r="C738" s="296" t="str">
        <f aca="true">IF(ISNUMBER($J738),INDIRECT("N"&amp;($J738+4)),"")</f>
        <v/>
      </c>
      <c r="D738" s="291" t="str">
        <f aca="true">IF(ISNUMBER($J738),INDIRECT("O"&amp;($J738+4)),"")</f>
        <v/>
      </c>
      <c r="E738" s="291" t="str">
        <f aca="true">IF(ISNUMBER($J738),INDIRECT("P"&amp;($J738+4)),"")</f>
        <v/>
      </c>
      <c r="F738" s="300" t="str">
        <f aca="true">IF(ISNUMBER($J738),INDIRECT("Q"&amp;($J738+4)),"")</f>
        <v/>
      </c>
      <c r="G738" s="298" t="str">
        <f aca="true">IF(ISNUMBER($J738),INDIRECT("R"&amp;($J738+4)),"")</f>
        <v/>
      </c>
      <c r="H738" s="298" t="str">
        <f aca="true">IF(ISNUMBER($J738),INDIRECT("S"&amp;($J738+4)),"")</f>
        <v/>
      </c>
      <c r="J738" s="292" t="str">
        <f aca="true">IF(734&lt;=$K$1,MATCH(733.5,INDIRECT("$K$4:$K$1374"),1),"")</f>
        <v/>
      </c>
      <c r="K738" s="292" t="n">
        <f aca="false">$K$644+COUNTIF($Q$645:Q738,"&gt;0")</f>
        <v>0</v>
      </c>
      <c r="L738" s="292" t="str">
        <f aca="false">"Умные часы"</f>
        <v>Умные часы</v>
      </c>
      <c r="M738" s="292" t="str">
        <f aca="false">IF(ISBLANK('Умные часы'!$A$6),"",'Умные часы'!$A$6)</f>
        <v>BD18 смарт часы (cподдержка звонков)</v>
      </c>
      <c r="N738" s="292" t="str">
        <f aca="false">IF(ISBLANK('Умные часы'!$D$6),"",'Умные часы'!$D$6)</f>
        <v>6941991130182</v>
      </c>
      <c r="O738" s="292" t="str">
        <f aca="false">IF(ISBLANK('Умные часы'!$E$6),"",'Умные часы'!$E$6)</f>
        <v>чёрный</v>
      </c>
      <c r="P738" s="292" t="str">
        <f aca="false">"ед."</f>
        <v>ед.</v>
      </c>
      <c r="Q738" s="292" t="n">
        <f aca="false">N('Умные часы'!$G$6)</f>
        <v>0</v>
      </c>
      <c r="R738" s="299" t="n">
        <f aca="false">IF(ISBLANK('Умные часы'!$F$6),"",'Умные часы'!$F$6)</f>
        <v>685</v>
      </c>
      <c r="S738" s="292" t="str">
        <f aca="false">IF(ISBLANK('Умные часы'!$H$6),"",'Умные часы'!$H$6)</f>
        <v/>
      </c>
    </row>
    <row r="739" customFormat="false" ht="66" hidden="false" customHeight="true" outlineLevel="0" collapsed="false">
      <c r="A739" s="291" t="str">
        <f aca="true">IF(ISNUMBER($J739),INDIRECT("L"&amp;($J739+4)),"")</f>
        <v/>
      </c>
      <c r="B739" s="291" t="str">
        <f aca="true">IF(ISNUMBER($J739),INDIRECT("M"&amp;($J739+4)),"")</f>
        <v/>
      </c>
      <c r="C739" s="296" t="str">
        <f aca="true">IF(ISNUMBER($J739),INDIRECT("N"&amp;($J739+4)),"")</f>
        <v/>
      </c>
      <c r="D739" s="291" t="str">
        <f aca="true">IF(ISNUMBER($J739),INDIRECT("O"&amp;($J739+4)),"")</f>
        <v/>
      </c>
      <c r="E739" s="291" t="str">
        <f aca="true">IF(ISNUMBER($J739),INDIRECT("P"&amp;($J739+4)),"")</f>
        <v/>
      </c>
      <c r="F739" s="300" t="str">
        <f aca="true">IF(ISNUMBER($J739),INDIRECT("Q"&amp;($J739+4)),"")</f>
        <v/>
      </c>
      <c r="G739" s="298" t="str">
        <f aca="true">IF(ISNUMBER($J739),INDIRECT("R"&amp;($J739+4)),"")</f>
        <v/>
      </c>
      <c r="H739" s="298" t="str">
        <f aca="true">IF(ISNUMBER($J739),INDIRECT("S"&amp;($J739+4)),"")</f>
        <v/>
      </c>
      <c r="J739" s="292" t="str">
        <f aca="true">IF(735&lt;=$K$1,MATCH(734.5,INDIRECT("$K$4:$K$1374"),1),"")</f>
        <v/>
      </c>
      <c r="K739" s="292" t="n">
        <f aca="false">$K$644+COUNTIF($Q$645:Q739,"&gt;0")</f>
        <v>0</v>
      </c>
      <c r="L739" s="292" t="str">
        <f aca="false">"Умные часы"</f>
        <v>Умные часы</v>
      </c>
      <c r="M739" s="292" t="str">
        <f aca="false">IF(ISBLANK('Умные часы'!$A$6),"",'Умные часы'!$A$6)</f>
        <v>BD18 смарт часы (cподдержка звонков)</v>
      </c>
      <c r="N739" s="292" t="str">
        <f aca="false">IF(ISBLANK('Умные часы'!$D$7),"",'Умные часы'!$D$7)</f>
        <v>6941991130199</v>
      </c>
      <c r="O739" s="292" t="str">
        <f aca="false">IF(ISBLANK('Умные часы'!$E$7),"",'Умные часы'!$E$7)</f>
        <v>титановое золото</v>
      </c>
      <c r="P739" s="292" t="str">
        <f aca="false">"ед."</f>
        <v>ед.</v>
      </c>
      <c r="Q739" s="292" t="n">
        <f aca="false">N('Умные часы'!$G$7)</f>
        <v>0</v>
      </c>
      <c r="R739" s="299" t="n">
        <f aca="false">IF(ISBLANK('Умные часы'!$F$7),"",'Умные часы'!$F$7)</f>
        <v>685</v>
      </c>
      <c r="S739" s="292" t="str">
        <f aca="false">IF(ISBLANK('Умные часы'!$H$7),"",'Умные часы'!$H$7)</f>
        <v/>
      </c>
    </row>
    <row r="740" customFormat="false" ht="66" hidden="false" customHeight="true" outlineLevel="0" collapsed="false">
      <c r="A740" s="291" t="str">
        <f aca="true">IF(ISNUMBER($J740),INDIRECT("L"&amp;($J740+4)),"")</f>
        <v/>
      </c>
      <c r="B740" s="291" t="str">
        <f aca="true">IF(ISNUMBER($J740),INDIRECT("M"&amp;($J740+4)),"")</f>
        <v/>
      </c>
      <c r="C740" s="296" t="str">
        <f aca="true">IF(ISNUMBER($J740),INDIRECT("N"&amp;($J740+4)),"")</f>
        <v/>
      </c>
      <c r="D740" s="291" t="str">
        <f aca="true">IF(ISNUMBER($J740),INDIRECT("O"&amp;($J740+4)),"")</f>
        <v/>
      </c>
      <c r="E740" s="291" t="str">
        <f aca="true">IF(ISNUMBER($J740),INDIRECT("P"&amp;($J740+4)),"")</f>
        <v/>
      </c>
      <c r="F740" s="300" t="str">
        <f aca="true">IF(ISNUMBER($J740),INDIRECT("Q"&amp;($J740+4)),"")</f>
        <v/>
      </c>
      <c r="G740" s="298" t="str">
        <f aca="true">IF(ISNUMBER($J740),INDIRECT("R"&amp;($J740+4)),"")</f>
        <v/>
      </c>
      <c r="H740" s="298" t="str">
        <f aca="true">IF(ISNUMBER($J740),INDIRECT("S"&amp;($J740+4)),"")</f>
        <v/>
      </c>
      <c r="J740" s="292" t="str">
        <f aca="true">IF(736&lt;=$K$1,MATCH(735.5,INDIRECT("$K$4:$K$1374"),1),"")</f>
        <v/>
      </c>
      <c r="K740" s="292" t="n">
        <f aca="false">$K$644+COUNTIF($Q$645:Q740,"&gt;0")</f>
        <v>0</v>
      </c>
      <c r="L740" s="292" t="str">
        <f aca="false">"Умные часы"</f>
        <v>Умные часы</v>
      </c>
      <c r="M740" s="292" t="str">
        <f aca="false">IF(ISBLANK('Умные часы'!$A$8),"",'Умные часы'!$A$8)</f>
        <v>BD17 смарт часы (поддержка звонков)</v>
      </c>
      <c r="N740" s="292" t="str">
        <f aca="false">IF(ISBLANK('Умные часы'!$D$8),"",'Умные часы'!$D$8)</f>
        <v>6941991127793</v>
      </c>
      <c r="O740" s="292" t="str">
        <f aca="false">IF(ISBLANK('Умные часы'!$E$8),"",'Умные часы'!$E$8)</f>
        <v>золото</v>
      </c>
      <c r="P740" s="292" t="str">
        <f aca="false">"ед."</f>
        <v>ед.</v>
      </c>
      <c r="Q740" s="292" t="n">
        <f aca="false">N('Умные часы'!$G$8)</f>
        <v>0</v>
      </c>
      <c r="R740" s="299" t="n">
        <f aca="false">IF(ISBLANK('Умные часы'!$F$8),"",'Умные часы'!$F$8)</f>
        <v>1043.8</v>
      </c>
      <c r="S740" s="292" t="str">
        <f aca="false">IF(ISBLANK('Умные часы'!$H$8),"",'Умные часы'!$H$8)</f>
        <v/>
      </c>
    </row>
    <row r="741" customFormat="false" ht="66" hidden="false" customHeight="true" outlineLevel="0" collapsed="false">
      <c r="A741" s="291" t="str">
        <f aca="true">IF(ISNUMBER($J741),INDIRECT("L"&amp;($J741+4)),"")</f>
        <v/>
      </c>
      <c r="B741" s="291" t="str">
        <f aca="true">IF(ISNUMBER($J741),INDIRECT("M"&amp;($J741+4)),"")</f>
        <v/>
      </c>
      <c r="C741" s="296" t="str">
        <f aca="true">IF(ISNUMBER($J741),INDIRECT("N"&amp;($J741+4)),"")</f>
        <v/>
      </c>
      <c r="D741" s="291" t="str">
        <f aca="true">IF(ISNUMBER($J741),INDIRECT("O"&amp;($J741+4)),"")</f>
        <v/>
      </c>
      <c r="E741" s="291" t="str">
        <f aca="true">IF(ISNUMBER($J741),INDIRECT("P"&amp;($J741+4)),"")</f>
        <v/>
      </c>
      <c r="F741" s="300" t="str">
        <f aca="true">IF(ISNUMBER($J741),INDIRECT("Q"&amp;($J741+4)),"")</f>
        <v/>
      </c>
      <c r="G741" s="298" t="str">
        <f aca="true">IF(ISNUMBER($J741),INDIRECT("R"&amp;($J741+4)),"")</f>
        <v/>
      </c>
      <c r="H741" s="298" t="str">
        <f aca="true">IF(ISNUMBER($J741),INDIRECT("S"&amp;($J741+4)),"")</f>
        <v/>
      </c>
      <c r="J741" s="292" t="str">
        <f aca="true">IF(737&lt;=$K$1,MATCH(736.5,INDIRECT("$K$4:$K$1374"),1),"")</f>
        <v/>
      </c>
      <c r="K741" s="292" t="n">
        <f aca="false">$K$644+COUNTIF($Q$645:Q741,"&gt;0")</f>
        <v>0</v>
      </c>
      <c r="L741" s="292" t="str">
        <f aca="false">"Умные часы"</f>
        <v>Умные часы</v>
      </c>
      <c r="M741" s="292" t="str">
        <f aca="false">IF(ISBLANK('Умные часы'!$A$9),"",'Умные часы'!$A$9)</f>
        <v>BD16 смарт браслет</v>
      </c>
      <c r="N741" s="292" t="str">
        <f aca="false">IF(ISBLANK('Умные часы'!$D$9),"",'Умные часы'!$D$9)</f>
        <v>6941991126574</v>
      </c>
      <c r="O741" s="292" t="str">
        <f aca="false">IF(ISBLANK('Умные часы'!$E$9),"",'Умные часы'!$E$9)</f>
        <v>черный</v>
      </c>
      <c r="P741" s="292" t="str">
        <f aca="false">"ед."</f>
        <v>ед.</v>
      </c>
      <c r="Q741" s="292" t="n">
        <f aca="false">N('Умные часы'!$G$9)</f>
        <v>0</v>
      </c>
      <c r="R741" s="299" t="n">
        <f aca="false">IF(ISBLANK('Умные часы'!$F$9),"",'Умные часы'!$F$9)</f>
        <v>954.1</v>
      </c>
      <c r="S741" s="292" t="str">
        <f aca="false">IF(ISBLANK('Умные часы'!$H$9),"",'Умные часы'!$H$9)</f>
        <v/>
      </c>
    </row>
    <row r="742" customFormat="false" ht="66" hidden="false" customHeight="true" outlineLevel="0" collapsed="false">
      <c r="A742" s="291" t="str">
        <f aca="true">IF(ISNUMBER($J742),INDIRECT("L"&amp;($J742+4)),"")</f>
        <v/>
      </c>
      <c r="B742" s="291" t="str">
        <f aca="true">IF(ISNUMBER($J742),INDIRECT("M"&amp;($J742+4)),"")</f>
        <v/>
      </c>
      <c r="C742" s="296" t="str">
        <f aca="true">IF(ISNUMBER($J742),INDIRECT("N"&amp;($J742+4)),"")</f>
        <v/>
      </c>
      <c r="D742" s="291" t="str">
        <f aca="true">IF(ISNUMBER($J742),INDIRECT("O"&amp;($J742+4)),"")</f>
        <v/>
      </c>
      <c r="E742" s="291" t="str">
        <f aca="true">IF(ISNUMBER($J742),INDIRECT("P"&amp;($J742+4)),"")</f>
        <v/>
      </c>
      <c r="F742" s="300" t="str">
        <f aca="true">IF(ISNUMBER($J742),INDIRECT("Q"&amp;($J742+4)),"")</f>
        <v/>
      </c>
      <c r="G742" s="298" t="str">
        <f aca="true">IF(ISNUMBER($J742),INDIRECT("R"&amp;($J742+4)),"")</f>
        <v/>
      </c>
      <c r="H742" s="298" t="str">
        <f aca="true">IF(ISNUMBER($J742),INDIRECT("S"&amp;($J742+4)),"")</f>
        <v/>
      </c>
      <c r="J742" s="292" t="str">
        <f aca="true">IF(738&lt;=$K$1,MATCH(737.5,INDIRECT("$K$4:$K$1374"),1),"")</f>
        <v/>
      </c>
      <c r="K742" s="292" t="n">
        <f aca="false">$K$644+COUNTIF($Q$645:Q742,"&gt;0")</f>
        <v>0</v>
      </c>
      <c r="L742" s="292" t="str">
        <f aca="false">"Умные часы"</f>
        <v>Умные часы</v>
      </c>
      <c r="M742" s="292" t="str">
        <f aca="false">IF(ISBLANK('Умные часы'!$A$9),"",'Умные часы'!$A$9)</f>
        <v>BD16 смарт браслет</v>
      </c>
      <c r="N742" s="292" t="str">
        <f aca="false">IF(ISBLANK('Умные часы'!$D$10),"",'Умные часы'!$D$10)</f>
        <v>6941991126581</v>
      </c>
      <c r="O742" s="292" t="str">
        <f aca="false">IF(ISBLANK('Умные часы'!$E$10),"",'Умные часы'!$E$10)</f>
        <v>серебро</v>
      </c>
      <c r="P742" s="292" t="str">
        <f aca="false">"ед."</f>
        <v>ед.</v>
      </c>
      <c r="Q742" s="292" t="n">
        <f aca="false">N('Умные часы'!$G$10)</f>
        <v>0</v>
      </c>
      <c r="R742" s="299" t="n">
        <f aca="false">IF(ISBLANK('Умные часы'!$F$10),"",'Умные часы'!$F$10)</f>
        <v>954.1</v>
      </c>
      <c r="S742" s="292" t="str">
        <f aca="false">IF(ISBLANK('Умные часы'!$H$10),"",'Умные часы'!$H$10)</f>
        <v/>
      </c>
    </row>
    <row r="743" customFormat="false" ht="66" hidden="false" customHeight="true" outlineLevel="0" collapsed="false">
      <c r="A743" s="291" t="str">
        <f aca="true">IF(ISNUMBER($J743),INDIRECT("L"&amp;($J743+4)),"")</f>
        <v/>
      </c>
      <c r="B743" s="291" t="str">
        <f aca="true">IF(ISNUMBER($J743),INDIRECT("M"&amp;($J743+4)),"")</f>
        <v/>
      </c>
      <c r="C743" s="296" t="str">
        <f aca="true">IF(ISNUMBER($J743),INDIRECT("N"&amp;($J743+4)),"")</f>
        <v/>
      </c>
      <c r="D743" s="291" t="str">
        <f aca="true">IF(ISNUMBER($J743),INDIRECT("O"&amp;($J743+4)),"")</f>
        <v/>
      </c>
      <c r="E743" s="291" t="str">
        <f aca="true">IF(ISNUMBER($J743),INDIRECT("P"&amp;($J743+4)),"")</f>
        <v/>
      </c>
      <c r="F743" s="300" t="str">
        <f aca="true">IF(ISNUMBER($J743),INDIRECT("Q"&amp;($J743+4)),"")</f>
        <v/>
      </c>
      <c r="G743" s="298" t="str">
        <f aca="true">IF(ISNUMBER($J743),INDIRECT("R"&amp;($J743+4)),"")</f>
        <v/>
      </c>
      <c r="H743" s="298" t="str">
        <f aca="true">IF(ISNUMBER($J743),INDIRECT("S"&amp;($J743+4)),"")</f>
        <v/>
      </c>
      <c r="J743" s="292" t="str">
        <f aca="true">IF(739&lt;=$K$1,MATCH(738.5,INDIRECT("$K$4:$K$1374"),1),"")</f>
        <v/>
      </c>
      <c r="K743" s="292" t="n">
        <f aca="false">$K$644+COUNTIF($Q$645:Q743,"&gt;0")</f>
        <v>0</v>
      </c>
      <c r="L743" s="292" t="str">
        <f aca="false">"Умные часы"</f>
        <v>Умные часы</v>
      </c>
      <c r="M743" s="292" t="str">
        <f aca="false">IF(ISBLANK('Умные часы'!$A$11),"",'Умные часы'!$A$11)</f>
        <v>BD15смарт часы (поддержка звонков)</v>
      </c>
      <c r="N743" s="292" t="str">
        <f aca="false">IF(ISBLANK('Умные часы'!$D$11),"",'Умные часы'!$D$11)</f>
        <v>6941991125409</v>
      </c>
      <c r="O743" s="292" t="str">
        <f aca="false">IF(ISBLANK('Умные часы'!$E$11),"",'Умные часы'!$E$11)</f>
        <v>чёрный</v>
      </c>
      <c r="P743" s="292" t="str">
        <f aca="false">"ед."</f>
        <v>ед.</v>
      </c>
      <c r="Q743" s="292" t="n">
        <f aca="false">N('Умные часы'!$G$11)</f>
        <v>0</v>
      </c>
      <c r="R743" s="299" t="n">
        <f aca="false">IF(ISBLANK('Умные часы'!$F$11),"",'Умные часы'!$F$11)</f>
        <v>945.95</v>
      </c>
      <c r="S743" s="292" t="str">
        <f aca="false">IF(ISBLANK('Умные часы'!$H$11),"",'Умные часы'!$H$11)</f>
        <v/>
      </c>
    </row>
    <row r="744" customFormat="false" ht="66" hidden="false" customHeight="true" outlineLevel="0" collapsed="false">
      <c r="A744" s="291" t="str">
        <f aca="true">IF(ISNUMBER($J744),INDIRECT("L"&amp;($J744+4)),"")</f>
        <v/>
      </c>
      <c r="B744" s="291" t="str">
        <f aca="true">IF(ISNUMBER($J744),INDIRECT("M"&amp;($J744+4)),"")</f>
        <v/>
      </c>
      <c r="C744" s="296" t="str">
        <f aca="true">IF(ISNUMBER($J744),INDIRECT("N"&amp;($J744+4)),"")</f>
        <v/>
      </c>
      <c r="D744" s="291" t="str">
        <f aca="true">IF(ISNUMBER($J744),INDIRECT("O"&amp;($J744+4)),"")</f>
        <v/>
      </c>
      <c r="E744" s="291" t="str">
        <f aca="true">IF(ISNUMBER($J744),INDIRECT("P"&amp;($J744+4)),"")</f>
        <v/>
      </c>
      <c r="F744" s="300" t="str">
        <f aca="true">IF(ISNUMBER($J744),INDIRECT("Q"&amp;($J744+4)),"")</f>
        <v/>
      </c>
      <c r="G744" s="298" t="str">
        <f aca="true">IF(ISNUMBER($J744),INDIRECT("R"&amp;($J744+4)),"")</f>
        <v/>
      </c>
      <c r="H744" s="298" t="str">
        <f aca="true">IF(ISNUMBER($J744),INDIRECT("S"&amp;($J744+4)),"")</f>
        <v/>
      </c>
      <c r="J744" s="292" t="str">
        <f aca="true">IF(740&lt;=$K$1,MATCH(739.5,INDIRECT("$K$4:$K$1374"),1),"")</f>
        <v/>
      </c>
      <c r="K744" s="292" t="n">
        <f aca="false">$K$644+COUNTIF($Q$645:Q744,"&gt;0")</f>
        <v>0</v>
      </c>
      <c r="L744" s="292" t="str">
        <f aca="false">"Умные часы"</f>
        <v>Умные часы</v>
      </c>
      <c r="M744" s="292" t="str">
        <f aca="false">IF(ISBLANK('Умные часы'!$A$11),"",'Умные часы'!$A$11)</f>
        <v>BD15смарт часы (поддержка звонков)</v>
      </c>
      <c r="N744" s="292" t="str">
        <f aca="false">IF(ISBLANK('Умные часы'!$D$12),"",'Умные часы'!$D$12)</f>
        <v>6941991125416</v>
      </c>
      <c r="O744" s="292" t="str">
        <f aca="false">IF(ISBLANK('Умные часы'!$E$12),"",'Умные часы'!$E$12)</f>
        <v>серебро</v>
      </c>
      <c r="P744" s="292" t="str">
        <f aca="false">"ед."</f>
        <v>ед.</v>
      </c>
      <c r="Q744" s="292" t="n">
        <f aca="false">N('Умные часы'!$G$12)</f>
        <v>0</v>
      </c>
      <c r="R744" s="299" t="n">
        <f aca="false">IF(ISBLANK('Умные часы'!$F$12),"",'Умные часы'!$F$12)</f>
        <v>945.95</v>
      </c>
      <c r="S744" s="292" t="str">
        <f aca="false">IF(ISBLANK('Умные часы'!$H$12),"",'Умные часы'!$H$12)</f>
        <v/>
      </c>
    </row>
    <row r="745" customFormat="false" ht="66" hidden="false" customHeight="true" outlineLevel="0" collapsed="false">
      <c r="A745" s="291" t="str">
        <f aca="true">IF(ISNUMBER($J745),INDIRECT("L"&amp;($J745+4)),"")</f>
        <v/>
      </c>
      <c r="B745" s="291" t="str">
        <f aca="true">IF(ISNUMBER($J745),INDIRECT("M"&amp;($J745+4)),"")</f>
        <v/>
      </c>
      <c r="C745" s="296" t="str">
        <f aca="true">IF(ISNUMBER($J745),INDIRECT("N"&amp;($J745+4)),"")</f>
        <v/>
      </c>
      <c r="D745" s="291" t="str">
        <f aca="true">IF(ISNUMBER($J745),INDIRECT("O"&amp;($J745+4)),"")</f>
        <v/>
      </c>
      <c r="E745" s="291" t="str">
        <f aca="true">IF(ISNUMBER($J745),INDIRECT("P"&amp;($J745+4)),"")</f>
        <v/>
      </c>
      <c r="F745" s="300" t="str">
        <f aca="true">IF(ISNUMBER($J745),INDIRECT("Q"&amp;($J745+4)),"")</f>
        <v/>
      </c>
      <c r="G745" s="298" t="str">
        <f aca="true">IF(ISNUMBER($J745),INDIRECT("R"&amp;($J745+4)),"")</f>
        <v/>
      </c>
      <c r="H745" s="298" t="str">
        <f aca="true">IF(ISNUMBER($J745),INDIRECT("S"&amp;($J745+4)),"")</f>
        <v/>
      </c>
      <c r="J745" s="292" t="str">
        <f aca="true">IF(741&lt;=$K$1,MATCH(740.5,INDIRECT("$K$4:$K$1374"),1),"")</f>
        <v/>
      </c>
      <c r="K745" s="292" t="n">
        <f aca="false">$K$644+COUNTIF($Q$645:Q745,"&gt;0")</f>
        <v>0</v>
      </c>
      <c r="L745" s="292" t="str">
        <f aca="false">"Умные часы"</f>
        <v>Умные часы</v>
      </c>
      <c r="M745" s="292" t="str">
        <f aca="false">IF(ISBLANK('Умные часы'!$A$13),"",'Умные часы'!$A$13)</f>
        <v>BD14 Plus смарт часы (поддержка звонков)</v>
      </c>
      <c r="N745" s="292" t="str">
        <f aca="false">IF(ISBLANK('Умные часы'!$D$13),"",'Умные часы'!$D$13)</f>
        <v>6941991126192</v>
      </c>
      <c r="O745" s="292" t="str">
        <f aca="false">IF(ISBLANK('Умные часы'!$E$13),"",'Умные часы'!$E$13)</f>
        <v>чёрный</v>
      </c>
      <c r="P745" s="292" t="str">
        <f aca="false">"ед."</f>
        <v>ед.</v>
      </c>
      <c r="Q745" s="292" t="n">
        <f aca="false">N('Умные часы'!$G$13)</f>
        <v>0</v>
      </c>
      <c r="R745" s="299" t="n">
        <f aca="false">IF(ISBLANK('Умные часы'!$F$13),"",'Умные часы'!$F$13)</f>
        <v>864.4</v>
      </c>
      <c r="S745" s="292" t="str">
        <f aca="false">IF(ISBLANK('Умные часы'!$H$13),"",'Умные часы'!$H$13)</f>
        <v/>
      </c>
    </row>
    <row r="746" customFormat="false" ht="66" hidden="false" customHeight="true" outlineLevel="0" collapsed="false">
      <c r="A746" s="291" t="str">
        <f aca="true">IF(ISNUMBER($J746),INDIRECT("L"&amp;($J746+4)),"")</f>
        <v/>
      </c>
      <c r="B746" s="291" t="str">
        <f aca="true">IF(ISNUMBER($J746),INDIRECT("M"&amp;($J746+4)),"")</f>
        <v/>
      </c>
      <c r="C746" s="296" t="str">
        <f aca="true">IF(ISNUMBER($J746),INDIRECT("N"&amp;($J746+4)),"")</f>
        <v/>
      </c>
      <c r="D746" s="291" t="str">
        <f aca="true">IF(ISNUMBER($J746),INDIRECT("O"&amp;($J746+4)),"")</f>
        <v/>
      </c>
      <c r="E746" s="291" t="str">
        <f aca="true">IF(ISNUMBER($J746),INDIRECT("P"&amp;($J746+4)),"")</f>
        <v/>
      </c>
      <c r="F746" s="300" t="str">
        <f aca="true">IF(ISNUMBER($J746),INDIRECT("Q"&amp;($J746+4)),"")</f>
        <v/>
      </c>
      <c r="G746" s="298" t="str">
        <f aca="true">IF(ISNUMBER($J746),INDIRECT("R"&amp;($J746+4)),"")</f>
        <v/>
      </c>
      <c r="H746" s="298" t="str">
        <f aca="true">IF(ISNUMBER($J746),INDIRECT("S"&amp;($J746+4)),"")</f>
        <v/>
      </c>
      <c r="J746" s="292" t="str">
        <f aca="true">IF(742&lt;=$K$1,MATCH(741.5,INDIRECT("$K$4:$K$1374"),1),"")</f>
        <v/>
      </c>
      <c r="K746" s="292" t="n">
        <f aca="false">$K$644+COUNTIF($Q$645:Q746,"&gt;0")</f>
        <v>0</v>
      </c>
      <c r="L746" s="292" t="str">
        <f aca="false">"Умные часы"</f>
        <v>Умные часы</v>
      </c>
      <c r="M746" s="292" t="str">
        <f aca="false">IF(ISBLANK('Умные часы'!$A$16),"",'Умные часы'!$A$16)</f>
        <v>BD18/BD19 зарядный кабель для смарт часов</v>
      </c>
      <c r="N746" s="292" t="str">
        <f aca="false">IF(ISBLANK('Умные часы'!$D$16),"",'Умные часы'!$D$16)</f>
        <v>6941991130229</v>
      </c>
      <c r="O746" s="292" t="str">
        <f aca="false">IF(ISBLANK('Умные часы'!$E$16),"",'Умные часы'!$E$16)</f>
        <v>белый</v>
      </c>
      <c r="P746" s="292" t="str">
        <f aca="false">"ед."</f>
        <v>ед.</v>
      </c>
      <c r="Q746" s="292" t="n">
        <f aca="false">N('Умные часы'!$G$16)</f>
        <v>0</v>
      </c>
      <c r="R746" s="299" t="n">
        <f aca="false">IF(ISBLANK('Умные часы'!$F$16),"",'Умные часы'!$F$16)</f>
        <v>40.77</v>
      </c>
      <c r="S746" s="292" t="str">
        <f aca="false">IF(ISBLANK('Умные часы'!$H$16),"",'Умные часы'!$H$16)</f>
        <v/>
      </c>
    </row>
    <row r="747" customFormat="false" ht="66" hidden="false" customHeight="true" outlineLevel="0" collapsed="false">
      <c r="A747" s="291" t="str">
        <f aca="true">IF(ISNUMBER($J747),INDIRECT("L"&amp;($J747+4)),"")</f>
        <v/>
      </c>
      <c r="B747" s="291" t="str">
        <f aca="true">IF(ISNUMBER($J747),INDIRECT("M"&amp;($J747+4)),"")</f>
        <v/>
      </c>
      <c r="C747" s="296" t="str">
        <f aca="true">IF(ISNUMBER($J747),INDIRECT("N"&amp;($J747+4)),"")</f>
        <v/>
      </c>
      <c r="D747" s="291" t="str">
        <f aca="true">IF(ISNUMBER($J747),INDIRECT("O"&amp;($J747+4)),"")</f>
        <v/>
      </c>
      <c r="E747" s="291" t="str">
        <f aca="true">IF(ISNUMBER($J747),INDIRECT("P"&amp;($J747+4)),"")</f>
        <v/>
      </c>
      <c r="F747" s="300" t="str">
        <f aca="true">IF(ISNUMBER($J747),INDIRECT("Q"&amp;($J747+4)),"")</f>
        <v/>
      </c>
      <c r="G747" s="298" t="str">
        <f aca="true">IF(ISNUMBER($J747),INDIRECT("R"&amp;($J747+4)),"")</f>
        <v/>
      </c>
      <c r="H747" s="298" t="str">
        <f aca="true">IF(ISNUMBER($J747),INDIRECT("S"&amp;($J747+4)),"")</f>
        <v/>
      </c>
      <c r="J747" s="292" t="str">
        <f aca="true">IF(743&lt;=$K$1,MATCH(742.5,INDIRECT("$K$4:$K$1374"),1),"")</f>
        <v/>
      </c>
      <c r="K747" s="292" t="n">
        <f aca="false">$K$644+COUNTIF($Q$645:Q747,"&gt;0")</f>
        <v>0</v>
      </c>
      <c r="L747" s="292" t="str">
        <f aca="false">"Умные часы"</f>
        <v>Умные часы</v>
      </c>
      <c r="M747" s="292" t="str">
        <f aca="false">IF(ISBLANK('Умные часы'!$A$17),"",'Умные часы'!$A$17)</f>
        <v>BD16 зарядный кабель для смарт браслета</v>
      </c>
      <c r="N747" s="292" t="str">
        <f aca="false">IF(ISBLANK('Умные часы'!$D$17),"",'Умные часы'!$D$17)</f>
        <v>6941991126604</v>
      </c>
      <c r="O747" s="292" t="str">
        <f aca="false">IF(ISBLANK('Умные часы'!$E$17),"",'Умные часы'!$E$17)</f>
        <v>черный</v>
      </c>
      <c r="P747" s="292" t="str">
        <f aca="false">"ед."</f>
        <v>ед.</v>
      </c>
      <c r="Q747" s="292" t="n">
        <f aca="false">N('Умные часы'!$G$17)</f>
        <v>0</v>
      </c>
      <c r="R747" s="299" t="n">
        <f aca="false">IF(ISBLANK('Умные часы'!$F$17),"",'Умные часы'!$F$17)</f>
        <v>55.45</v>
      </c>
      <c r="S747" s="292" t="str">
        <f aca="false">IF(ISBLANK('Умные часы'!$H$17),"",'Умные часы'!$H$17)</f>
        <v/>
      </c>
    </row>
    <row r="748" customFormat="false" ht="66" hidden="false" customHeight="true" outlineLevel="0" collapsed="false">
      <c r="A748" s="291" t="str">
        <f aca="true">IF(ISNUMBER($J748),INDIRECT("L"&amp;($J748+4)),"")</f>
        <v/>
      </c>
      <c r="B748" s="291" t="str">
        <f aca="true">IF(ISNUMBER($J748),INDIRECT("M"&amp;($J748+4)),"")</f>
        <v/>
      </c>
      <c r="C748" s="296" t="str">
        <f aca="true">IF(ISNUMBER($J748),INDIRECT("N"&amp;($J748+4)),"")</f>
        <v/>
      </c>
      <c r="D748" s="291" t="str">
        <f aca="true">IF(ISNUMBER($J748),INDIRECT("O"&amp;($J748+4)),"")</f>
        <v/>
      </c>
      <c r="E748" s="291" t="str">
        <f aca="true">IF(ISNUMBER($J748),INDIRECT("P"&amp;($J748+4)),"")</f>
        <v/>
      </c>
      <c r="F748" s="300" t="str">
        <f aca="true">IF(ISNUMBER($J748),INDIRECT("Q"&amp;($J748+4)),"")</f>
        <v/>
      </c>
      <c r="G748" s="298" t="str">
        <f aca="true">IF(ISNUMBER($J748),INDIRECT("R"&amp;($J748+4)),"")</f>
        <v/>
      </c>
      <c r="H748" s="298" t="str">
        <f aca="true">IF(ISNUMBER($J748),INDIRECT("S"&amp;($J748+4)),"")</f>
        <v/>
      </c>
      <c r="J748" s="292" t="str">
        <f aca="true">IF(744&lt;=$K$1,MATCH(743.5,INDIRECT("$K$4:$K$1374"),1),"")</f>
        <v/>
      </c>
      <c r="K748" s="292" t="n">
        <f aca="false">$K$644+COUNTIF($Q$645:Q748,"&gt;0")</f>
        <v>0</v>
      </c>
      <c r="L748" s="292" t="str">
        <f aca="false">"Умные часы"</f>
        <v>Умные часы</v>
      </c>
      <c r="M748" s="292" t="str">
        <f aca="false">IF(ISBLANK('Умные часы'!$A$18),"",'Умные часы'!$A$18)</f>
        <v>BD15 зарядный кабель для смарт браслета</v>
      </c>
      <c r="N748" s="292" t="str">
        <f aca="false">IF(ISBLANK('Умные часы'!$D$18),"",'Умные часы'!$D$18)</f>
        <v>6941991126611</v>
      </c>
      <c r="O748" s="292" t="str">
        <f aca="false">IF(ISBLANK('Умные часы'!$E$18),"",'Умные часы'!$E$18)</f>
        <v>чёрный</v>
      </c>
      <c r="P748" s="292" t="str">
        <f aca="false">"ед."</f>
        <v>ед.</v>
      </c>
      <c r="Q748" s="292" t="n">
        <f aca="false">N('Умные часы'!$G$18)</f>
        <v>0</v>
      </c>
      <c r="R748" s="299" t="n">
        <f aca="false">IF(ISBLANK('Умные часы'!$F$18),"",'Умные часы'!$F$18)</f>
        <v>60.34</v>
      </c>
      <c r="S748" s="292" t="str">
        <f aca="false">IF(ISBLANK('Умные часы'!$H$18),"",'Умные часы'!$H$18)</f>
        <v/>
      </c>
    </row>
    <row r="749" customFormat="false" ht="66" hidden="false" customHeight="true" outlineLevel="0" collapsed="false">
      <c r="A749" s="291" t="str">
        <f aca="true">IF(ISNUMBER($J749),INDIRECT("L"&amp;($J749+4)),"")</f>
        <v/>
      </c>
      <c r="B749" s="291" t="str">
        <f aca="true">IF(ISNUMBER($J749),INDIRECT("M"&amp;($J749+4)),"")</f>
        <v/>
      </c>
      <c r="C749" s="296" t="str">
        <f aca="true">IF(ISNUMBER($J749),INDIRECT("N"&amp;($J749+4)),"")</f>
        <v/>
      </c>
      <c r="D749" s="291" t="str">
        <f aca="true">IF(ISNUMBER($J749),INDIRECT("O"&amp;($J749+4)),"")</f>
        <v/>
      </c>
      <c r="E749" s="291" t="str">
        <f aca="true">IF(ISNUMBER($J749),INDIRECT("P"&amp;($J749+4)),"")</f>
        <v/>
      </c>
      <c r="F749" s="300" t="str">
        <f aca="true">IF(ISNUMBER($J749),INDIRECT("Q"&amp;($J749+4)),"")</f>
        <v/>
      </c>
      <c r="G749" s="298" t="str">
        <f aca="true">IF(ISNUMBER($J749),INDIRECT("R"&amp;($J749+4)),"")</f>
        <v/>
      </c>
      <c r="H749" s="298" t="str">
        <f aca="true">IF(ISNUMBER($J749),INDIRECT("S"&amp;($J749+4)),"")</f>
        <v/>
      </c>
      <c r="J749" s="292" t="str">
        <f aca="true">IF(745&lt;=$K$1,MATCH(744.5,INDIRECT("$K$4:$K$1374"),1),"")</f>
        <v/>
      </c>
      <c r="K749" s="292" t="n">
        <f aca="false">$K$644+COUNTIF($Q$645:Q749,"&gt;0")</f>
        <v>0</v>
      </c>
      <c r="L749" s="292" t="str">
        <f aca="false">"Аксессуары iPhone 18 Pro"</f>
        <v>Аксессуары iPhone 18 Pro</v>
      </c>
      <c r="M749" s="292" t="str">
        <f aca="false">IF(ISBLANK('Аксессуары iPhone 18 Pro'!$A$5),"",'Аксессуары iPhone 18 Pro'!$A$5)</f>
        <v>Ice Shield series магнитный чехол iP18 Pro/iP17 Pro(BI5)</v>
      </c>
      <c r="N749" s="292" t="str">
        <f aca="false">IF(ISBLANK('Аксессуары iPhone 18 Pro'!$D$5),"",'Аксессуары iPhone 18 Pro'!$D$5)</f>
        <v>6941991125539</v>
      </c>
      <c r="O749" s="292" t="str">
        <f aca="false">IF(ISBLANK('Аксессуары iPhone 18 Pro'!$E$5),"",'Аксессуары iPhone 18 Pro'!$E$5)</f>
        <v>прозрачный</v>
      </c>
      <c r="P749" s="292" t="str">
        <f aca="false">"ед."</f>
        <v>ед.</v>
      </c>
      <c r="Q749" s="292" t="n">
        <f aca="false">N('Аксессуары iPhone 18 Pro'!$G$5)</f>
        <v>0</v>
      </c>
      <c r="R749" s="299" t="n">
        <f aca="false">IF(ISBLANK('Аксессуары iPhone 18 Pro'!$F$5),"",'Аксессуары iPhone 18 Pro'!$F$5)</f>
        <v>293.57</v>
      </c>
      <c r="S749" s="292" t="str">
        <f aca="false">IF(ISBLANK('Аксессуары iPhone 18 Pro'!$H$5),"",'Аксессуары iPhone 18 Pro'!$H$5)</f>
        <v/>
      </c>
    </row>
    <row r="750" customFormat="false" ht="66" hidden="false" customHeight="true" outlineLevel="0" collapsed="false">
      <c r="A750" s="291" t="str">
        <f aca="true">IF(ISNUMBER($J750),INDIRECT("L"&amp;($J750+4)),"")</f>
        <v/>
      </c>
      <c r="B750" s="291" t="str">
        <f aca="true">IF(ISNUMBER($J750),INDIRECT("M"&amp;($J750+4)),"")</f>
        <v/>
      </c>
      <c r="C750" s="296" t="str">
        <f aca="true">IF(ISNUMBER($J750),INDIRECT("N"&amp;($J750+4)),"")</f>
        <v/>
      </c>
      <c r="D750" s="291" t="str">
        <f aca="true">IF(ISNUMBER($J750),INDIRECT("O"&amp;($J750+4)),"")</f>
        <v/>
      </c>
      <c r="E750" s="291" t="str">
        <f aca="true">IF(ISNUMBER($J750),INDIRECT("P"&amp;($J750+4)),"")</f>
        <v/>
      </c>
      <c r="F750" s="300" t="str">
        <f aca="true">IF(ISNUMBER($J750),INDIRECT("Q"&amp;($J750+4)),"")</f>
        <v/>
      </c>
      <c r="G750" s="298" t="str">
        <f aca="true">IF(ISNUMBER($J750),INDIRECT("R"&amp;($J750+4)),"")</f>
        <v/>
      </c>
      <c r="H750" s="298" t="str">
        <f aca="true">IF(ISNUMBER($J750),INDIRECT("S"&amp;($J750+4)),"")</f>
        <v/>
      </c>
      <c r="J750" s="292" t="str">
        <f aca="true">IF(746&lt;=$K$1,MATCH(745.5,INDIRECT("$K$4:$K$1374"),1),"")</f>
        <v/>
      </c>
      <c r="K750" s="292" t="n">
        <f aca="false">$K$644+COUNTIF($Q$645:Q750,"&gt;0")</f>
        <v>0</v>
      </c>
      <c r="L750" s="292" t="str">
        <f aca="false">"Аксессуары iPhone 18 Pro"</f>
        <v>Аксессуары iPhone 18 Pro</v>
      </c>
      <c r="M750" s="292" t="str">
        <f aca="false">IF(ISBLANK('Аксессуары iPhone 18 Pro'!$A$6),"",'Аксессуары iPhone 18 Pro'!$A$6)</f>
        <v>Ice Shield series магнитный чехол iP18 Pro Max/iP17 Pro Max(BI5)</v>
      </c>
      <c r="N750" s="292" t="str">
        <f aca="false">IF(ISBLANK('Аксессуары iPhone 18 Pro'!$D$6),"",'Аксессуары iPhone 18 Pro'!$D$6)</f>
        <v>6941991125546</v>
      </c>
      <c r="O750" s="292" t="str">
        <f aca="false">IF(ISBLANK('Аксессуары iPhone 18 Pro'!$E$6),"",'Аксессуары iPhone 18 Pro'!$E$6)</f>
        <v>прозрачный</v>
      </c>
      <c r="P750" s="292" t="str">
        <f aca="false">"ед."</f>
        <v>ед.</v>
      </c>
      <c r="Q750" s="292" t="n">
        <f aca="false">N('Аксессуары iPhone 18 Pro'!$G$6)</f>
        <v>0</v>
      </c>
      <c r="R750" s="299" t="n">
        <f aca="false">IF(ISBLANK('Аксессуары iPhone 18 Pro'!$F$6),"",'Аксессуары iPhone 18 Pro'!$F$6)</f>
        <v>293.57</v>
      </c>
      <c r="S750" s="292" t="str">
        <f aca="false">IF(ISBLANK('Аксессуары iPhone 18 Pro'!$H$6),"",'Аксессуары iPhone 18 Pro'!$H$6)</f>
        <v/>
      </c>
    </row>
    <row r="751" customFormat="false" ht="66" hidden="false" customHeight="true" outlineLevel="0" collapsed="false">
      <c r="A751" s="291" t="str">
        <f aca="true">IF(ISNUMBER($J751),INDIRECT("L"&amp;($J751+4)),"")</f>
        <v/>
      </c>
      <c r="B751" s="291" t="str">
        <f aca="true">IF(ISNUMBER($J751),INDIRECT("M"&amp;($J751+4)),"")</f>
        <v/>
      </c>
      <c r="C751" s="296" t="str">
        <f aca="true">IF(ISNUMBER($J751),INDIRECT("N"&amp;($J751+4)),"")</f>
        <v/>
      </c>
      <c r="D751" s="291" t="str">
        <f aca="true">IF(ISNUMBER($J751),INDIRECT("O"&amp;($J751+4)),"")</f>
        <v/>
      </c>
      <c r="E751" s="291" t="str">
        <f aca="true">IF(ISNUMBER($J751),INDIRECT("P"&amp;($J751+4)),"")</f>
        <v/>
      </c>
      <c r="F751" s="300" t="str">
        <f aca="true">IF(ISNUMBER($J751),INDIRECT("Q"&amp;($J751+4)),"")</f>
        <v/>
      </c>
      <c r="G751" s="298" t="str">
        <f aca="true">IF(ISNUMBER($J751),INDIRECT("R"&amp;($J751+4)),"")</f>
        <v/>
      </c>
      <c r="H751" s="298" t="str">
        <f aca="true">IF(ISNUMBER($J751),INDIRECT("S"&amp;($J751+4)),"")</f>
        <v/>
      </c>
      <c r="J751" s="292" t="str">
        <f aca="true">IF(747&lt;=$K$1,MATCH(746.5,INDIRECT("$K$4:$K$1374"),1),"")</f>
        <v/>
      </c>
      <c r="K751" s="292" t="n">
        <f aca="false">$K$644+COUNTIF($Q$645:Q751,"&gt;0")</f>
        <v>0</v>
      </c>
      <c r="L751" s="292" t="str">
        <f aca="false">"Аксессуары iPhone 18 Pro"</f>
        <v>Аксессуары iPhone 18 Pro</v>
      </c>
      <c r="M751" s="292" t="str">
        <f aca="false">IF(ISBLANK('Аксессуары iPhone 18 Pro'!$A$7),"",'Аксессуары iPhone 18 Pro'!$A$7)</f>
        <v>Ice series чехол для телефона iP18 Pro/iP17 Pro(BI4)</v>
      </c>
      <c r="N751" s="292" t="str">
        <f aca="false">IF(ISBLANK('Аксессуары iPhone 18 Pro'!$D$7),"",'Аксессуары iPhone 18 Pro'!$D$7)</f>
        <v>6941991125492</v>
      </c>
      <c r="O751" s="292" t="str">
        <f aca="false">IF(ISBLANK('Аксессуары iPhone 18 Pro'!$E$7),"",'Аксессуары iPhone 18 Pro'!$E$7)</f>
        <v>прозрачный</v>
      </c>
      <c r="P751" s="292" t="str">
        <f aca="false">"ед."</f>
        <v>ед.</v>
      </c>
      <c r="Q751" s="292" t="n">
        <f aca="false">N('Аксессуары iPhone 18 Pro'!$G$7)</f>
        <v>0</v>
      </c>
      <c r="R751" s="299" t="n">
        <f aca="false">IF(ISBLANK('Аксессуары iPhone 18 Pro'!$F$7),"",'Аксессуары iPhone 18 Pro'!$F$7)</f>
        <v>97.86</v>
      </c>
      <c r="S751" s="292" t="str">
        <f aca="false">IF(ISBLANK('Аксессуары iPhone 18 Pro'!$H$7),"",'Аксессуары iPhone 18 Pro'!$H$7)</f>
        <v/>
      </c>
    </row>
    <row r="752" customFormat="false" ht="66" hidden="false" customHeight="true" outlineLevel="0" collapsed="false">
      <c r="A752" s="291" t="str">
        <f aca="true">IF(ISNUMBER($J752),INDIRECT("L"&amp;($J752+4)),"")</f>
        <v/>
      </c>
      <c r="B752" s="291" t="str">
        <f aca="true">IF(ISNUMBER($J752),INDIRECT("M"&amp;($J752+4)),"")</f>
        <v/>
      </c>
      <c r="C752" s="296" t="str">
        <f aca="true">IF(ISNUMBER($J752),INDIRECT("N"&amp;($J752+4)),"")</f>
        <v/>
      </c>
      <c r="D752" s="291" t="str">
        <f aca="true">IF(ISNUMBER($J752),INDIRECT("O"&amp;($J752+4)),"")</f>
        <v/>
      </c>
      <c r="E752" s="291" t="str">
        <f aca="true">IF(ISNUMBER($J752),INDIRECT("P"&amp;($J752+4)),"")</f>
        <v/>
      </c>
      <c r="F752" s="300" t="str">
        <f aca="true">IF(ISNUMBER($J752),INDIRECT("Q"&amp;($J752+4)),"")</f>
        <v/>
      </c>
      <c r="G752" s="298" t="str">
        <f aca="true">IF(ISNUMBER($J752),INDIRECT("R"&amp;($J752+4)),"")</f>
        <v/>
      </c>
      <c r="H752" s="298" t="str">
        <f aca="true">IF(ISNUMBER($J752),INDIRECT("S"&amp;($J752+4)),"")</f>
        <v/>
      </c>
      <c r="J752" s="292" t="str">
        <f aca="true">IF(748&lt;=$K$1,MATCH(747.5,INDIRECT("$K$4:$K$1374"),1),"")</f>
        <v/>
      </c>
      <c r="K752" s="292" t="n">
        <f aca="false">$K$644+COUNTIF($Q$645:Q752,"&gt;0")</f>
        <v>0</v>
      </c>
      <c r="L752" s="292" t="str">
        <f aca="false">"Аксессуары iPhone 18 Pro"</f>
        <v>Аксессуары iPhone 18 Pro</v>
      </c>
      <c r="M752" s="292" t="str">
        <f aca="false">IF(ISBLANK('Аксессуары iPhone 18 Pro'!$A$8),"",'Аксессуары iPhone 18 Pro'!$A$8)</f>
        <v>Ice series чехол для телефона iP18 Pro Max/iP17 Pro Max(BI4)</v>
      </c>
      <c r="N752" s="292" t="str">
        <f aca="false">IF(ISBLANK('Аксессуары iPhone 18 Pro'!$D$8),"",'Аксессуары iPhone 18 Pro'!$D$8)</f>
        <v>6941991125508</v>
      </c>
      <c r="O752" s="292" t="str">
        <f aca="false">IF(ISBLANK('Аксессуары iPhone 18 Pro'!$E$8),"",'Аксессуары iPhone 18 Pro'!$E$8)</f>
        <v>прозрачный</v>
      </c>
      <c r="P752" s="292" t="str">
        <f aca="false">"ед."</f>
        <v>ед.</v>
      </c>
      <c r="Q752" s="292" t="n">
        <f aca="false">N('Аксессуары iPhone 18 Pro'!$G$8)</f>
        <v>0</v>
      </c>
      <c r="R752" s="299" t="n">
        <f aca="false">IF(ISBLANK('Аксессуары iPhone 18 Pro'!$F$8),"",'Аксессуары iPhone 18 Pro'!$F$8)</f>
        <v>97.86</v>
      </c>
      <c r="S752" s="292" t="str">
        <f aca="false">IF(ISBLANK('Аксессуары iPhone 18 Pro'!$H$8),"",'Аксессуары iPhone 18 Pro'!$H$8)</f>
        <v/>
      </c>
    </row>
    <row r="753" customFormat="false" ht="66" hidden="false" customHeight="true" outlineLevel="0" collapsed="false">
      <c r="A753" s="291" t="str">
        <f aca="true">IF(ISNUMBER($J753),INDIRECT("L"&amp;($J753+4)),"")</f>
        <v/>
      </c>
      <c r="B753" s="291" t="str">
        <f aca="true">IF(ISNUMBER($J753),INDIRECT("M"&amp;($J753+4)),"")</f>
        <v/>
      </c>
      <c r="C753" s="296" t="str">
        <f aca="true">IF(ISNUMBER($J753),INDIRECT("N"&amp;($J753+4)),"")</f>
        <v/>
      </c>
      <c r="D753" s="291" t="str">
        <f aca="true">IF(ISNUMBER($J753),INDIRECT("O"&amp;($J753+4)),"")</f>
        <v/>
      </c>
      <c r="E753" s="291" t="str">
        <f aca="true">IF(ISNUMBER($J753),INDIRECT("P"&amp;($J753+4)),"")</f>
        <v/>
      </c>
      <c r="F753" s="300" t="str">
        <f aca="true">IF(ISNUMBER($J753),INDIRECT("Q"&amp;($J753+4)),"")</f>
        <v/>
      </c>
      <c r="G753" s="298" t="str">
        <f aca="true">IF(ISNUMBER($J753),INDIRECT("R"&amp;($J753+4)),"")</f>
        <v/>
      </c>
      <c r="H753" s="298" t="str">
        <f aca="true">IF(ISNUMBER($J753),INDIRECT("S"&amp;($J753+4)),"")</f>
        <v/>
      </c>
      <c r="J753" s="292" t="str">
        <f aca="true">IF(749&lt;=$K$1,MATCH(748.5,INDIRECT("$K$4:$K$1374"),1),"")</f>
        <v/>
      </c>
      <c r="K753" s="292" t="n">
        <f aca="false">$K$644+COUNTIF($Q$645:Q753,"&gt;0")</f>
        <v>0</v>
      </c>
      <c r="L753" s="292" t="str">
        <f aca="false">"Аксессуары iPhone 18 Pro"</f>
        <v>Аксессуары iPhone 18 Pro</v>
      </c>
      <c r="M753" s="292" t="str">
        <f aca="false">IF(ISBLANK('Аксессуары iPhone 18 Pro'!$A$11),"",'Аксессуары iPhone 18 Pro'!$A$11)</f>
        <v>3D Защитная пленка для объектива с металлической рамкой iP18 Pro/18 Pro Max(BF14)</v>
      </c>
      <c r="N753" s="292" t="str">
        <f aca="false">IF(ISBLANK('Аксессуары iPhone 18 Pro'!$D$11),"",'Аксессуары iPhone 18 Pro'!$D$11)</f>
        <v>6941991131585</v>
      </c>
      <c r="O753" s="292" t="str">
        <f aca="false">IF(ISBLANK('Аксессуары iPhone 18 Pro'!$E$11),"",'Аксессуары iPhone 18 Pro'!$E$11)</f>
        <v>мистический чёрный</v>
      </c>
      <c r="P753" s="292" t="str">
        <f aca="false">"ед."</f>
        <v>ед.</v>
      </c>
      <c r="Q753" s="292" t="n">
        <f aca="false">N('Аксессуары iPhone 18 Pro'!$G$11)</f>
        <v>0</v>
      </c>
      <c r="R753" s="299" t="n">
        <f aca="false">IF(ISBLANK('Аксессуары iPhone 18 Pro'!$F$11),"",'Аксессуары iPhone 18 Pro'!$F$11)</f>
        <v>91.33</v>
      </c>
      <c r="S753" s="292" t="str">
        <f aca="false">IF(ISBLANK('Аксессуары iPhone 18 Pro'!$H$11),"",'Аксессуары iPhone 18 Pro'!$H$11)</f>
        <v/>
      </c>
    </row>
    <row r="754" customFormat="false" ht="66" hidden="false" customHeight="true" outlineLevel="0" collapsed="false">
      <c r="A754" s="291" t="str">
        <f aca="true">IF(ISNUMBER($J754),INDIRECT("L"&amp;($J754+4)),"")</f>
        <v/>
      </c>
      <c r="B754" s="291" t="str">
        <f aca="true">IF(ISNUMBER($J754),INDIRECT("M"&amp;($J754+4)),"")</f>
        <v/>
      </c>
      <c r="C754" s="296" t="str">
        <f aca="true">IF(ISNUMBER($J754),INDIRECT("N"&amp;($J754+4)),"")</f>
        <v/>
      </c>
      <c r="D754" s="291" t="str">
        <f aca="true">IF(ISNUMBER($J754),INDIRECT("O"&amp;($J754+4)),"")</f>
        <v/>
      </c>
      <c r="E754" s="291" t="str">
        <f aca="true">IF(ISNUMBER($J754),INDIRECT("P"&amp;($J754+4)),"")</f>
        <v/>
      </c>
      <c r="F754" s="300" t="str">
        <f aca="true">IF(ISNUMBER($J754),INDIRECT("Q"&amp;($J754+4)),"")</f>
        <v/>
      </c>
      <c r="G754" s="298" t="str">
        <f aca="true">IF(ISNUMBER($J754),INDIRECT("R"&amp;($J754+4)),"")</f>
        <v/>
      </c>
      <c r="H754" s="298" t="str">
        <f aca="true">IF(ISNUMBER($J754),INDIRECT("S"&amp;($J754+4)),"")</f>
        <v/>
      </c>
      <c r="J754" s="292" t="str">
        <f aca="true">IF(750&lt;=$K$1,MATCH(749.5,INDIRECT("$K$4:$K$1374"),1),"")</f>
        <v/>
      </c>
      <c r="K754" s="292" t="n">
        <f aca="false">$K$644+COUNTIF($Q$645:Q754,"&gt;0")</f>
        <v>0</v>
      </c>
      <c r="L754" s="292" t="str">
        <f aca="false">"Аксессуары iPhone 18 Pro"</f>
        <v>Аксессуары iPhone 18 Pro</v>
      </c>
      <c r="M754" s="292" t="str">
        <f aca="false">IF(ISBLANK('Аксессуары iPhone 18 Pro'!$A$11),"",'Аксессуары iPhone 18 Pro'!$A$11)</f>
        <v>3D Защитная пленка для объектива с металлической рамкой iP18 Pro/18 Pro Max(BF14)</v>
      </c>
      <c r="N754" s="292" t="str">
        <f aca="false">IF(ISBLANK('Аксессуары iPhone 18 Pro'!$D$12),"",'Аксессуары iPhone 18 Pro'!$D$12)</f>
        <v>6941991131592</v>
      </c>
      <c r="O754" s="292" t="str">
        <f aca="false">IF(ISBLANK('Аксессуары iPhone 18 Pro'!$E$12),"",'Аксессуары iPhone 18 Pro'!$E$12)</f>
        <v>серебристый</v>
      </c>
      <c r="P754" s="292" t="str">
        <f aca="false">"ед."</f>
        <v>ед.</v>
      </c>
      <c r="Q754" s="292" t="n">
        <f aca="false">N('Аксессуары iPhone 18 Pro'!$G$12)</f>
        <v>0</v>
      </c>
      <c r="R754" s="299" t="n">
        <f aca="false">IF(ISBLANK('Аксессуары iPhone 18 Pro'!$F$12),"",'Аксессуары iPhone 18 Pro'!$F$12)</f>
        <v>91.33</v>
      </c>
      <c r="S754" s="292" t="str">
        <f aca="false">IF(ISBLANK('Аксессуары iPhone 18 Pro'!$H$12),"",'Аксессуары iPhone 18 Pro'!$H$12)</f>
        <v/>
      </c>
    </row>
    <row r="755" customFormat="false" ht="66" hidden="false" customHeight="true" outlineLevel="0" collapsed="false">
      <c r="A755" s="291" t="str">
        <f aca="true">IF(ISNUMBER($J755),INDIRECT("L"&amp;($J755+4)),"")</f>
        <v/>
      </c>
      <c r="B755" s="291" t="str">
        <f aca="true">IF(ISNUMBER($J755),INDIRECT("M"&amp;($J755+4)),"")</f>
        <v/>
      </c>
      <c r="C755" s="296" t="str">
        <f aca="true">IF(ISNUMBER($J755),INDIRECT("N"&amp;($J755+4)),"")</f>
        <v/>
      </c>
      <c r="D755" s="291" t="str">
        <f aca="true">IF(ISNUMBER($J755),INDIRECT("O"&amp;($J755+4)),"")</f>
        <v/>
      </c>
      <c r="E755" s="291" t="str">
        <f aca="true">IF(ISNUMBER($J755),INDIRECT("P"&amp;($J755+4)),"")</f>
        <v/>
      </c>
      <c r="F755" s="300" t="str">
        <f aca="true">IF(ISNUMBER($J755),INDIRECT("Q"&amp;($J755+4)),"")</f>
        <v/>
      </c>
      <c r="G755" s="298" t="str">
        <f aca="true">IF(ISNUMBER($J755),INDIRECT("R"&amp;($J755+4)),"")</f>
        <v/>
      </c>
      <c r="H755" s="298" t="str">
        <f aca="true">IF(ISNUMBER($J755),INDIRECT("S"&amp;($J755+4)),"")</f>
        <v/>
      </c>
      <c r="J755" s="292" t="str">
        <f aca="true">IF(751&lt;=$K$1,MATCH(750.5,INDIRECT("$K$4:$K$1374"),1),"")</f>
        <v/>
      </c>
      <c r="K755" s="292" t="n">
        <f aca="false">$K$644+COUNTIF($Q$645:Q755,"&gt;0")</f>
        <v>0</v>
      </c>
      <c r="L755" s="292" t="str">
        <f aca="false">"Аксессуары iPhone 18 Pro"</f>
        <v>Аксессуары iPhone 18 Pro</v>
      </c>
      <c r="M755" s="292" t="str">
        <f aca="false">IF(ISBLANK('Аксессуары iPhone 18 Pro'!$A$11),"",'Аксессуары iPhone 18 Pro'!$A$11)</f>
        <v>3D Защитная пленка для объектива с металлической рамкой iP18 Pro/18 Pro Max(BF14)</v>
      </c>
      <c r="N755" s="292" t="str">
        <f aca="false">IF(ISBLANK('Аксессуары iPhone 18 Pro'!$D$13),"",'Аксессуары iPhone 18 Pro'!$D$13)</f>
        <v>6941991131608</v>
      </c>
      <c r="O755" s="292" t="str">
        <f aca="false">IF(ISBLANK('Аксессуары iPhone 18 Pro'!$E$13),"",'Аксессуары iPhone 18 Pro'!$E$13)</f>
        <v>вишнево-красный</v>
      </c>
      <c r="P755" s="292" t="str">
        <f aca="false">"ед."</f>
        <v>ед.</v>
      </c>
      <c r="Q755" s="292" t="n">
        <f aca="false">N('Аксессуары iPhone 18 Pro'!$G$13)</f>
        <v>0</v>
      </c>
      <c r="R755" s="299" t="n">
        <f aca="false">IF(ISBLANK('Аксессуары iPhone 18 Pro'!$F$13),"",'Аксессуары iPhone 18 Pro'!$F$13)</f>
        <v>91.33</v>
      </c>
      <c r="S755" s="292" t="str">
        <f aca="false">IF(ISBLANK('Аксессуары iPhone 18 Pro'!$H$13),"",'Аксессуары iPhone 18 Pro'!$H$13)</f>
        <v/>
      </c>
    </row>
    <row r="756" customFormat="false" ht="66" hidden="false" customHeight="true" outlineLevel="0" collapsed="false">
      <c r="A756" s="291" t="str">
        <f aca="true">IF(ISNUMBER($J756),INDIRECT("L"&amp;($J756+4)),"")</f>
        <v/>
      </c>
      <c r="B756" s="291" t="str">
        <f aca="true">IF(ISNUMBER($J756),INDIRECT("M"&amp;($J756+4)),"")</f>
        <v/>
      </c>
      <c r="C756" s="296" t="str">
        <f aca="true">IF(ISNUMBER($J756),INDIRECT("N"&amp;($J756+4)),"")</f>
        <v/>
      </c>
      <c r="D756" s="291" t="str">
        <f aca="true">IF(ISNUMBER($J756),INDIRECT("O"&amp;($J756+4)),"")</f>
        <v/>
      </c>
      <c r="E756" s="291" t="str">
        <f aca="true">IF(ISNUMBER($J756),INDIRECT("P"&amp;($J756+4)),"")</f>
        <v/>
      </c>
      <c r="F756" s="300" t="str">
        <f aca="true">IF(ISNUMBER($J756),INDIRECT("Q"&amp;($J756+4)),"")</f>
        <v/>
      </c>
      <c r="G756" s="298" t="str">
        <f aca="true">IF(ISNUMBER($J756),INDIRECT("R"&amp;($J756+4)),"")</f>
        <v/>
      </c>
      <c r="H756" s="298" t="str">
        <f aca="true">IF(ISNUMBER($J756),INDIRECT("S"&amp;($J756+4)),"")</f>
        <v/>
      </c>
      <c r="J756" s="292" t="str">
        <f aca="true">IF(752&lt;=$K$1,MATCH(751.5,INDIRECT("$K$4:$K$1374"),1),"")</f>
        <v/>
      </c>
      <c r="K756" s="292" t="n">
        <f aca="false">$K$644+COUNTIF($Q$645:Q756,"&gt;0")</f>
        <v>0</v>
      </c>
      <c r="L756" s="292" t="str">
        <f aca="false">"Аксессуары iPhone 18 Pro"</f>
        <v>Аксессуары iPhone 18 Pro</v>
      </c>
      <c r="M756" s="292" t="str">
        <f aca="false">IF(ISBLANK('Аксессуары iPhone 18 Pro'!$A$11),"",'Аксессуары iPhone 18 Pro'!$A$11)</f>
        <v>3D Защитная пленка для объектива с металлической рамкой iP18 Pro/18 Pro Max(BF14)</v>
      </c>
      <c r="N756" s="292" t="str">
        <f aca="false">IF(ISBLANK('Аксессуары iPhone 18 Pro'!$D$14),"",'Аксессуары iPhone 18 Pro'!$D$14)</f>
        <v>6941991131615</v>
      </c>
      <c r="O756" s="292" t="str">
        <f aca="false">IF(ISBLANK('Аксессуары iPhone 18 Pro'!$E$14),"",'Аксессуары iPhone 18 Pro'!$E$14)</f>
        <v>светло-синий</v>
      </c>
      <c r="P756" s="292" t="str">
        <f aca="false">"ед."</f>
        <v>ед.</v>
      </c>
      <c r="Q756" s="292" t="n">
        <f aca="false">N('Аксессуары iPhone 18 Pro'!$G$14)</f>
        <v>0</v>
      </c>
      <c r="R756" s="299" t="n">
        <f aca="false">IF(ISBLANK('Аксессуары iPhone 18 Pro'!$F$14),"",'Аксессуары iPhone 18 Pro'!$F$14)</f>
        <v>91.33</v>
      </c>
      <c r="S756" s="292" t="str">
        <f aca="false">IF(ISBLANK('Аксессуары iPhone 18 Pro'!$H$14),"",'Аксессуары iPhone 18 Pro'!$H$14)</f>
        <v/>
      </c>
    </row>
    <row r="757" customFormat="false" ht="66" hidden="false" customHeight="true" outlineLevel="0" collapsed="false">
      <c r="A757" s="291" t="str">
        <f aca="true">IF(ISNUMBER($J757),INDIRECT("L"&amp;($J757+4)),"")</f>
        <v/>
      </c>
      <c r="B757" s="291" t="str">
        <f aca="true">IF(ISNUMBER($J757),INDIRECT("M"&amp;($J757+4)),"")</f>
        <v/>
      </c>
      <c r="C757" s="296" t="str">
        <f aca="true">IF(ISNUMBER($J757),INDIRECT("N"&amp;($J757+4)),"")</f>
        <v/>
      </c>
      <c r="D757" s="291" t="str">
        <f aca="true">IF(ISNUMBER($J757),INDIRECT("O"&amp;($J757+4)),"")</f>
        <v/>
      </c>
      <c r="E757" s="291" t="str">
        <f aca="true">IF(ISNUMBER($J757),INDIRECT("P"&amp;($J757+4)),"")</f>
        <v/>
      </c>
      <c r="F757" s="300" t="str">
        <f aca="true">IF(ISNUMBER($J757),INDIRECT("Q"&amp;($J757+4)),"")</f>
        <v/>
      </c>
      <c r="G757" s="298" t="str">
        <f aca="true">IF(ISNUMBER($J757),INDIRECT("R"&amp;($J757+4)),"")</f>
        <v/>
      </c>
      <c r="H757" s="298" t="str">
        <f aca="true">IF(ISNUMBER($J757),INDIRECT("S"&amp;($J757+4)),"")</f>
        <v/>
      </c>
      <c r="J757" s="292" t="str">
        <f aca="true">IF(753&lt;=$K$1,MATCH(752.5,INDIRECT("$K$4:$K$1374"),1),"")</f>
        <v/>
      </c>
      <c r="K757" s="292" t="n">
        <f aca="false">$K$644+COUNTIF($Q$645:Q757,"&gt;0")</f>
        <v>0</v>
      </c>
      <c r="L757" s="292" t="str">
        <f aca="false">"Аксессуары iPhone 18 Pro"</f>
        <v>Аксессуары iPhone 18 Pro</v>
      </c>
      <c r="M757" s="292" t="str">
        <f aca="false">IF(ISBLANK('Аксессуары iPhone 18 Pro'!$A$15),"",'Аксессуары iPhone 18 Pro'!$A$15)</f>
        <v>3D всё-в-одном защита объектива набор iP18 Pro(10PCS)(BF13)</v>
      </c>
      <c r="N757" s="292" t="str">
        <f aca="false">IF(ISBLANK('Аксессуары iPhone 18 Pro'!$D$15),"",'Аксессуары iPhone 18 Pro'!$D$15)</f>
        <v>6941991131561</v>
      </c>
      <c r="O757" s="292" t="str">
        <f aca="false">IF(ISBLANK('Аксессуары iPhone 18 Pro'!$E$15),"",'Аксессуары iPhone 18 Pro'!$E$15)</f>
        <v>transparent</v>
      </c>
      <c r="P757" s="292" t="str">
        <f aca="false">"ед."</f>
        <v>ед.</v>
      </c>
      <c r="Q757" s="292" t="n">
        <f aca="false">N('Аксессуары iPhone 18 Pro'!$G$15)</f>
        <v>0</v>
      </c>
      <c r="R757" s="299" t="n">
        <f aca="false">IF(ISBLANK('Аксессуары iPhone 18 Pro'!$F$15),"",'Аксессуары iPhone 18 Pro'!$F$15)</f>
        <v>342.5</v>
      </c>
      <c r="S757" s="292" t="str">
        <f aca="false">IF(ISBLANK('Аксессуары iPhone 18 Pro'!$H$15),"",'Аксессуары iPhone 18 Pro'!$H$15)</f>
        <v/>
      </c>
    </row>
    <row r="758" customFormat="false" ht="66" hidden="false" customHeight="true" outlineLevel="0" collapsed="false">
      <c r="A758" s="291" t="str">
        <f aca="true">IF(ISNUMBER($J758),INDIRECT("L"&amp;($J758+4)),"")</f>
        <v/>
      </c>
      <c r="B758" s="291" t="str">
        <f aca="true">IF(ISNUMBER($J758),INDIRECT("M"&amp;($J758+4)),"")</f>
        <v/>
      </c>
      <c r="C758" s="296" t="str">
        <f aca="true">IF(ISNUMBER($J758),INDIRECT("N"&amp;($J758+4)),"")</f>
        <v/>
      </c>
      <c r="D758" s="291" t="str">
        <f aca="true">IF(ISNUMBER($J758),INDIRECT("O"&amp;($J758+4)),"")</f>
        <v/>
      </c>
      <c r="E758" s="291" t="str">
        <f aca="true">IF(ISNUMBER($J758),INDIRECT("P"&amp;($J758+4)),"")</f>
        <v/>
      </c>
      <c r="F758" s="300" t="str">
        <f aca="true">IF(ISNUMBER($J758),INDIRECT("Q"&amp;($J758+4)),"")</f>
        <v/>
      </c>
      <c r="G758" s="298" t="str">
        <f aca="true">IF(ISNUMBER($J758),INDIRECT("R"&amp;($J758+4)),"")</f>
        <v/>
      </c>
      <c r="H758" s="298" t="str">
        <f aca="true">IF(ISNUMBER($J758),INDIRECT("S"&amp;($J758+4)),"")</f>
        <v/>
      </c>
      <c r="J758" s="292" t="str">
        <f aca="true">IF(754&lt;=$K$1,MATCH(753.5,INDIRECT("$K$4:$K$1374"),1),"")</f>
        <v/>
      </c>
      <c r="K758" s="292" t="n">
        <f aca="false">$K$644+COUNTIF($Q$645:Q758,"&gt;0")</f>
        <v>0</v>
      </c>
      <c r="L758" s="292" t="str">
        <f aca="false">"Аксессуары iPhone 18 Pro"</f>
        <v>Аксессуары iPhone 18 Pro</v>
      </c>
      <c r="M758" s="292" t="str">
        <f aca="false">IF(ISBLANK('Аксессуары iPhone 18 Pro'!$A$16),"",'Аксессуары iPhone 18 Pro'!$A$16)</f>
        <v>3D всё-в-одном защита объектива набор iP18 Pro Max(10PCS)(BF13)</v>
      </c>
      <c r="N758" s="292" t="str">
        <f aca="false">IF(ISBLANK('Аксессуары iPhone 18 Pro'!$D$16),"",'Аксессуары iPhone 18 Pro'!$D$16)</f>
        <v>6941991131578</v>
      </c>
      <c r="O758" s="292" t="str">
        <f aca="false">IF(ISBLANK('Аксессуары iPhone 18 Pro'!$E$16),"",'Аксессуары iPhone 18 Pro'!$E$16)</f>
        <v>transparent</v>
      </c>
      <c r="P758" s="292" t="str">
        <f aca="false">"ед."</f>
        <v>ед.</v>
      </c>
      <c r="Q758" s="292" t="n">
        <f aca="false">N('Аксессуары iPhone 18 Pro'!$G$16)</f>
        <v>0</v>
      </c>
      <c r="R758" s="299" t="n">
        <f aca="false">IF(ISBLANK('Аксессуары iPhone 18 Pro'!$F$16),"",'Аксессуары iPhone 18 Pro'!$F$16)</f>
        <v>342.5</v>
      </c>
      <c r="S758" s="292" t="str">
        <f aca="false">IF(ISBLANK('Аксессуары iPhone 18 Pro'!$H$16),"",'Аксессуары iPhone 18 Pro'!$H$16)</f>
        <v/>
      </c>
    </row>
    <row r="759" customFormat="false" ht="66" hidden="false" customHeight="true" outlineLevel="0" collapsed="false">
      <c r="A759" s="291" t="str">
        <f aca="true">IF(ISNUMBER($J759),INDIRECT("L"&amp;($J759+4)),"")</f>
        <v/>
      </c>
      <c r="B759" s="291" t="str">
        <f aca="true">IF(ISNUMBER($J759),INDIRECT("M"&amp;($J759+4)),"")</f>
        <v/>
      </c>
      <c r="C759" s="296" t="str">
        <f aca="true">IF(ISNUMBER($J759),INDIRECT("N"&amp;($J759+4)),"")</f>
        <v/>
      </c>
      <c r="D759" s="291" t="str">
        <f aca="true">IF(ISNUMBER($J759),INDIRECT("O"&amp;($J759+4)),"")</f>
        <v/>
      </c>
      <c r="E759" s="291" t="str">
        <f aca="true">IF(ISNUMBER($J759),INDIRECT("P"&amp;($J759+4)),"")</f>
        <v/>
      </c>
      <c r="F759" s="300" t="str">
        <f aca="true">IF(ISNUMBER($J759),INDIRECT("Q"&amp;($J759+4)),"")</f>
        <v/>
      </c>
      <c r="G759" s="298" t="str">
        <f aca="true">IF(ISNUMBER($J759),INDIRECT("R"&amp;($J759+4)),"")</f>
        <v/>
      </c>
      <c r="H759" s="298" t="str">
        <f aca="true">IF(ISNUMBER($J759),INDIRECT("S"&amp;($J759+4)),"")</f>
        <v/>
      </c>
      <c r="J759" s="292" t="str">
        <f aca="true">IF(755&lt;=$K$1,MATCH(754.5,INDIRECT("$K$4:$K$1374"),1),"")</f>
        <v/>
      </c>
      <c r="K759" s="292" t="n">
        <f aca="false">$K$644+COUNTIF($Q$645:Q759,"&gt;0")</f>
        <v>0</v>
      </c>
      <c r="L759" s="292" t="str">
        <f aca="false">"Аксессуары iPhone 18 Pro"</f>
        <v>Аксессуары iPhone 18 Pro</v>
      </c>
      <c r="M759" s="292" t="str">
        <f aca="false">IF(ISBLANK('Аксессуары iPhone 18 Pro'!$A$17),"",'Аксессуары iPhone 18 Pro'!$A$17)</f>
        <v>Armor Shield series полноэкранное закаленное стекло с защитой от подглядывания  iP18 Pro(BF12)</v>
      </c>
      <c r="N759" s="292" t="str">
        <f aca="false">IF(ISBLANK('Аксессуары iPhone 18 Pro'!$D$17),"",'Аксессуары iPhone 18 Pro'!$D$17)</f>
        <v>6941991131547</v>
      </c>
      <c r="O759" s="292" t="str">
        <f aca="false">IF(ISBLANK('Аксессуары iPhone 18 Pro'!$E$17),"",'Аксессуары iPhone 18 Pro'!$E$17)</f>
        <v>чёрный</v>
      </c>
      <c r="P759" s="292" t="str">
        <f aca="false">"ед."</f>
        <v>ед.</v>
      </c>
      <c r="Q759" s="292" t="n">
        <f aca="false">N('Аксессуары iPhone 18 Pro'!$G$17)</f>
        <v>0</v>
      </c>
      <c r="R759" s="299" t="n">
        <f aca="false">IF(ISBLANK('Аксессуары iPhone 18 Pro'!$F$17),"",'Аксессуары iPhone 18 Pro'!$F$17)</f>
        <v>138.63</v>
      </c>
      <c r="S759" s="292" t="str">
        <f aca="false">IF(ISBLANK('Аксессуары iPhone 18 Pro'!$H$17),"",'Аксессуары iPhone 18 Pro'!$H$17)</f>
        <v/>
      </c>
    </row>
    <row r="760" customFormat="false" ht="66" hidden="false" customHeight="true" outlineLevel="0" collapsed="false">
      <c r="A760" s="291" t="str">
        <f aca="true">IF(ISNUMBER($J760),INDIRECT("L"&amp;($J760+4)),"")</f>
        <v/>
      </c>
      <c r="B760" s="291" t="str">
        <f aca="true">IF(ISNUMBER($J760),INDIRECT("M"&amp;($J760+4)),"")</f>
        <v/>
      </c>
      <c r="C760" s="296" t="str">
        <f aca="true">IF(ISNUMBER($J760),INDIRECT("N"&amp;($J760+4)),"")</f>
        <v/>
      </c>
      <c r="D760" s="291" t="str">
        <f aca="true">IF(ISNUMBER($J760),INDIRECT("O"&amp;($J760+4)),"")</f>
        <v/>
      </c>
      <c r="E760" s="291" t="str">
        <f aca="true">IF(ISNUMBER($J760),INDIRECT("P"&amp;($J760+4)),"")</f>
        <v/>
      </c>
      <c r="F760" s="300" t="str">
        <f aca="true">IF(ISNUMBER($J760),INDIRECT("Q"&amp;($J760+4)),"")</f>
        <v/>
      </c>
      <c r="G760" s="298" t="str">
        <f aca="true">IF(ISNUMBER($J760),INDIRECT("R"&amp;($J760+4)),"")</f>
        <v/>
      </c>
      <c r="H760" s="298" t="str">
        <f aca="true">IF(ISNUMBER($J760),INDIRECT("S"&amp;($J760+4)),"")</f>
        <v/>
      </c>
      <c r="J760" s="292" t="str">
        <f aca="true">IF(756&lt;=$K$1,MATCH(755.5,INDIRECT("$K$4:$K$1374"),1),"")</f>
        <v/>
      </c>
      <c r="K760" s="292" t="n">
        <f aca="false">$K$644+COUNTIF($Q$645:Q760,"&gt;0")</f>
        <v>0</v>
      </c>
      <c r="L760" s="292" t="str">
        <f aca="false">"Аксессуары iPhone 18 Pro"</f>
        <v>Аксессуары iPhone 18 Pro</v>
      </c>
      <c r="M760" s="292" t="str">
        <f aca="false">IF(ISBLANK('Аксессуары iPhone 18 Pro'!$A$18),"",'Аксессуары iPhone 18 Pro'!$A$18)</f>
        <v>Armor Shield series полноэкранное закаленное стекло с защитой от подглядывания  iP18 Pro Max(BF12)</v>
      </c>
      <c r="N760" s="292" t="str">
        <f aca="false">IF(ISBLANK('Аксессуары iPhone 18 Pro'!$D$18),"",'Аксессуары iPhone 18 Pro'!$D$18)</f>
        <v>6941991131554</v>
      </c>
      <c r="O760" s="292" t="str">
        <f aca="false">IF(ISBLANK('Аксессуары iPhone 18 Pro'!$E$18),"",'Аксессуары iPhone 18 Pro'!$E$18)</f>
        <v>чёрный</v>
      </c>
      <c r="P760" s="292" t="str">
        <f aca="false">"ед."</f>
        <v>ед.</v>
      </c>
      <c r="Q760" s="292" t="n">
        <f aca="false">N('Аксессуары iPhone 18 Pro'!$G$18)</f>
        <v>0</v>
      </c>
      <c r="R760" s="299" t="n">
        <f aca="false">IF(ISBLANK('Аксессуары iPhone 18 Pro'!$F$18),"",'Аксессуары iPhone 18 Pro'!$F$18)</f>
        <v>138.63</v>
      </c>
      <c r="S760" s="292" t="str">
        <f aca="false">IF(ISBLANK('Аксессуары iPhone 18 Pro'!$H$18),"",'Аксессуары iPhone 18 Pro'!$H$18)</f>
        <v/>
      </c>
    </row>
    <row r="761" customFormat="false" ht="66" hidden="false" customHeight="true" outlineLevel="0" collapsed="false">
      <c r="A761" s="291" t="str">
        <f aca="true">IF(ISNUMBER($J761),INDIRECT("L"&amp;($J761+4)),"")</f>
        <v/>
      </c>
      <c r="B761" s="291" t="str">
        <f aca="true">IF(ISNUMBER($J761),INDIRECT("M"&amp;($J761+4)),"")</f>
        <v/>
      </c>
      <c r="C761" s="296" t="str">
        <f aca="true">IF(ISNUMBER($J761),INDIRECT("N"&amp;($J761+4)),"")</f>
        <v/>
      </c>
      <c r="D761" s="291" t="str">
        <f aca="true">IF(ISNUMBER($J761),INDIRECT("O"&amp;($J761+4)),"")</f>
        <v/>
      </c>
      <c r="E761" s="291" t="str">
        <f aca="true">IF(ISNUMBER($J761),INDIRECT("P"&amp;($J761+4)),"")</f>
        <v/>
      </c>
      <c r="F761" s="300" t="str">
        <f aca="true">IF(ISNUMBER($J761),INDIRECT("Q"&amp;($J761+4)),"")</f>
        <v/>
      </c>
      <c r="G761" s="298" t="str">
        <f aca="true">IF(ISNUMBER($J761),INDIRECT("R"&amp;($J761+4)),"")</f>
        <v/>
      </c>
      <c r="H761" s="298" t="str">
        <f aca="true">IF(ISNUMBER($J761),INDIRECT("S"&amp;($J761+4)),"")</f>
        <v/>
      </c>
      <c r="J761" s="292" t="str">
        <f aca="true">IF(757&lt;=$K$1,MATCH(756.5,INDIRECT("$K$4:$K$1374"),1),"")</f>
        <v/>
      </c>
      <c r="K761" s="292" t="n">
        <f aca="false">$K$644+COUNTIF($Q$645:Q761,"&gt;0")</f>
        <v>0</v>
      </c>
      <c r="L761" s="292" t="str">
        <f aca="false">"Аксессуары iPhone 18 Pro"</f>
        <v>Аксессуары iPhone 18 Pro</v>
      </c>
      <c r="M761" s="292" t="str">
        <f aca="false">IF(ISBLANK('Аксессуары iPhone 18 Pro'!$A$19),"",'Аксессуары iPhone 18 Pro'!$A$19)</f>
        <v>Armor Shield series полноэкранное HD закаленное стекло iP18 Pro/17 Pro(BF11)</v>
      </c>
      <c r="N761" s="292" t="str">
        <f aca="false">IF(ISBLANK('Аксессуары iPhone 18 Pro'!$D$19),"",'Аксессуары iPhone 18 Pro'!$D$19)</f>
        <v>6941991131424</v>
      </c>
      <c r="O761" s="292" t="str">
        <f aca="false">IF(ISBLANK('Аксессуары iPhone 18 Pro'!$E$19),"",'Аксессуары iPhone 18 Pro'!$E$19)</f>
        <v>чёрный</v>
      </c>
      <c r="P761" s="292" t="str">
        <f aca="false">"ед."</f>
        <v>ед.</v>
      </c>
      <c r="Q761" s="292" t="n">
        <f aca="false">N('Аксессуары iPhone 18 Pro'!$G$19)</f>
        <v>0</v>
      </c>
      <c r="R761" s="299" t="n">
        <f aca="false">IF(ISBLANK('Аксессуары iPhone 18 Pro'!$F$19),"",'Аксессуары iPhone 18 Pro'!$F$19)</f>
        <v>114.17</v>
      </c>
      <c r="S761" s="292" t="str">
        <f aca="false">IF(ISBLANK('Аксессуары iPhone 18 Pro'!$H$19),"",'Аксессуары iPhone 18 Pro'!$H$19)</f>
        <v/>
      </c>
    </row>
    <row r="762" customFormat="false" ht="66" hidden="false" customHeight="true" outlineLevel="0" collapsed="false">
      <c r="A762" s="291" t="str">
        <f aca="true">IF(ISNUMBER($J762),INDIRECT("L"&amp;($J762+4)),"")</f>
        <v/>
      </c>
      <c r="B762" s="291" t="str">
        <f aca="true">IF(ISNUMBER($J762),INDIRECT("M"&amp;($J762+4)),"")</f>
        <v/>
      </c>
      <c r="C762" s="296" t="str">
        <f aca="true">IF(ISNUMBER($J762),INDIRECT("N"&amp;($J762+4)),"")</f>
        <v/>
      </c>
      <c r="D762" s="291" t="str">
        <f aca="true">IF(ISNUMBER($J762),INDIRECT("O"&amp;($J762+4)),"")</f>
        <v/>
      </c>
      <c r="E762" s="291" t="str">
        <f aca="true">IF(ISNUMBER($J762),INDIRECT("P"&amp;($J762+4)),"")</f>
        <v/>
      </c>
      <c r="F762" s="300" t="str">
        <f aca="true">IF(ISNUMBER($J762),INDIRECT("Q"&amp;($J762+4)),"")</f>
        <v/>
      </c>
      <c r="G762" s="298" t="str">
        <f aca="true">IF(ISNUMBER($J762),INDIRECT("R"&amp;($J762+4)),"")</f>
        <v/>
      </c>
      <c r="H762" s="298" t="str">
        <f aca="true">IF(ISNUMBER($J762),INDIRECT("S"&amp;($J762+4)),"")</f>
        <v/>
      </c>
      <c r="J762" s="292" t="str">
        <f aca="true">IF(758&lt;=$K$1,MATCH(757.5,INDIRECT("$K$4:$K$1374"),1),"")</f>
        <v/>
      </c>
      <c r="K762" s="292" t="n">
        <f aca="false">$K$644+COUNTIF($Q$645:Q762,"&gt;0")</f>
        <v>0</v>
      </c>
      <c r="L762" s="292" t="str">
        <f aca="false">"Аксессуары iPhone 18 Pro"</f>
        <v>Аксессуары iPhone 18 Pro</v>
      </c>
      <c r="M762" s="292" t="str">
        <f aca="false">IF(ISBLANK('Аксессуары iPhone 18 Pro'!$A$20),"",'Аксессуары iPhone 18 Pro'!$A$20)</f>
        <v>Armor Shield series полноэкранное HD закаленное стекло iP18 Pro Max/17 Pro Max(BF11)</v>
      </c>
      <c r="N762" s="292" t="str">
        <f aca="false">IF(ISBLANK('Аксессуары iPhone 18 Pro'!$D$20),"",'Аксессуары iPhone 18 Pro'!$D$20)</f>
        <v>6941991131431</v>
      </c>
      <c r="O762" s="292" t="str">
        <f aca="false">IF(ISBLANK('Аксессуары iPhone 18 Pro'!$E$20),"",'Аксессуары iPhone 18 Pro'!$E$20)</f>
        <v>чёрный</v>
      </c>
      <c r="P762" s="292" t="str">
        <f aca="false">"ед."</f>
        <v>ед.</v>
      </c>
      <c r="Q762" s="292" t="n">
        <f aca="false">N('Аксессуары iPhone 18 Pro'!$G$20)</f>
        <v>0</v>
      </c>
      <c r="R762" s="299" t="n">
        <f aca="false">IF(ISBLANK('Аксессуары iPhone 18 Pro'!$F$20),"",'Аксессуары iPhone 18 Pro'!$F$20)</f>
        <v>114.17</v>
      </c>
      <c r="S762" s="292" t="str">
        <f aca="false">IF(ISBLANK('Аксессуары iPhone 18 Pro'!$H$20),"",'Аксессуары iPhone 18 Pro'!$H$20)</f>
        <v/>
      </c>
    </row>
    <row r="763" customFormat="false" ht="66" hidden="false" customHeight="true" outlineLevel="0" collapsed="false">
      <c r="A763" s="291" t="str">
        <f aca="true">IF(ISNUMBER($J763),INDIRECT("L"&amp;($J763+4)),"")</f>
        <v/>
      </c>
      <c r="B763" s="291" t="str">
        <f aca="true">IF(ISNUMBER($J763),INDIRECT("M"&amp;($J763+4)),"")</f>
        <v/>
      </c>
      <c r="C763" s="296" t="str">
        <f aca="true">IF(ISNUMBER($J763),INDIRECT("N"&amp;($J763+4)),"")</f>
        <v/>
      </c>
      <c r="D763" s="291" t="str">
        <f aca="true">IF(ISNUMBER($J763),INDIRECT("O"&amp;($J763+4)),"")</f>
        <v/>
      </c>
      <c r="E763" s="291" t="str">
        <f aca="true">IF(ISNUMBER($J763),INDIRECT("P"&amp;($J763+4)),"")</f>
        <v/>
      </c>
      <c r="F763" s="300" t="str">
        <f aca="true">IF(ISNUMBER($J763),INDIRECT("Q"&amp;($J763+4)),"")</f>
        <v/>
      </c>
      <c r="G763" s="298" t="str">
        <f aca="true">IF(ISNUMBER($J763),INDIRECT("R"&amp;($J763+4)),"")</f>
        <v/>
      </c>
      <c r="H763" s="298" t="str">
        <f aca="true">IF(ISNUMBER($J763),INDIRECT("S"&amp;($J763+4)),"")</f>
        <v/>
      </c>
      <c r="J763" s="292" t="str">
        <f aca="true">IF(759&lt;=$K$1,MATCH(758.5,INDIRECT("$K$4:$K$1374"),1),"")</f>
        <v/>
      </c>
      <c r="K763" s="292" t="n">
        <f aca="false">$K$644+COUNTIF($Q$645:Q763,"&gt;0")</f>
        <v>0</v>
      </c>
      <c r="L763" s="292" t="str">
        <f aca="false">"Аксессуары iPhone 18 Pro"</f>
        <v>Аксессуары iPhone 18 Pro</v>
      </c>
      <c r="M763" s="292" t="str">
        <f aca="false">IF(ISBLANK('Аксессуары iPhone 18 Pro'!$A$21),"",'Аксессуары iPhone 18 Pro'!$A$21)</f>
        <v>Armor полноэкранное закаленное стекло с защитой от подглядывания   iP18 Pro(10PCS)(BF10)</v>
      </c>
      <c r="N763" s="292" t="str">
        <f aca="false">IF(ISBLANK('Аксессуары iPhone 18 Pro'!$D$21),"",'Аксессуары iPhone 18 Pro'!$D$21)</f>
        <v>6941991131325</v>
      </c>
      <c r="O763" s="292" t="str">
        <f aca="false">IF(ISBLANK('Аксессуары iPhone 18 Pro'!$E$21),"",'Аксессуары iPhone 18 Pro'!$E$21)</f>
        <v>чёрный</v>
      </c>
      <c r="P763" s="292" t="str">
        <f aca="false">"ед."</f>
        <v>ед.</v>
      </c>
      <c r="Q763" s="292" t="n">
        <f aca="false">N('Аксессуары iPhone 18 Pro'!$G$21)</f>
        <v>0</v>
      </c>
      <c r="R763" s="299" t="n">
        <f aca="false">IF(ISBLANK('Аксессуары iPhone 18 Pro'!$F$21),"",'Аксессуары iPhone 18 Pro'!$F$21)</f>
        <v>570.83</v>
      </c>
      <c r="S763" s="292" t="str">
        <f aca="false">IF(ISBLANK('Аксессуары iPhone 18 Pro'!$H$21),"",'Аксессуары iPhone 18 Pro'!$H$21)</f>
        <v/>
      </c>
    </row>
    <row r="764" customFormat="false" ht="66" hidden="false" customHeight="true" outlineLevel="0" collapsed="false">
      <c r="A764" s="291" t="str">
        <f aca="true">IF(ISNUMBER($J764),INDIRECT("L"&amp;($J764+4)),"")</f>
        <v/>
      </c>
      <c r="B764" s="291" t="str">
        <f aca="true">IF(ISNUMBER($J764),INDIRECT("M"&amp;($J764+4)),"")</f>
        <v/>
      </c>
      <c r="C764" s="296" t="str">
        <f aca="true">IF(ISNUMBER($J764),INDIRECT("N"&amp;($J764+4)),"")</f>
        <v/>
      </c>
      <c r="D764" s="291" t="str">
        <f aca="true">IF(ISNUMBER($J764),INDIRECT("O"&amp;($J764+4)),"")</f>
        <v/>
      </c>
      <c r="E764" s="291" t="str">
        <f aca="true">IF(ISNUMBER($J764),INDIRECT("P"&amp;($J764+4)),"")</f>
        <v/>
      </c>
      <c r="F764" s="300" t="str">
        <f aca="true">IF(ISNUMBER($J764),INDIRECT("Q"&amp;($J764+4)),"")</f>
        <v/>
      </c>
      <c r="G764" s="298" t="str">
        <f aca="true">IF(ISNUMBER($J764),INDIRECT("R"&amp;($J764+4)),"")</f>
        <v/>
      </c>
      <c r="H764" s="298" t="str">
        <f aca="true">IF(ISNUMBER($J764),INDIRECT("S"&amp;($J764+4)),"")</f>
        <v/>
      </c>
      <c r="J764" s="292" t="str">
        <f aca="true">IF(760&lt;=$K$1,MATCH(759.5,INDIRECT("$K$4:$K$1374"),1),"")</f>
        <v/>
      </c>
      <c r="K764" s="292" t="n">
        <f aca="false">$K$644+COUNTIF($Q$645:Q764,"&gt;0")</f>
        <v>0</v>
      </c>
      <c r="L764" s="292" t="str">
        <f aca="false">"Аксессуары iPhone 18 Pro"</f>
        <v>Аксессуары iPhone 18 Pro</v>
      </c>
      <c r="M764" s="292" t="str">
        <f aca="false">IF(ISBLANK('Аксессуары iPhone 18 Pro'!$A$22),"",'Аксессуары iPhone 18 Pro'!$A$22)</f>
        <v>Armor полноэкранное закаленное стекло с защитой от подглядывания   iP18 Pro Max(10PCS)(BF10)</v>
      </c>
      <c r="N764" s="292" t="str">
        <f aca="false">IF(ISBLANK('Аксессуары iPhone 18 Pro'!$D$22),"",'Аксессуары iPhone 18 Pro'!$D$22)</f>
        <v>6941991131332</v>
      </c>
      <c r="O764" s="292" t="str">
        <f aca="false">IF(ISBLANK('Аксессуары iPhone 18 Pro'!$E$22),"",'Аксессуары iPhone 18 Pro'!$E$22)</f>
        <v>чёрный</v>
      </c>
      <c r="P764" s="292" t="str">
        <f aca="false">"ед."</f>
        <v>ед.</v>
      </c>
      <c r="Q764" s="292" t="n">
        <f aca="false">N('Аксессуары iPhone 18 Pro'!$G$22)</f>
        <v>0</v>
      </c>
      <c r="R764" s="299" t="n">
        <f aca="false">IF(ISBLANK('Аксессуары iPhone 18 Pro'!$F$22),"",'Аксессуары iPhone 18 Pro'!$F$22)</f>
        <v>570.83</v>
      </c>
      <c r="S764" s="292" t="str">
        <f aca="false">IF(ISBLANK('Аксессуары iPhone 18 Pro'!$H$22),"",'Аксессуары iPhone 18 Pro'!$H$22)</f>
        <v/>
      </c>
    </row>
    <row r="765" customFormat="false" ht="66" hidden="false" customHeight="true" outlineLevel="0" collapsed="false">
      <c r="A765" s="291" t="str">
        <f aca="true">IF(ISNUMBER($J765),INDIRECT("L"&amp;($J765+4)),"")</f>
        <v/>
      </c>
      <c r="B765" s="291" t="str">
        <f aca="true">IF(ISNUMBER($J765),INDIRECT("M"&amp;($J765+4)),"")</f>
        <v/>
      </c>
      <c r="C765" s="296" t="str">
        <f aca="true">IF(ISNUMBER($J765),INDIRECT("N"&amp;($J765+4)),"")</f>
        <v/>
      </c>
      <c r="D765" s="291" t="str">
        <f aca="true">IF(ISNUMBER($J765),INDIRECT("O"&amp;($J765+4)),"")</f>
        <v/>
      </c>
      <c r="E765" s="291" t="str">
        <f aca="true">IF(ISNUMBER($J765),INDIRECT("P"&amp;($J765+4)),"")</f>
        <v/>
      </c>
      <c r="F765" s="300" t="str">
        <f aca="true">IF(ISNUMBER($J765),INDIRECT("Q"&amp;($J765+4)),"")</f>
        <v/>
      </c>
      <c r="G765" s="298" t="str">
        <f aca="true">IF(ISNUMBER($J765),INDIRECT("R"&amp;($J765+4)),"")</f>
        <v/>
      </c>
      <c r="H765" s="298" t="str">
        <f aca="true">IF(ISNUMBER($J765),INDIRECT("S"&amp;($J765+4)),"")</f>
        <v/>
      </c>
      <c r="J765" s="292" t="str">
        <f aca="true">IF(761&lt;=$K$1,MATCH(760.5,INDIRECT("$K$4:$K$1374"),1),"")</f>
        <v/>
      </c>
      <c r="K765" s="292" t="n">
        <f aca="false">$K$644+COUNTIF($Q$645:Q765,"&gt;0")</f>
        <v>0</v>
      </c>
      <c r="L765" s="292" t="str">
        <f aca="false">"Аксессуары iPhone 18 Pro"</f>
        <v>Аксессуары iPhone 18 Pro</v>
      </c>
      <c r="M765" s="292" t="str">
        <f aca="false">IF(ISBLANK('Аксессуары iPhone 18 Pro'!$A$23),"",'Аксессуары iPhone 18 Pro'!$A$23)</f>
        <v>Armor полноэкранное HD закаленное стекло набор iP18 Pro/17 Pro(10PCS)(BF9)</v>
      </c>
      <c r="N765" s="292" t="str">
        <f aca="false">IF(ISBLANK('Аксессуары iPhone 18 Pro'!$D$23),"",'Аксессуары iPhone 18 Pro'!$D$23)</f>
        <v>6941991131202</v>
      </c>
      <c r="O765" s="292" t="str">
        <f aca="false">IF(ISBLANK('Аксессуары iPhone 18 Pro'!$E$23),"",'Аксессуары iPhone 18 Pro'!$E$23)</f>
        <v>чёрный</v>
      </c>
      <c r="P765" s="292" t="str">
        <f aca="false">"ед."</f>
        <v>ед.</v>
      </c>
      <c r="Q765" s="292" t="n">
        <f aca="false">N('Аксессуары iPhone 18 Pro'!$G$23)</f>
        <v>0</v>
      </c>
      <c r="R765" s="299" t="n">
        <f aca="false">IF(ISBLANK('Аксессуары iPhone 18 Pro'!$F$23),"",'Аксессуары iPhone 18 Pro'!$F$23)</f>
        <v>358.81</v>
      </c>
      <c r="S765" s="292" t="str">
        <f aca="false">IF(ISBLANK('Аксессуары iPhone 18 Pro'!$H$23),"",'Аксессуары iPhone 18 Pro'!$H$23)</f>
        <v/>
      </c>
    </row>
    <row r="766" customFormat="false" ht="66" hidden="false" customHeight="true" outlineLevel="0" collapsed="false">
      <c r="A766" s="291" t="str">
        <f aca="true">IF(ISNUMBER($J766),INDIRECT("L"&amp;($J766+4)),"")</f>
        <v/>
      </c>
      <c r="B766" s="291" t="str">
        <f aca="true">IF(ISNUMBER($J766),INDIRECT("M"&amp;($J766+4)),"")</f>
        <v/>
      </c>
      <c r="C766" s="296" t="str">
        <f aca="true">IF(ISNUMBER($J766),INDIRECT("N"&amp;($J766+4)),"")</f>
        <v/>
      </c>
      <c r="D766" s="291" t="str">
        <f aca="true">IF(ISNUMBER($J766),INDIRECT("O"&amp;($J766+4)),"")</f>
        <v/>
      </c>
      <c r="E766" s="291" t="str">
        <f aca="true">IF(ISNUMBER($J766),INDIRECT("P"&amp;($J766+4)),"")</f>
        <v/>
      </c>
      <c r="F766" s="300" t="str">
        <f aca="true">IF(ISNUMBER($J766),INDIRECT("Q"&amp;($J766+4)),"")</f>
        <v/>
      </c>
      <c r="G766" s="298" t="str">
        <f aca="true">IF(ISNUMBER($J766),INDIRECT("R"&amp;($J766+4)),"")</f>
        <v/>
      </c>
      <c r="H766" s="298" t="str">
        <f aca="true">IF(ISNUMBER($J766),INDIRECT("S"&amp;($J766+4)),"")</f>
        <v/>
      </c>
      <c r="J766" s="292" t="str">
        <f aca="true">IF(762&lt;=$K$1,MATCH(761.5,INDIRECT("$K$4:$K$1374"),1),"")</f>
        <v/>
      </c>
      <c r="K766" s="292" t="n">
        <f aca="false">$K$644+COUNTIF($Q$645:Q766,"&gt;0")</f>
        <v>0</v>
      </c>
      <c r="L766" s="292" t="str">
        <f aca="false">"Аксессуары iPhone 18 Pro"</f>
        <v>Аксессуары iPhone 18 Pro</v>
      </c>
      <c r="M766" s="292" t="str">
        <f aca="false">IF(ISBLANK('Аксессуары iPhone 18 Pro'!$A$24),"",'Аксессуары iPhone 18 Pro'!$A$24)</f>
        <v>Armor полноэкранное HD закаленное стекло набор iP18 Pro Max/17 Pro Max(10PCS)(BF9)</v>
      </c>
      <c r="N766" s="292" t="str">
        <f aca="false">IF(ISBLANK('Аксессуары iPhone 18 Pro'!$D$24),"",'Аксессуары iPhone 18 Pro'!$D$24)</f>
        <v>6941991131219</v>
      </c>
      <c r="O766" s="292" t="str">
        <f aca="false">IF(ISBLANK('Аксессуары iPhone 18 Pro'!$E$24),"",'Аксессуары iPhone 18 Pro'!$E$24)</f>
        <v>чёрный</v>
      </c>
      <c r="P766" s="292" t="str">
        <f aca="false">"ед."</f>
        <v>ед.</v>
      </c>
      <c r="Q766" s="292" t="n">
        <f aca="false">N('Аксессуары iPhone 18 Pro'!$G$24)</f>
        <v>0</v>
      </c>
      <c r="R766" s="299" t="n">
        <f aca="false">IF(ISBLANK('Аксессуары iPhone 18 Pro'!$F$24),"",'Аксессуары iPhone 18 Pro'!$F$24)</f>
        <v>358.81</v>
      </c>
      <c r="S766" s="292" t="str">
        <f aca="false">IF(ISBLANK('Аксессуары iPhone 18 Pro'!$H$24),"",'Аксессуары iPhone 18 Pro'!$H$24)</f>
        <v/>
      </c>
    </row>
    <row r="767" customFormat="false" ht="66" hidden="false" customHeight="true" outlineLevel="0" collapsed="false">
      <c r="A767" s="291" t="str">
        <f aca="true">IF(ISNUMBER($J767),INDIRECT("L"&amp;($J767+4)),"")</f>
        <v/>
      </c>
      <c r="B767" s="291" t="str">
        <f aca="true">IF(ISNUMBER($J767),INDIRECT("M"&amp;($J767+4)),"")</f>
        <v/>
      </c>
      <c r="C767" s="296" t="str">
        <f aca="true">IF(ISNUMBER($J767),INDIRECT("N"&amp;($J767+4)),"")</f>
        <v/>
      </c>
      <c r="D767" s="291" t="str">
        <f aca="true">IF(ISNUMBER($J767),INDIRECT("O"&amp;($J767+4)),"")</f>
        <v/>
      </c>
      <c r="E767" s="291" t="str">
        <f aca="true">IF(ISNUMBER($J767),INDIRECT("P"&amp;($J767+4)),"")</f>
        <v/>
      </c>
      <c r="F767" s="300" t="str">
        <f aca="true">IF(ISNUMBER($J767),INDIRECT("Q"&amp;($J767+4)),"")</f>
        <v/>
      </c>
      <c r="G767" s="298" t="str">
        <f aca="true">IF(ISNUMBER($J767),INDIRECT("R"&amp;($J767+4)),"")</f>
        <v/>
      </c>
      <c r="H767" s="298" t="str">
        <f aca="true">IF(ISNUMBER($J767),INDIRECT("S"&amp;($J767+4)),"")</f>
        <v/>
      </c>
      <c r="J767" s="292" t="str">
        <f aca="true">IF(763&lt;=$K$1,MATCH(762.5,INDIRECT("$K$4:$K$1374"),1),"")</f>
        <v/>
      </c>
      <c r="K767" s="292" t="n">
        <f aca="false">$K$644+COUNTIF($Q$645:Q767,"&gt;0")</f>
        <v>0</v>
      </c>
      <c r="L767" s="292" t="str">
        <f aca="false">"Аксессуары iPhone 18 Pro"</f>
        <v>Аксессуары iPhone 18 Pro</v>
      </c>
      <c r="M767" s="292" t="str">
        <f aca="false">IF(ISBLANK('Аксессуары iPhone 18 Pro'!$A$25),"",'Аксессуары iPhone 18 Pro'!$A$25)</f>
        <v>Diamond armor полноэкранное 5D закаленное стекло наборiP18 Pro/iP17 Pro  (10шт)(BF8)</v>
      </c>
      <c r="N767" s="292" t="str">
        <f aca="false">IF(ISBLANK('Аксессуары iPhone 18 Pro'!$D$25),"",'Аксессуары iPhone 18 Pro'!$D$25)</f>
        <v>6941991125225</v>
      </c>
      <c r="O767" s="292" t="str">
        <f aca="false">IF(ISBLANK('Аксессуары iPhone 18 Pro'!$E$25),"",'Аксессуары iPhone 18 Pro'!$E$25)</f>
        <v>чёрный</v>
      </c>
      <c r="P767" s="292" t="str">
        <f aca="false">"ед."</f>
        <v>ед.</v>
      </c>
      <c r="Q767" s="292" t="n">
        <f aca="false">N('Аксессуары iPhone 18 Pro'!$G$25)</f>
        <v>0</v>
      </c>
      <c r="R767" s="299" t="n">
        <f aca="false">IF(ISBLANK('Аксессуары iPhone 18 Pro'!$F$25),"",'Аксессуары iPhone 18 Pro'!$F$25)</f>
        <v>538.21</v>
      </c>
      <c r="S767" s="292" t="str">
        <f aca="false">IF(ISBLANK('Аксессуары iPhone 18 Pro'!$H$25),"",'Аксессуары iPhone 18 Pro'!$H$25)</f>
        <v/>
      </c>
    </row>
    <row r="768" customFormat="false" ht="66" hidden="false" customHeight="true" outlineLevel="0" collapsed="false">
      <c r="A768" s="291" t="str">
        <f aca="true">IF(ISNUMBER($J768),INDIRECT("L"&amp;($J768+4)),"")</f>
        <v/>
      </c>
      <c r="B768" s="291" t="str">
        <f aca="true">IF(ISNUMBER($J768),INDIRECT("M"&amp;($J768+4)),"")</f>
        <v/>
      </c>
      <c r="C768" s="296" t="str">
        <f aca="true">IF(ISNUMBER($J768),INDIRECT("N"&amp;($J768+4)),"")</f>
        <v/>
      </c>
      <c r="D768" s="291" t="str">
        <f aca="true">IF(ISNUMBER($J768),INDIRECT("O"&amp;($J768+4)),"")</f>
        <v/>
      </c>
      <c r="E768" s="291" t="str">
        <f aca="true">IF(ISNUMBER($J768),INDIRECT("P"&amp;($J768+4)),"")</f>
        <v/>
      </c>
      <c r="F768" s="300" t="str">
        <f aca="true">IF(ISNUMBER($J768),INDIRECT("Q"&amp;($J768+4)),"")</f>
        <v/>
      </c>
      <c r="G768" s="298" t="str">
        <f aca="true">IF(ISNUMBER($J768),INDIRECT("R"&amp;($J768+4)),"")</f>
        <v/>
      </c>
      <c r="H768" s="298" t="str">
        <f aca="true">IF(ISNUMBER($J768),INDIRECT("S"&amp;($J768+4)),"")</f>
        <v/>
      </c>
      <c r="J768" s="292" t="str">
        <f aca="true">IF(764&lt;=$K$1,MATCH(763.5,INDIRECT("$K$4:$K$1374"),1),"")</f>
        <v/>
      </c>
      <c r="K768" s="292" t="n">
        <f aca="false">$K$644+COUNTIF($Q$645:Q768,"&gt;0")</f>
        <v>0</v>
      </c>
      <c r="L768" s="292" t="str">
        <f aca="false">"Аксессуары iPhone 18 Pro"</f>
        <v>Аксессуары iPhone 18 Pro</v>
      </c>
      <c r="M768" s="292" t="str">
        <f aca="false">IF(ISBLANK('Аксессуары iPhone 18 Pro'!$A$26),"",'Аксессуары iPhone 18 Pro'!$A$26)</f>
        <v>Diamond armor полноэкранное 5D закаленное стекло набор iP18 Pro Max/17 Pro Max (10шт)(BF8)</v>
      </c>
      <c r="N768" s="292" t="str">
        <f aca="false">IF(ISBLANK('Аксессуары iPhone 18 Pro'!$D$26),"",'Аксессуары iPhone 18 Pro'!$D$26)</f>
        <v>6941991125232</v>
      </c>
      <c r="O768" s="292" t="str">
        <f aca="false">IF(ISBLANK('Аксессуары iPhone 18 Pro'!$E$26),"",'Аксессуары iPhone 18 Pro'!$E$26)</f>
        <v>чёрный</v>
      </c>
      <c r="P768" s="292" t="str">
        <f aca="false">"ед."</f>
        <v>ед.</v>
      </c>
      <c r="Q768" s="292" t="n">
        <f aca="false">N('Аксессуары iPhone 18 Pro'!$G$26)</f>
        <v>0</v>
      </c>
      <c r="R768" s="299" t="n">
        <f aca="false">IF(ISBLANK('Аксессуары iPhone 18 Pro'!$F$26),"",'Аксессуары iPhone 18 Pro'!$F$26)</f>
        <v>538.21</v>
      </c>
      <c r="S768" s="292" t="str">
        <f aca="false">IF(ISBLANK('Аксессуары iPhone 18 Pro'!$H$26),"",'Аксессуары iPhone 18 Pro'!$H$26)</f>
        <v/>
      </c>
    </row>
    <row r="769" customFormat="false" ht="66" hidden="false" customHeight="true" outlineLevel="0" collapsed="false">
      <c r="A769" s="291" t="str">
        <f aca="true">IF(ISNUMBER($J769),INDIRECT("L"&amp;($J769+4)),"")</f>
        <v/>
      </c>
      <c r="B769" s="291" t="str">
        <f aca="true">IF(ISNUMBER($J769),INDIRECT("M"&amp;($J769+4)),"")</f>
        <v/>
      </c>
      <c r="C769" s="296" t="str">
        <f aca="true">IF(ISNUMBER($J769),INDIRECT("N"&amp;($J769+4)),"")</f>
        <v/>
      </c>
      <c r="D769" s="291" t="str">
        <f aca="true">IF(ISNUMBER($J769),INDIRECT("O"&amp;($J769+4)),"")</f>
        <v/>
      </c>
      <c r="E769" s="291" t="str">
        <f aca="true">IF(ISNUMBER($J769),INDIRECT("P"&amp;($J769+4)),"")</f>
        <v/>
      </c>
      <c r="F769" s="300" t="str">
        <f aca="true">IF(ISNUMBER($J769),INDIRECT("Q"&amp;($J769+4)),"")</f>
        <v/>
      </c>
      <c r="G769" s="298" t="str">
        <f aca="true">IF(ISNUMBER($J769),INDIRECT("R"&amp;($J769+4)),"")</f>
        <v/>
      </c>
      <c r="H769" s="298" t="str">
        <f aca="true">IF(ISNUMBER($J769),INDIRECT("S"&amp;($J769+4)),"")</f>
        <v/>
      </c>
      <c r="J769" s="292" t="str">
        <f aca="true">IF(765&lt;=$K$1,MATCH(764.5,INDIRECT("$K$4:$K$1374"),1),"")</f>
        <v/>
      </c>
      <c r="K769" s="292" t="n">
        <f aca="false">$K$644+COUNTIF($Q$645:Q769,"&gt;0")</f>
        <v>0</v>
      </c>
      <c r="L769" s="292" t="str">
        <f aca="false">"Аксессуары iPhone 18 Pro"</f>
        <v>Аксессуары iPhone 18 Pro</v>
      </c>
      <c r="M769" s="292" t="str">
        <f aca="false">IF(ISBLANK('Аксессуары iPhone 18 Pro'!$A$27),"",'Аксессуары iPhone 18 Pro'!$A$27)</f>
        <v>Diamond armor полноэкранное закаленное стекло с защитой от подглядывания   для iP18 Pro(10PCS)(BF7)</v>
      </c>
      <c r="N769" s="292" t="str">
        <f aca="false">IF(ISBLANK('Аксессуары iPhone 18 Pro'!$D$27),"",'Аксессуары iPhone 18 Pro'!$D$27)</f>
        <v>6941991131103</v>
      </c>
      <c r="O769" s="292" t="str">
        <f aca="false">IF(ISBLANK('Аксессуары iPhone 18 Pro'!$E$27),"",'Аксессуары iPhone 18 Pro'!$E$27)</f>
        <v>чёрный</v>
      </c>
      <c r="P769" s="292" t="str">
        <f aca="false">"ед."</f>
        <v>ед.</v>
      </c>
      <c r="Q769" s="292" t="n">
        <f aca="false">N('Аксессуары iPhone 18 Pro'!$G$27)</f>
        <v>0</v>
      </c>
      <c r="R769" s="299" t="n">
        <f aca="false">IF(ISBLANK('Аксессуары iPhone 18 Pro'!$F$27),"",'Аксессуары iPhone 18 Pro'!$F$27)</f>
        <v>652.38</v>
      </c>
      <c r="S769" s="292" t="str">
        <f aca="false">IF(ISBLANK('Аксессуары iPhone 18 Pro'!$H$27),"",'Аксессуары iPhone 18 Pro'!$H$27)</f>
        <v/>
      </c>
    </row>
    <row r="770" customFormat="false" ht="66" hidden="false" customHeight="true" outlineLevel="0" collapsed="false">
      <c r="A770" s="291" t="str">
        <f aca="true">IF(ISNUMBER($J770),INDIRECT("L"&amp;($J770+4)),"")</f>
        <v/>
      </c>
      <c r="B770" s="291" t="str">
        <f aca="true">IF(ISNUMBER($J770),INDIRECT("M"&amp;($J770+4)),"")</f>
        <v/>
      </c>
      <c r="C770" s="296" t="str">
        <f aca="true">IF(ISNUMBER($J770),INDIRECT("N"&amp;($J770+4)),"")</f>
        <v/>
      </c>
      <c r="D770" s="291" t="str">
        <f aca="true">IF(ISNUMBER($J770),INDIRECT("O"&amp;($J770+4)),"")</f>
        <v/>
      </c>
      <c r="E770" s="291" t="str">
        <f aca="true">IF(ISNUMBER($J770),INDIRECT("P"&amp;($J770+4)),"")</f>
        <v/>
      </c>
      <c r="F770" s="300" t="str">
        <f aca="true">IF(ISNUMBER($J770),INDIRECT("Q"&amp;($J770+4)),"")</f>
        <v/>
      </c>
      <c r="G770" s="298" t="str">
        <f aca="true">IF(ISNUMBER($J770),INDIRECT("R"&amp;($J770+4)),"")</f>
        <v/>
      </c>
      <c r="H770" s="298" t="str">
        <f aca="true">IF(ISNUMBER($J770),INDIRECT("S"&amp;($J770+4)),"")</f>
        <v/>
      </c>
      <c r="J770" s="292" t="str">
        <f aca="true">IF(766&lt;=$K$1,MATCH(765.5,INDIRECT("$K$4:$K$1374"),1),"")</f>
        <v/>
      </c>
      <c r="K770" s="292" t="n">
        <f aca="false">$K$644+COUNTIF($Q$645:Q770,"&gt;0")</f>
        <v>0</v>
      </c>
      <c r="L770" s="292" t="str">
        <f aca="false">"Аксессуары iPhone 18 Pro"</f>
        <v>Аксессуары iPhone 18 Pro</v>
      </c>
      <c r="M770" s="292" t="str">
        <f aca="false">IF(ISBLANK('Аксессуары iPhone 18 Pro'!$A$28),"",'Аксессуары iPhone 18 Pro'!$A$28)</f>
        <v>Diamond armor полноэкранное закаленное стекло с защитой от подглядывания   для iP18 Pro Max(10PCS)(BF7)</v>
      </c>
      <c r="N770" s="292" t="str">
        <f aca="false">IF(ISBLANK('Аксессуары iPhone 18 Pro'!$D$28),"",'Аксессуары iPhone 18 Pro'!$D$28)</f>
        <v>6941991131110</v>
      </c>
      <c r="O770" s="292" t="str">
        <f aca="false">IF(ISBLANK('Аксессуары iPhone 18 Pro'!$E$28),"",'Аксессуары iPhone 18 Pro'!$E$28)</f>
        <v>чёрный</v>
      </c>
      <c r="P770" s="292" t="str">
        <f aca="false">"ед."</f>
        <v>ед.</v>
      </c>
      <c r="Q770" s="292" t="n">
        <f aca="false">N('Аксессуары iPhone 18 Pro'!$G$28)</f>
        <v>0</v>
      </c>
      <c r="R770" s="299" t="n">
        <f aca="false">IF(ISBLANK('Аксессуары iPhone 18 Pro'!$F$28),"",'Аксессуары iPhone 18 Pro'!$F$28)</f>
        <v>652.38</v>
      </c>
      <c r="S770" s="292" t="str">
        <f aca="false">IF(ISBLANK('Аксессуары iPhone 18 Pro'!$H$28),"",'Аксессуары iPhone 18 Pro'!$H$28)</f>
        <v/>
      </c>
    </row>
    <row r="771" customFormat="false" ht="66" hidden="false" customHeight="true" outlineLevel="0" collapsed="false">
      <c r="A771" s="291" t="str">
        <f aca="true">IF(ISNUMBER($J771),INDIRECT("L"&amp;($J771+4)),"")</f>
        <v/>
      </c>
      <c r="B771" s="291" t="str">
        <f aca="true">IF(ISNUMBER($J771),INDIRECT("M"&amp;($J771+4)),"")</f>
        <v/>
      </c>
      <c r="C771" s="296" t="str">
        <f aca="true">IF(ISNUMBER($J771),INDIRECT("N"&amp;($J771+4)),"")</f>
        <v/>
      </c>
      <c r="D771" s="291" t="str">
        <f aca="true">IF(ISNUMBER($J771),INDIRECT("O"&amp;($J771+4)),"")</f>
        <v/>
      </c>
      <c r="E771" s="291" t="str">
        <f aca="true">IF(ISNUMBER($J771),INDIRECT("P"&amp;($J771+4)),"")</f>
        <v/>
      </c>
      <c r="F771" s="300" t="str">
        <f aca="true">IF(ISNUMBER($J771),INDIRECT("Q"&amp;($J771+4)),"")</f>
        <v/>
      </c>
      <c r="G771" s="298" t="str">
        <f aca="true">IF(ISNUMBER($J771),INDIRECT("R"&amp;($J771+4)),"")</f>
        <v/>
      </c>
      <c r="H771" s="298" t="str">
        <f aca="true">IF(ISNUMBER($J771),INDIRECT("S"&amp;($J771+4)),"")</f>
        <v/>
      </c>
      <c r="J771" s="292" t="str">
        <f aca="true">IF(767&lt;=$K$1,MATCH(766.5,INDIRECT("$K$4:$K$1374"),1),"")</f>
        <v/>
      </c>
      <c r="K771" s="292" t="n">
        <f aca="false">$K$644+COUNTIF($Q$645:Q771,"&gt;0")</f>
        <v>0</v>
      </c>
      <c r="L771" s="292" t="str">
        <f aca="false">"Аксессуары iPhone 18 Pro"</f>
        <v>Аксессуары iPhone 18 Pro</v>
      </c>
      <c r="M771" s="292" t="str">
        <f aca="false">IF(ISBLANK('Аксессуары iPhone 18 Pro'!$A$29),"",'Аксессуары iPhone 18 Pro'!$A$29)</f>
        <v>Diamond armorполноэкранное HD закаленное стекло набор iP18 Pro/iP17 Pro (10шт)(BF6)</v>
      </c>
      <c r="N771" s="292" t="str">
        <f aca="false">IF(ISBLANK('Аксессуары iPhone 18 Pro'!$D$29),"",'Аксессуары iPhone 18 Pro'!$D$29)</f>
        <v>6941991125256</v>
      </c>
      <c r="O771" s="292" t="str">
        <f aca="false">IF(ISBLANK('Аксессуары iPhone 18 Pro'!$E$29),"",'Аксессуары iPhone 18 Pro'!$E$29)</f>
        <v>чёрный</v>
      </c>
      <c r="P771" s="292" t="str">
        <f aca="false">"ед."</f>
        <v>ед.</v>
      </c>
      <c r="Q771" s="292" t="n">
        <f aca="false">N('Аксессуары iPhone 18 Pro'!$G$29)</f>
        <v>0</v>
      </c>
      <c r="R771" s="299" t="n">
        <f aca="false">IF(ISBLANK('Аксессуары iPhone 18 Pro'!$F$29),"",'Аксессуары iPhone 18 Pro'!$F$29)</f>
        <v>652.38</v>
      </c>
      <c r="S771" s="292" t="str">
        <f aca="false">IF(ISBLANK('Аксессуары iPhone 18 Pro'!$H$29),"",'Аксессуары iPhone 18 Pro'!$H$29)</f>
        <v/>
      </c>
    </row>
    <row r="772" customFormat="false" ht="66" hidden="false" customHeight="true" outlineLevel="0" collapsed="false">
      <c r="A772" s="291" t="str">
        <f aca="true">IF(ISNUMBER($J772),INDIRECT("L"&amp;($J772+4)),"")</f>
        <v/>
      </c>
      <c r="B772" s="291" t="str">
        <f aca="true">IF(ISNUMBER($J772),INDIRECT("M"&amp;($J772+4)),"")</f>
        <v/>
      </c>
      <c r="C772" s="296" t="str">
        <f aca="true">IF(ISNUMBER($J772),INDIRECT("N"&amp;($J772+4)),"")</f>
        <v/>
      </c>
      <c r="D772" s="291" t="str">
        <f aca="true">IF(ISNUMBER($J772),INDIRECT("O"&amp;($J772+4)),"")</f>
        <v/>
      </c>
      <c r="E772" s="291" t="str">
        <f aca="true">IF(ISNUMBER($J772),INDIRECT("P"&amp;($J772+4)),"")</f>
        <v/>
      </c>
      <c r="F772" s="300" t="str">
        <f aca="true">IF(ISNUMBER($J772),INDIRECT("Q"&amp;($J772+4)),"")</f>
        <v/>
      </c>
      <c r="G772" s="298" t="str">
        <f aca="true">IF(ISNUMBER($J772),INDIRECT("R"&amp;($J772+4)),"")</f>
        <v/>
      </c>
      <c r="H772" s="298" t="str">
        <f aca="true">IF(ISNUMBER($J772),INDIRECT("S"&amp;($J772+4)),"")</f>
        <v/>
      </c>
      <c r="J772" s="292" t="str">
        <f aca="true">IF(768&lt;=$K$1,MATCH(767.5,INDIRECT("$K$4:$K$1374"),1),"")</f>
        <v/>
      </c>
      <c r="K772" s="292" t="n">
        <f aca="false">$K$644+COUNTIF($Q$645:Q772,"&gt;0")</f>
        <v>0</v>
      </c>
      <c r="L772" s="292" t="str">
        <f aca="false">"Аксессуары iPhone 18 Pro"</f>
        <v>Аксессуары iPhone 18 Pro</v>
      </c>
      <c r="M772" s="292" t="str">
        <f aca="false">IF(ISBLANK('Аксессуары iPhone 18 Pro'!$A$30),"",'Аксессуары iPhone 18 Pro'!$A$30)</f>
        <v>Diamond armorполноэкранное HD закаленное стекло набор iP18 Pro Max/17 Pro Max (10шт)(BF6)</v>
      </c>
      <c r="N772" s="292" t="str">
        <f aca="false">IF(ISBLANK('Аксессуары iPhone 18 Pro'!$D$30),"",'Аксессуары iPhone 18 Pro'!$D$30)</f>
        <v>6941991125263</v>
      </c>
      <c r="O772" s="292" t="str">
        <f aca="false">IF(ISBLANK('Аксессуары iPhone 18 Pro'!$E$30),"",'Аксессуары iPhone 18 Pro'!$E$30)</f>
        <v>чёрный</v>
      </c>
      <c r="P772" s="292" t="str">
        <f aca="false">"ед."</f>
        <v>ед.</v>
      </c>
      <c r="Q772" s="292" t="n">
        <f aca="false">N('Аксессуары iPhone 18 Pro'!$G$30)</f>
        <v>0</v>
      </c>
      <c r="R772" s="299" t="n">
        <f aca="false">IF(ISBLANK('Аксессуары iPhone 18 Pro'!$F$30),"",'Аксессуары iPhone 18 Pro'!$F$30)</f>
        <v>652.38</v>
      </c>
      <c r="S772" s="292" t="str">
        <f aca="false">IF(ISBLANK('Аксессуары iPhone 18 Pro'!$H$30),"",'Аксессуары iPhone 18 Pro'!$H$30)</f>
        <v/>
      </c>
    </row>
    <row r="773" customFormat="false" ht="66" hidden="false" customHeight="true" outlineLevel="0" collapsed="false">
      <c r="A773" s="291" t="str">
        <f aca="true">IF(ISNUMBER($J773),INDIRECT("L"&amp;($J773+4)),"")</f>
        <v/>
      </c>
      <c r="B773" s="291" t="str">
        <f aca="true">IF(ISNUMBER($J773),INDIRECT("M"&amp;($J773+4)),"")</f>
        <v/>
      </c>
      <c r="C773" s="296" t="str">
        <f aca="true">IF(ISNUMBER($J773),INDIRECT("N"&amp;($J773+4)),"")</f>
        <v/>
      </c>
      <c r="D773" s="291" t="str">
        <f aca="true">IF(ISNUMBER($J773),INDIRECT("O"&amp;($J773+4)),"")</f>
        <v/>
      </c>
      <c r="E773" s="291" t="str">
        <f aca="true">IF(ISNUMBER($J773),INDIRECT("P"&amp;($J773+4)),"")</f>
        <v/>
      </c>
      <c r="F773" s="300" t="str">
        <f aca="true">IF(ISNUMBER($J773),INDIRECT("Q"&amp;($J773+4)),"")</f>
        <v/>
      </c>
      <c r="G773" s="298" t="str">
        <f aca="true">IF(ISNUMBER($J773),INDIRECT("R"&amp;($J773+4)),"")</f>
        <v/>
      </c>
      <c r="H773" s="298" t="str">
        <f aca="true">IF(ISNUMBER($J773),INDIRECT("S"&amp;($J773+4)),"")</f>
        <v/>
      </c>
      <c r="J773" s="292" t="str">
        <f aca="true">IF(769&lt;=$K$1,MATCH(768.5,INDIRECT("$K$4:$K$1374"),1),"")</f>
        <v/>
      </c>
      <c r="K773" s="292" t="n">
        <f aca="false">$K$772+COUNTIF($Q$773:Q773,"&gt;0")</f>
        <v>0</v>
      </c>
      <c r="L773" s="292" t="str">
        <f aca="false">"Защитные стёкла"</f>
        <v>Защитные стёкла</v>
      </c>
      <c r="M773" s="292" t="str">
        <f aca="false">IF(ISBLANK('Защитные стёкла'!$A$5),"",'Защитные стёкла'!$A$5)</f>
        <v>Armor Shield series полноэкранное закаленное стекло с защитой от подглядывания  iP17e/16e/14/13/13 Pro(BF12)</v>
      </c>
      <c r="N773" s="292" t="str">
        <f aca="false">IF(ISBLANK('Защитные стёкла'!$D$5),"",'Защитные стёкла'!$D$5)</f>
        <v>6941991131448</v>
      </c>
      <c r="O773" s="292" t="str">
        <f aca="false">IF(ISBLANK('Защитные стёкла'!$E$5),"",'Защитные стёкла'!$E$5)</f>
        <v>чёрный</v>
      </c>
      <c r="P773" s="292" t="str">
        <f aca="false">"ед."</f>
        <v>ед.</v>
      </c>
      <c r="Q773" s="292" t="n">
        <f aca="false">N('Защитные стёкла'!$G$5)</f>
        <v>0</v>
      </c>
      <c r="R773" s="299" t="n">
        <f aca="false">IF(ISBLANK('Защитные стёкла'!$F$5),"",'Защитные стёкла'!$F$5)</f>
        <v>138.63</v>
      </c>
      <c r="S773" s="292" t="str">
        <f aca="false">IF(ISBLANK('Защитные стёкла'!$H$5),"",'Защитные стёкла'!$H$5)</f>
        <v/>
      </c>
    </row>
    <row r="774" customFormat="false" ht="66" hidden="false" customHeight="true" outlineLevel="0" collapsed="false">
      <c r="A774" s="291" t="str">
        <f aca="true">IF(ISNUMBER($J774),INDIRECT("L"&amp;($J774+4)),"")</f>
        <v/>
      </c>
      <c r="B774" s="291" t="str">
        <f aca="true">IF(ISNUMBER($J774),INDIRECT("M"&amp;($J774+4)),"")</f>
        <v/>
      </c>
      <c r="C774" s="296" t="str">
        <f aca="true">IF(ISNUMBER($J774),INDIRECT("N"&amp;($J774+4)),"")</f>
        <v/>
      </c>
      <c r="D774" s="291" t="str">
        <f aca="true">IF(ISNUMBER($J774),INDIRECT("O"&amp;($J774+4)),"")</f>
        <v/>
      </c>
      <c r="E774" s="291" t="str">
        <f aca="true">IF(ISNUMBER($J774),INDIRECT("P"&amp;($J774+4)),"")</f>
        <v/>
      </c>
      <c r="F774" s="300" t="str">
        <f aca="true">IF(ISNUMBER($J774),INDIRECT("Q"&amp;($J774+4)),"")</f>
        <v/>
      </c>
      <c r="G774" s="298" t="str">
        <f aca="true">IF(ISNUMBER($J774),INDIRECT("R"&amp;($J774+4)),"")</f>
        <v/>
      </c>
      <c r="H774" s="298" t="str">
        <f aca="true">IF(ISNUMBER($J774),INDIRECT("S"&amp;($J774+4)),"")</f>
        <v/>
      </c>
      <c r="J774" s="292" t="str">
        <f aca="true">IF(770&lt;=$K$1,MATCH(769.5,INDIRECT("$K$4:$K$1374"),1),"")</f>
        <v/>
      </c>
      <c r="K774" s="292" t="n">
        <f aca="false">$K$772+COUNTIF($Q$773:Q774,"&gt;0")</f>
        <v>0</v>
      </c>
      <c r="L774" s="292" t="str">
        <f aca="false">"Защитные стёкла"</f>
        <v>Защитные стёкла</v>
      </c>
      <c r="M774" s="292" t="str">
        <f aca="false">IF(ISBLANK('Защитные стёкла'!$A$6),"",'Защитные стёкла'!$A$6)</f>
        <v>Armor Shield series полноэкранное закаленное стекло с защитой от подглядывания  iP17/16 Pro(BF12)</v>
      </c>
      <c r="N774" s="292" t="str">
        <f aca="false">IF(ISBLANK('Защитные стёкла'!$D$6),"",'Защитные стёкла'!$D$6)</f>
        <v>6941991131493</v>
      </c>
      <c r="O774" s="292" t="str">
        <f aca="false">IF(ISBLANK('Защитные стёкла'!$E$6),"",'Защитные стёкла'!$E$6)</f>
        <v>чёрный</v>
      </c>
      <c r="P774" s="292" t="str">
        <f aca="false">"ед."</f>
        <v>ед.</v>
      </c>
      <c r="Q774" s="292" t="n">
        <f aca="false">N('Защитные стёкла'!$G$6)</f>
        <v>0</v>
      </c>
      <c r="R774" s="299" t="n">
        <f aca="false">IF(ISBLANK('Защитные стёкла'!$F$6),"",'Защитные стёкла'!$F$6)</f>
        <v>138.63</v>
      </c>
      <c r="S774" s="292" t="str">
        <f aca="false">IF(ISBLANK('Защитные стёкла'!$H$6),"",'Защитные стёкла'!$H$6)</f>
        <v/>
      </c>
    </row>
    <row r="775" customFormat="false" ht="66" hidden="false" customHeight="true" outlineLevel="0" collapsed="false">
      <c r="A775" s="291" t="str">
        <f aca="true">IF(ISNUMBER($J775),INDIRECT("L"&amp;($J775+4)),"")</f>
        <v/>
      </c>
      <c r="B775" s="291" t="str">
        <f aca="true">IF(ISNUMBER($J775),INDIRECT("M"&amp;($J775+4)),"")</f>
        <v/>
      </c>
      <c r="C775" s="296" t="str">
        <f aca="true">IF(ISNUMBER($J775),INDIRECT("N"&amp;($J775+4)),"")</f>
        <v/>
      </c>
      <c r="D775" s="291" t="str">
        <f aca="true">IF(ISNUMBER($J775),INDIRECT("O"&amp;($J775+4)),"")</f>
        <v/>
      </c>
      <c r="E775" s="291" t="str">
        <f aca="true">IF(ISNUMBER($J775),INDIRECT("P"&amp;($J775+4)),"")</f>
        <v/>
      </c>
      <c r="F775" s="300" t="str">
        <f aca="true">IF(ISNUMBER($J775),INDIRECT("Q"&amp;($J775+4)),"")</f>
        <v/>
      </c>
      <c r="G775" s="298" t="str">
        <f aca="true">IF(ISNUMBER($J775),INDIRECT("R"&amp;($J775+4)),"")</f>
        <v/>
      </c>
      <c r="H775" s="298" t="str">
        <f aca="true">IF(ISNUMBER($J775),INDIRECT("S"&amp;($J775+4)),"")</f>
        <v/>
      </c>
      <c r="J775" s="292" t="str">
        <f aca="true">IF(771&lt;=$K$1,MATCH(770.5,INDIRECT("$K$4:$K$1374"),1),"")</f>
        <v/>
      </c>
      <c r="K775" s="292" t="n">
        <f aca="false">$K$772+COUNTIF($Q$773:Q775,"&gt;0")</f>
        <v>0</v>
      </c>
      <c r="L775" s="292" t="str">
        <f aca="false">"Защитные стёкла"</f>
        <v>Защитные стёкла</v>
      </c>
      <c r="M775" s="292" t="str">
        <f aca="false">IF(ISBLANK('Защитные стёкла'!$A$7),"",'Защитные стёкла'!$A$7)</f>
        <v>Armor Shield series полноэкранное закаленное стекло с защитой от подглядывания  iP17 Air(BF12)</v>
      </c>
      <c r="N775" s="292" t="str">
        <f aca="false">IF(ISBLANK('Защитные стёкла'!$D$7),"",'Защитные стёкла'!$D$7)</f>
        <v>6941991131516</v>
      </c>
      <c r="O775" s="292" t="str">
        <f aca="false">IF(ISBLANK('Защитные стёкла'!$E$7),"",'Защитные стёкла'!$E$7)</f>
        <v>чёрный</v>
      </c>
      <c r="P775" s="292" t="str">
        <f aca="false">"ед."</f>
        <v>ед.</v>
      </c>
      <c r="Q775" s="292" t="n">
        <f aca="false">N('Защитные стёкла'!$G$7)</f>
        <v>0</v>
      </c>
      <c r="R775" s="299" t="n">
        <f aca="false">IF(ISBLANK('Защитные стёкла'!$F$7),"",'Защитные стёкла'!$F$7)</f>
        <v>138.63</v>
      </c>
      <c r="S775" s="292" t="str">
        <f aca="false">IF(ISBLANK('Защитные стёкла'!$H$7),"",'Защитные стёкла'!$H$7)</f>
        <v/>
      </c>
    </row>
    <row r="776" customFormat="false" ht="66" hidden="false" customHeight="true" outlineLevel="0" collapsed="false">
      <c r="A776" s="291" t="str">
        <f aca="true">IF(ISNUMBER($J776),INDIRECT("L"&amp;($J776+4)),"")</f>
        <v/>
      </c>
      <c r="B776" s="291" t="str">
        <f aca="true">IF(ISNUMBER($J776),INDIRECT("M"&amp;($J776+4)),"")</f>
        <v/>
      </c>
      <c r="C776" s="296" t="str">
        <f aca="true">IF(ISNUMBER($J776),INDIRECT("N"&amp;($J776+4)),"")</f>
        <v/>
      </c>
      <c r="D776" s="291" t="str">
        <f aca="true">IF(ISNUMBER($J776),INDIRECT("O"&amp;($J776+4)),"")</f>
        <v/>
      </c>
      <c r="E776" s="291" t="str">
        <f aca="true">IF(ISNUMBER($J776),INDIRECT("P"&amp;($J776+4)),"")</f>
        <v/>
      </c>
      <c r="F776" s="300" t="str">
        <f aca="true">IF(ISNUMBER($J776),INDIRECT("Q"&amp;($J776+4)),"")</f>
        <v/>
      </c>
      <c r="G776" s="298" t="str">
        <f aca="true">IF(ISNUMBER($J776),INDIRECT("R"&amp;($J776+4)),"")</f>
        <v/>
      </c>
      <c r="H776" s="298" t="str">
        <f aca="true">IF(ISNUMBER($J776),INDIRECT("S"&amp;($J776+4)),"")</f>
        <v/>
      </c>
      <c r="J776" s="292" t="str">
        <f aca="true">IF(772&lt;=$K$1,MATCH(771.5,INDIRECT("$K$4:$K$1374"),1),"")</f>
        <v/>
      </c>
      <c r="K776" s="292" t="n">
        <f aca="false">$K$772+COUNTIF($Q$773:Q776,"&gt;0")</f>
        <v>0</v>
      </c>
      <c r="L776" s="292" t="str">
        <f aca="false">"Защитные стёкла"</f>
        <v>Защитные стёкла</v>
      </c>
      <c r="M776" s="292" t="str">
        <f aca="false">IF(ISBLANK('Защитные стёкла'!$A$8),"",'Защитные стёкла'!$A$8)</f>
        <v>Armor Shield series полноэкранное закаленное стекло с защитой от подглядывания  iP17 Pro(BF12)</v>
      </c>
      <c r="N776" s="292" t="str">
        <f aca="false">IF(ISBLANK('Защитные стёкла'!$D$8),"",'Защитные стёкла'!$D$8)</f>
        <v>6941991131523</v>
      </c>
      <c r="O776" s="292" t="str">
        <f aca="false">IF(ISBLANK('Защитные стёкла'!$E$8),"",'Защитные стёкла'!$E$8)</f>
        <v>чёрный</v>
      </c>
      <c r="P776" s="292" t="str">
        <f aca="false">"ед."</f>
        <v>ед.</v>
      </c>
      <c r="Q776" s="292" t="n">
        <f aca="false">N('Защитные стёкла'!$G$8)</f>
        <v>0</v>
      </c>
      <c r="R776" s="299" t="n">
        <f aca="false">IF(ISBLANK('Защитные стёкла'!$F$8),"",'Защитные стёкла'!$F$8)</f>
        <v>138.63</v>
      </c>
      <c r="S776" s="292" t="str">
        <f aca="false">IF(ISBLANK('Защитные стёкла'!$H$8),"",'Защитные стёкла'!$H$8)</f>
        <v/>
      </c>
    </row>
    <row r="777" customFormat="false" ht="66" hidden="false" customHeight="true" outlineLevel="0" collapsed="false">
      <c r="A777" s="291" t="str">
        <f aca="true">IF(ISNUMBER($J777),INDIRECT("L"&amp;($J777+4)),"")</f>
        <v/>
      </c>
      <c r="B777" s="291" t="str">
        <f aca="true">IF(ISNUMBER($J777),INDIRECT("M"&amp;($J777+4)),"")</f>
        <v/>
      </c>
      <c r="C777" s="296" t="str">
        <f aca="true">IF(ISNUMBER($J777),INDIRECT("N"&amp;($J777+4)),"")</f>
        <v/>
      </c>
      <c r="D777" s="291" t="str">
        <f aca="true">IF(ISNUMBER($J777),INDIRECT("O"&amp;($J777+4)),"")</f>
        <v/>
      </c>
      <c r="E777" s="291" t="str">
        <f aca="true">IF(ISNUMBER($J777),INDIRECT("P"&amp;($J777+4)),"")</f>
        <v/>
      </c>
      <c r="F777" s="300" t="str">
        <f aca="true">IF(ISNUMBER($J777),INDIRECT("Q"&amp;($J777+4)),"")</f>
        <v/>
      </c>
      <c r="G777" s="298" t="str">
        <f aca="true">IF(ISNUMBER($J777),INDIRECT("R"&amp;($J777+4)),"")</f>
        <v/>
      </c>
      <c r="H777" s="298" t="str">
        <f aca="true">IF(ISNUMBER($J777),INDIRECT("S"&amp;($J777+4)),"")</f>
        <v/>
      </c>
      <c r="J777" s="292" t="str">
        <f aca="true">IF(773&lt;=$K$1,MATCH(772.5,INDIRECT("$K$4:$K$1374"),1),"")</f>
        <v/>
      </c>
      <c r="K777" s="292" t="n">
        <f aca="false">$K$772+COUNTIF($Q$773:Q777,"&gt;0")</f>
        <v>0</v>
      </c>
      <c r="L777" s="292" t="str">
        <f aca="false">"Защитные стёкла"</f>
        <v>Защитные стёкла</v>
      </c>
      <c r="M777" s="292" t="str">
        <f aca="false">IF(ISBLANK('Защитные стёкла'!$A$9),"",'Защитные стёкла'!$A$9)</f>
        <v>Armor Shield series полноэкранное закаленное стекло с защитой от подглядывания  iP17 Pro Max(BF12)</v>
      </c>
      <c r="N777" s="292" t="str">
        <f aca="false">IF(ISBLANK('Защитные стёкла'!$D$9),"",'Защитные стёкла'!$D$9)</f>
        <v>6941991131530</v>
      </c>
      <c r="O777" s="292" t="str">
        <f aca="false">IF(ISBLANK('Защитные стёкла'!$E$9),"",'Защитные стёкла'!$E$9)</f>
        <v>чёрный</v>
      </c>
      <c r="P777" s="292" t="str">
        <f aca="false">"ед."</f>
        <v>ед.</v>
      </c>
      <c r="Q777" s="292" t="n">
        <f aca="false">N('Защитные стёкла'!$G$9)</f>
        <v>0</v>
      </c>
      <c r="R777" s="299" t="n">
        <f aca="false">IF(ISBLANK('Защитные стёкла'!$F$9),"",'Защитные стёкла'!$F$9)</f>
        <v>138.63</v>
      </c>
      <c r="S777" s="292" t="str">
        <f aca="false">IF(ISBLANK('Защитные стёкла'!$H$9),"",'Защитные стёкла'!$H$9)</f>
        <v/>
      </c>
    </row>
    <row r="778" customFormat="false" ht="66" hidden="false" customHeight="true" outlineLevel="0" collapsed="false">
      <c r="A778" s="291" t="str">
        <f aca="true">IF(ISNUMBER($J778),INDIRECT("L"&amp;($J778+4)),"")</f>
        <v/>
      </c>
      <c r="B778" s="291" t="str">
        <f aca="true">IF(ISNUMBER($J778),INDIRECT("M"&amp;($J778+4)),"")</f>
        <v/>
      </c>
      <c r="C778" s="296" t="str">
        <f aca="true">IF(ISNUMBER($J778),INDIRECT("N"&amp;($J778+4)),"")</f>
        <v/>
      </c>
      <c r="D778" s="291" t="str">
        <f aca="true">IF(ISNUMBER($J778),INDIRECT("O"&amp;($J778+4)),"")</f>
        <v/>
      </c>
      <c r="E778" s="291" t="str">
        <f aca="true">IF(ISNUMBER($J778),INDIRECT("P"&amp;($J778+4)),"")</f>
        <v/>
      </c>
      <c r="F778" s="300" t="str">
        <f aca="true">IF(ISNUMBER($J778),INDIRECT("Q"&amp;($J778+4)),"")</f>
        <v/>
      </c>
      <c r="G778" s="298" t="str">
        <f aca="true">IF(ISNUMBER($J778),INDIRECT("R"&amp;($J778+4)),"")</f>
        <v/>
      </c>
      <c r="H778" s="298" t="str">
        <f aca="true">IF(ISNUMBER($J778),INDIRECT("S"&amp;($J778+4)),"")</f>
        <v/>
      </c>
      <c r="J778" s="292" t="str">
        <f aca="true">IF(774&lt;=$K$1,MATCH(773.5,INDIRECT("$K$4:$K$1374"),1),"")</f>
        <v/>
      </c>
      <c r="K778" s="292" t="n">
        <f aca="false">$K$772+COUNTIF($Q$773:Q778,"&gt;0")</f>
        <v>0</v>
      </c>
      <c r="L778" s="292" t="str">
        <f aca="false">"Защитные стёкла"</f>
        <v>Защитные стёкла</v>
      </c>
      <c r="M778" s="292" t="str">
        <f aca="false">IF(ISBLANK('Защитные стёкла'!$A$10),"",'Защитные стёкла'!$A$10)</f>
        <v>Armor Shield series полноэкранное HD закаленное стекло iP17e/16e/14/13/13 Pro(BF11)</v>
      </c>
      <c r="N778" s="292" t="str">
        <f aca="false">IF(ISBLANK('Защитные стёкла'!$D$10),"",'Защитные стёкла'!$D$10)</f>
        <v>6941991131349</v>
      </c>
      <c r="O778" s="292" t="str">
        <f aca="false">IF(ISBLANK('Защитные стёкла'!$E$10),"",'Защитные стёкла'!$E$10)</f>
        <v>чёрный</v>
      </c>
      <c r="P778" s="292" t="str">
        <f aca="false">"ед."</f>
        <v>ед.</v>
      </c>
      <c r="Q778" s="292" t="n">
        <f aca="false">N('Защитные стёкла'!$G$10)</f>
        <v>0</v>
      </c>
      <c r="R778" s="299" t="n">
        <f aca="false">IF(ISBLANK('Защитные стёкла'!$F$10),"",'Защитные стёкла'!$F$10)</f>
        <v>114.17</v>
      </c>
      <c r="S778" s="292" t="str">
        <f aca="false">IF(ISBLANK('Защитные стёкла'!$H$10),"",'Защитные стёкла'!$H$10)</f>
        <v/>
      </c>
    </row>
    <row r="779" customFormat="false" ht="66" hidden="false" customHeight="true" outlineLevel="0" collapsed="false">
      <c r="A779" s="291" t="str">
        <f aca="true">IF(ISNUMBER($J779),INDIRECT("L"&amp;($J779+4)),"")</f>
        <v/>
      </c>
      <c r="B779" s="291" t="str">
        <f aca="true">IF(ISNUMBER($J779),INDIRECT("M"&amp;($J779+4)),"")</f>
        <v/>
      </c>
      <c r="C779" s="296" t="str">
        <f aca="true">IF(ISNUMBER($J779),INDIRECT("N"&amp;($J779+4)),"")</f>
        <v/>
      </c>
      <c r="D779" s="291" t="str">
        <f aca="true">IF(ISNUMBER($J779),INDIRECT("O"&amp;($J779+4)),"")</f>
        <v/>
      </c>
      <c r="E779" s="291" t="str">
        <f aca="true">IF(ISNUMBER($J779),INDIRECT("P"&amp;($J779+4)),"")</f>
        <v/>
      </c>
      <c r="F779" s="300" t="str">
        <f aca="true">IF(ISNUMBER($J779),INDIRECT("Q"&amp;($J779+4)),"")</f>
        <v/>
      </c>
      <c r="G779" s="298" t="str">
        <f aca="true">IF(ISNUMBER($J779),INDIRECT("R"&amp;($J779+4)),"")</f>
        <v/>
      </c>
      <c r="H779" s="298" t="str">
        <f aca="true">IF(ISNUMBER($J779),INDIRECT("S"&amp;($J779+4)),"")</f>
        <v/>
      </c>
      <c r="J779" s="292" t="str">
        <f aca="true">IF(775&lt;=$K$1,MATCH(774.5,INDIRECT("$K$4:$K$1374"),1),"")</f>
        <v/>
      </c>
      <c r="K779" s="292" t="n">
        <f aca="false">$K$772+COUNTIF($Q$773:Q779,"&gt;0")</f>
        <v>0</v>
      </c>
      <c r="L779" s="292" t="str">
        <f aca="false">"Защитные стёкла"</f>
        <v>Защитные стёкла</v>
      </c>
      <c r="M779" s="292" t="str">
        <f aca="false">IF(ISBLANK('Защитные стёкла'!$A$11),"",'Защитные стёкла'!$A$11)</f>
        <v>Armor Shield series полноэкранное HD закаленное стекло iP17/16 Pro(BF11)</v>
      </c>
      <c r="N779" s="292" t="str">
        <f aca="false">IF(ISBLANK('Защитные стёкла'!$D$11),"",'Защитные стёкла'!$D$11)</f>
        <v>6941991131394</v>
      </c>
      <c r="O779" s="292" t="str">
        <f aca="false">IF(ISBLANK('Защитные стёкла'!$E$11),"",'Защитные стёкла'!$E$11)</f>
        <v>чёрный</v>
      </c>
      <c r="P779" s="292" t="str">
        <f aca="false">"ед."</f>
        <v>ед.</v>
      </c>
      <c r="Q779" s="292" t="n">
        <f aca="false">N('Защитные стёкла'!$G$11)</f>
        <v>0</v>
      </c>
      <c r="R779" s="299" t="n">
        <f aca="false">IF(ISBLANK('Защитные стёкла'!$F$11),"",'Защитные стёкла'!$F$11)</f>
        <v>114.17</v>
      </c>
      <c r="S779" s="292" t="str">
        <f aca="false">IF(ISBLANK('Защитные стёкла'!$H$11),"",'Защитные стёкла'!$H$11)</f>
        <v/>
      </c>
    </row>
    <row r="780" customFormat="false" ht="66" hidden="false" customHeight="true" outlineLevel="0" collapsed="false">
      <c r="A780" s="291" t="str">
        <f aca="true">IF(ISNUMBER($J780),INDIRECT("L"&amp;($J780+4)),"")</f>
        <v/>
      </c>
      <c r="B780" s="291" t="str">
        <f aca="true">IF(ISNUMBER($J780),INDIRECT("M"&amp;($J780+4)),"")</f>
        <v/>
      </c>
      <c r="C780" s="296" t="str">
        <f aca="true">IF(ISNUMBER($J780),INDIRECT("N"&amp;($J780+4)),"")</f>
        <v/>
      </c>
      <c r="D780" s="291" t="str">
        <f aca="true">IF(ISNUMBER($J780),INDIRECT("O"&amp;($J780+4)),"")</f>
        <v/>
      </c>
      <c r="E780" s="291" t="str">
        <f aca="true">IF(ISNUMBER($J780),INDIRECT("P"&amp;($J780+4)),"")</f>
        <v/>
      </c>
      <c r="F780" s="300" t="str">
        <f aca="true">IF(ISNUMBER($J780),INDIRECT("Q"&amp;($J780+4)),"")</f>
        <v/>
      </c>
      <c r="G780" s="298" t="str">
        <f aca="true">IF(ISNUMBER($J780),INDIRECT("R"&amp;($J780+4)),"")</f>
        <v/>
      </c>
      <c r="H780" s="298" t="str">
        <f aca="true">IF(ISNUMBER($J780),INDIRECT("S"&amp;($J780+4)),"")</f>
        <v/>
      </c>
      <c r="J780" s="292" t="str">
        <f aca="true">IF(776&lt;=$K$1,MATCH(775.5,INDIRECT("$K$4:$K$1374"),1),"")</f>
        <v/>
      </c>
      <c r="K780" s="292" t="n">
        <f aca="false">$K$772+COUNTIF($Q$773:Q780,"&gt;0")</f>
        <v>0</v>
      </c>
      <c r="L780" s="292" t="str">
        <f aca="false">"Защитные стёкла"</f>
        <v>Защитные стёкла</v>
      </c>
      <c r="M780" s="292" t="str">
        <f aca="false">IF(ISBLANK('Защитные стёкла'!$A$12),"",'Защитные стёкла'!$A$12)</f>
        <v>Armor Shield series полноэкранное HD закаленное стекло iP17 Air(BF11)</v>
      </c>
      <c r="N780" s="292" t="str">
        <f aca="false">IF(ISBLANK('Защитные стёкла'!$D$12),"",'Защитные стёкла'!$D$12)</f>
        <v>6941991131417</v>
      </c>
      <c r="O780" s="292" t="str">
        <f aca="false">IF(ISBLANK('Защитные стёкла'!$E$12),"",'Защитные стёкла'!$E$12)</f>
        <v>чёрный</v>
      </c>
      <c r="P780" s="292" t="str">
        <f aca="false">"ед."</f>
        <v>ед.</v>
      </c>
      <c r="Q780" s="292" t="n">
        <f aca="false">N('Защитные стёкла'!$G$12)</f>
        <v>0</v>
      </c>
      <c r="R780" s="299" t="n">
        <f aca="false">IF(ISBLANK('Защитные стёкла'!$F$12),"",'Защитные стёкла'!$F$12)</f>
        <v>114.17</v>
      </c>
      <c r="S780" s="292" t="str">
        <f aca="false">IF(ISBLANK('Защитные стёкла'!$H$12),"",'Защитные стёкла'!$H$12)</f>
        <v/>
      </c>
    </row>
    <row r="781" customFormat="false" ht="66" hidden="false" customHeight="true" outlineLevel="0" collapsed="false">
      <c r="A781" s="291" t="str">
        <f aca="true">IF(ISNUMBER($J781),INDIRECT("L"&amp;($J781+4)),"")</f>
        <v/>
      </c>
      <c r="B781" s="291" t="str">
        <f aca="true">IF(ISNUMBER($J781),INDIRECT("M"&amp;($J781+4)),"")</f>
        <v/>
      </c>
      <c r="C781" s="296" t="str">
        <f aca="true">IF(ISNUMBER($J781),INDIRECT("N"&amp;($J781+4)),"")</f>
        <v/>
      </c>
      <c r="D781" s="291" t="str">
        <f aca="true">IF(ISNUMBER($J781),INDIRECT("O"&amp;($J781+4)),"")</f>
        <v/>
      </c>
      <c r="E781" s="291" t="str">
        <f aca="true">IF(ISNUMBER($J781),INDIRECT("P"&amp;($J781+4)),"")</f>
        <v/>
      </c>
      <c r="F781" s="300" t="str">
        <f aca="true">IF(ISNUMBER($J781),INDIRECT("Q"&amp;($J781+4)),"")</f>
        <v/>
      </c>
      <c r="G781" s="298" t="str">
        <f aca="true">IF(ISNUMBER($J781),INDIRECT("R"&amp;($J781+4)),"")</f>
        <v/>
      </c>
      <c r="H781" s="298" t="str">
        <f aca="true">IF(ISNUMBER($J781),INDIRECT("S"&amp;($J781+4)),"")</f>
        <v/>
      </c>
      <c r="J781" s="292" t="str">
        <f aca="true">IF(777&lt;=$K$1,MATCH(776.5,INDIRECT("$K$4:$K$1374"),1),"")</f>
        <v/>
      </c>
      <c r="K781" s="292" t="n">
        <f aca="false">$K$772+COUNTIF($Q$773:Q781,"&gt;0")</f>
        <v>0</v>
      </c>
      <c r="L781" s="292" t="str">
        <f aca="false">"Защитные стёкла"</f>
        <v>Защитные стёкла</v>
      </c>
      <c r="M781" s="292" t="str">
        <f aca="false">IF(ISBLANK('Защитные стёкла'!$A$13),"",'Защитные стёкла'!$A$13)</f>
        <v>Armor полноэкранное закаленное стекло с защитой от подглядывания   iP17e/16e/14/13/13 Pro(10PCS)(BF10)</v>
      </c>
      <c r="N781" s="292" t="str">
        <f aca="false">IF(ISBLANK('Защитные стёкла'!$D$13),"",'Защитные стёкла'!$D$13)</f>
        <v>6941991131226</v>
      </c>
      <c r="O781" s="292" t="str">
        <f aca="false">IF(ISBLANK('Защитные стёкла'!$E$13),"",'Защитные стёкла'!$E$13)</f>
        <v>чёрный</v>
      </c>
      <c r="P781" s="292" t="str">
        <f aca="false">"ед."</f>
        <v>ед.</v>
      </c>
      <c r="Q781" s="292" t="n">
        <f aca="false">N('Защитные стёкла'!$G$13)</f>
        <v>0</v>
      </c>
      <c r="R781" s="299" t="n">
        <f aca="false">IF(ISBLANK('Защитные стёкла'!$F$13),"",'Защитные стёкла'!$F$13)</f>
        <v>546.37</v>
      </c>
      <c r="S781" s="292" t="str">
        <f aca="false">IF(ISBLANK('Защитные стёкла'!$H$13),"",'Защитные стёкла'!$H$13)</f>
        <v/>
      </c>
    </row>
    <row r="782" customFormat="false" ht="66" hidden="false" customHeight="true" outlineLevel="0" collapsed="false">
      <c r="A782" s="291" t="str">
        <f aca="true">IF(ISNUMBER($J782),INDIRECT("L"&amp;($J782+4)),"")</f>
        <v/>
      </c>
      <c r="B782" s="291" t="str">
        <f aca="true">IF(ISNUMBER($J782),INDIRECT("M"&amp;($J782+4)),"")</f>
        <v/>
      </c>
      <c r="C782" s="296" t="str">
        <f aca="true">IF(ISNUMBER($J782),INDIRECT("N"&amp;($J782+4)),"")</f>
        <v/>
      </c>
      <c r="D782" s="291" t="str">
        <f aca="true">IF(ISNUMBER($J782),INDIRECT("O"&amp;($J782+4)),"")</f>
        <v/>
      </c>
      <c r="E782" s="291" t="str">
        <f aca="true">IF(ISNUMBER($J782),INDIRECT("P"&amp;($J782+4)),"")</f>
        <v/>
      </c>
      <c r="F782" s="300" t="str">
        <f aca="true">IF(ISNUMBER($J782),INDIRECT("Q"&amp;($J782+4)),"")</f>
        <v/>
      </c>
      <c r="G782" s="298" t="str">
        <f aca="true">IF(ISNUMBER($J782),INDIRECT("R"&amp;($J782+4)),"")</f>
        <v/>
      </c>
      <c r="H782" s="298" t="str">
        <f aca="true">IF(ISNUMBER($J782),INDIRECT("S"&amp;($J782+4)),"")</f>
        <v/>
      </c>
      <c r="J782" s="292" t="str">
        <f aca="true">IF(778&lt;=$K$1,MATCH(777.5,INDIRECT("$K$4:$K$1374"),1),"")</f>
        <v/>
      </c>
      <c r="K782" s="292" t="n">
        <f aca="false">$K$772+COUNTIF($Q$773:Q782,"&gt;0")</f>
        <v>0</v>
      </c>
      <c r="L782" s="292" t="str">
        <f aca="false">"Защитные стёкла"</f>
        <v>Защитные стёкла</v>
      </c>
      <c r="M782" s="292" t="str">
        <f aca="false">IF(ISBLANK('Защитные стёкла'!$A$14),"",'Защитные стёкла'!$A$14)</f>
        <v>Armor полноэкранное закаленное стекло с защитой от подглядывания   iP17/16 Pro(10PCS)(BF10)</v>
      </c>
      <c r="N782" s="292" t="str">
        <f aca="false">IF(ISBLANK('Защитные стёкла'!$D$14),"",'Защитные стёкла'!$D$14)</f>
        <v>6941991131271</v>
      </c>
      <c r="O782" s="292" t="str">
        <f aca="false">IF(ISBLANK('Защитные стёкла'!$E$14),"",'Защитные стёкла'!$E$14)</f>
        <v>чёрный</v>
      </c>
      <c r="P782" s="292" t="str">
        <f aca="false">"ед."</f>
        <v>ед.</v>
      </c>
      <c r="Q782" s="292" t="n">
        <f aca="false">N('Защитные стёкла'!$G$14)</f>
        <v>0</v>
      </c>
      <c r="R782" s="299" t="n">
        <f aca="false">IF(ISBLANK('Защитные стёкла'!$F$14),"",'Защитные стёкла'!$F$14)</f>
        <v>570.83</v>
      </c>
      <c r="S782" s="292" t="str">
        <f aca="false">IF(ISBLANK('Защитные стёкла'!$H$14),"",'Защитные стёкла'!$H$14)</f>
        <v/>
      </c>
    </row>
    <row r="783" customFormat="false" ht="66" hidden="false" customHeight="true" outlineLevel="0" collapsed="false">
      <c r="A783" s="291" t="str">
        <f aca="true">IF(ISNUMBER($J783),INDIRECT("L"&amp;($J783+4)),"")</f>
        <v/>
      </c>
      <c r="B783" s="291" t="str">
        <f aca="true">IF(ISNUMBER($J783),INDIRECT("M"&amp;($J783+4)),"")</f>
        <v/>
      </c>
      <c r="C783" s="296" t="str">
        <f aca="true">IF(ISNUMBER($J783),INDIRECT("N"&amp;($J783+4)),"")</f>
        <v/>
      </c>
      <c r="D783" s="291" t="str">
        <f aca="true">IF(ISNUMBER($J783),INDIRECT("O"&amp;($J783+4)),"")</f>
        <v/>
      </c>
      <c r="E783" s="291" t="str">
        <f aca="true">IF(ISNUMBER($J783),INDIRECT("P"&amp;($J783+4)),"")</f>
        <v/>
      </c>
      <c r="F783" s="300" t="str">
        <f aca="true">IF(ISNUMBER($J783),INDIRECT("Q"&amp;($J783+4)),"")</f>
        <v/>
      </c>
      <c r="G783" s="298" t="str">
        <f aca="true">IF(ISNUMBER($J783),INDIRECT("R"&amp;($J783+4)),"")</f>
        <v/>
      </c>
      <c r="H783" s="298" t="str">
        <f aca="true">IF(ISNUMBER($J783),INDIRECT("S"&amp;($J783+4)),"")</f>
        <v/>
      </c>
      <c r="J783" s="292" t="str">
        <f aca="true">IF(779&lt;=$K$1,MATCH(778.5,INDIRECT("$K$4:$K$1374"),1),"")</f>
        <v/>
      </c>
      <c r="K783" s="292" t="n">
        <f aca="false">$K$772+COUNTIF($Q$773:Q783,"&gt;0")</f>
        <v>0</v>
      </c>
      <c r="L783" s="292" t="str">
        <f aca="false">"Защитные стёкла"</f>
        <v>Защитные стёкла</v>
      </c>
      <c r="M783" s="292" t="str">
        <f aca="false">IF(ISBLANK('Защитные стёкла'!$A$15),"",'Защитные стёкла'!$A$15)</f>
        <v>Armor полноэкранное закаленное стекло с защитой от подглядывания   iP17 Air(10PCS)(BF10)</v>
      </c>
      <c r="N783" s="292" t="str">
        <f aca="false">IF(ISBLANK('Защитные стёкла'!$D$15),"",'Защитные стёкла'!$D$15)</f>
        <v>6941991131295</v>
      </c>
      <c r="O783" s="292" t="str">
        <f aca="false">IF(ISBLANK('Защитные стёкла'!$E$15),"",'Защитные стёкла'!$E$15)</f>
        <v>чёрный</v>
      </c>
      <c r="P783" s="292" t="str">
        <f aca="false">"ед."</f>
        <v>ед.</v>
      </c>
      <c r="Q783" s="292" t="n">
        <f aca="false">N('Защитные стёкла'!$G$15)</f>
        <v>0</v>
      </c>
      <c r="R783" s="299" t="n">
        <f aca="false">IF(ISBLANK('Защитные стёкла'!$F$15),"",'Защитные стёкла'!$F$15)</f>
        <v>570.83</v>
      </c>
      <c r="S783" s="292" t="str">
        <f aca="false">IF(ISBLANK('Защитные стёкла'!$H$15),"",'Защитные стёкла'!$H$15)</f>
        <v/>
      </c>
    </row>
    <row r="784" customFormat="false" ht="66" hidden="false" customHeight="true" outlineLevel="0" collapsed="false">
      <c r="A784" s="291" t="str">
        <f aca="true">IF(ISNUMBER($J784),INDIRECT("L"&amp;($J784+4)),"")</f>
        <v/>
      </c>
      <c r="B784" s="291" t="str">
        <f aca="true">IF(ISNUMBER($J784),INDIRECT("M"&amp;($J784+4)),"")</f>
        <v/>
      </c>
      <c r="C784" s="296" t="str">
        <f aca="true">IF(ISNUMBER($J784),INDIRECT("N"&amp;($J784+4)),"")</f>
        <v/>
      </c>
      <c r="D784" s="291" t="str">
        <f aca="true">IF(ISNUMBER($J784),INDIRECT("O"&amp;($J784+4)),"")</f>
        <v/>
      </c>
      <c r="E784" s="291" t="str">
        <f aca="true">IF(ISNUMBER($J784),INDIRECT("P"&amp;($J784+4)),"")</f>
        <v/>
      </c>
      <c r="F784" s="300" t="str">
        <f aca="true">IF(ISNUMBER($J784),INDIRECT("Q"&amp;($J784+4)),"")</f>
        <v/>
      </c>
      <c r="G784" s="298" t="str">
        <f aca="true">IF(ISNUMBER($J784),INDIRECT("R"&amp;($J784+4)),"")</f>
        <v/>
      </c>
      <c r="H784" s="298" t="str">
        <f aca="true">IF(ISNUMBER($J784),INDIRECT("S"&amp;($J784+4)),"")</f>
        <v/>
      </c>
      <c r="J784" s="292" t="str">
        <f aca="true">IF(780&lt;=$K$1,MATCH(779.5,INDIRECT("$K$4:$K$1374"),1),"")</f>
        <v/>
      </c>
      <c r="K784" s="292" t="n">
        <f aca="false">$K$772+COUNTIF($Q$773:Q784,"&gt;0")</f>
        <v>0</v>
      </c>
      <c r="L784" s="292" t="str">
        <f aca="false">"Защитные стёкла"</f>
        <v>Защитные стёкла</v>
      </c>
      <c r="M784" s="292" t="str">
        <f aca="false">IF(ISBLANK('Защитные стёкла'!$A$16),"",'Защитные стёкла'!$A$16)</f>
        <v>Armor полноэкранное закаленное стекло с защитой от подглядывания   iP17 Pro(10PCS)(BF10)</v>
      </c>
      <c r="N784" s="292" t="str">
        <f aca="false">IF(ISBLANK('Защитные стёкла'!$D$16),"",'Защитные стёкла'!$D$16)</f>
        <v>6941991131301</v>
      </c>
      <c r="O784" s="292" t="str">
        <f aca="false">IF(ISBLANK('Защитные стёкла'!$E$16),"",'Защитные стёкла'!$E$16)</f>
        <v>чёрный</v>
      </c>
      <c r="P784" s="292" t="str">
        <f aca="false">"ед."</f>
        <v>ед.</v>
      </c>
      <c r="Q784" s="292" t="n">
        <f aca="false">N('Защитные стёкла'!$G$16)</f>
        <v>0</v>
      </c>
      <c r="R784" s="299" t="n">
        <f aca="false">IF(ISBLANK('Защитные стёкла'!$F$16),"",'Защитные стёкла'!$F$16)</f>
        <v>570.83</v>
      </c>
      <c r="S784" s="292" t="str">
        <f aca="false">IF(ISBLANK('Защитные стёкла'!$H$16),"",'Защитные стёкла'!$H$16)</f>
        <v/>
      </c>
    </row>
    <row r="785" customFormat="false" ht="66" hidden="false" customHeight="true" outlineLevel="0" collapsed="false">
      <c r="A785" s="291" t="str">
        <f aca="true">IF(ISNUMBER($J785),INDIRECT("L"&amp;($J785+4)),"")</f>
        <v/>
      </c>
      <c r="B785" s="291" t="str">
        <f aca="true">IF(ISNUMBER($J785),INDIRECT("M"&amp;($J785+4)),"")</f>
        <v/>
      </c>
      <c r="C785" s="296" t="str">
        <f aca="true">IF(ISNUMBER($J785),INDIRECT("N"&amp;($J785+4)),"")</f>
        <v/>
      </c>
      <c r="D785" s="291" t="str">
        <f aca="true">IF(ISNUMBER($J785),INDIRECT("O"&amp;($J785+4)),"")</f>
        <v/>
      </c>
      <c r="E785" s="291" t="str">
        <f aca="true">IF(ISNUMBER($J785),INDIRECT("P"&amp;($J785+4)),"")</f>
        <v/>
      </c>
      <c r="F785" s="300" t="str">
        <f aca="true">IF(ISNUMBER($J785),INDIRECT("Q"&amp;($J785+4)),"")</f>
        <v/>
      </c>
      <c r="G785" s="298" t="str">
        <f aca="true">IF(ISNUMBER($J785),INDIRECT("R"&amp;($J785+4)),"")</f>
        <v/>
      </c>
      <c r="H785" s="298" t="str">
        <f aca="true">IF(ISNUMBER($J785),INDIRECT("S"&amp;($J785+4)),"")</f>
        <v/>
      </c>
      <c r="J785" s="292" t="str">
        <f aca="true">IF(781&lt;=$K$1,MATCH(780.5,INDIRECT("$K$4:$K$1374"),1),"")</f>
        <v/>
      </c>
      <c r="K785" s="292" t="n">
        <f aca="false">$K$772+COUNTIF($Q$773:Q785,"&gt;0")</f>
        <v>0</v>
      </c>
      <c r="L785" s="292" t="str">
        <f aca="false">"Защитные стёкла"</f>
        <v>Защитные стёкла</v>
      </c>
      <c r="M785" s="292" t="str">
        <f aca="false">IF(ISBLANK('Защитные стёкла'!$A$17),"",'Защитные стёкла'!$A$17)</f>
        <v>Armor полноэкранное закаленное стекло с защитой от подглядывания   iP17 Pro Max(10PCS)(BF10)</v>
      </c>
      <c r="N785" s="292" t="str">
        <f aca="false">IF(ISBLANK('Защитные стёкла'!$D$17),"",'Защитные стёкла'!$D$17)</f>
        <v>6941991131318</v>
      </c>
      <c r="O785" s="292" t="str">
        <f aca="false">IF(ISBLANK('Защитные стёкла'!$E$17),"",'Защитные стёкла'!$E$17)</f>
        <v>чёрный</v>
      </c>
      <c r="P785" s="292" t="str">
        <f aca="false">"ед."</f>
        <v>ед.</v>
      </c>
      <c r="Q785" s="292" t="n">
        <f aca="false">N('Защитные стёкла'!$G$17)</f>
        <v>0</v>
      </c>
      <c r="R785" s="299" t="n">
        <f aca="false">IF(ISBLANK('Защитные стёкла'!$F$17),"",'Защитные стёкла'!$F$17)</f>
        <v>570.83</v>
      </c>
      <c r="S785" s="292" t="str">
        <f aca="false">IF(ISBLANK('Защитные стёкла'!$H$17),"",'Защитные стёкла'!$H$17)</f>
        <v/>
      </c>
    </row>
    <row r="786" customFormat="false" ht="66" hidden="false" customHeight="true" outlineLevel="0" collapsed="false">
      <c r="A786" s="291" t="str">
        <f aca="true">IF(ISNUMBER($J786),INDIRECT("L"&amp;($J786+4)),"")</f>
        <v/>
      </c>
      <c r="B786" s="291" t="str">
        <f aca="true">IF(ISNUMBER($J786),INDIRECT("M"&amp;($J786+4)),"")</f>
        <v/>
      </c>
      <c r="C786" s="296" t="str">
        <f aca="true">IF(ISNUMBER($J786),INDIRECT("N"&amp;($J786+4)),"")</f>
        <v/>
      </c>
      <c r="D786" s="291" t="str">
        <f aca="true">IF(ISNUMBER($J786),INDIRECT("O"&amp;($J786+4)),"")</f>
        <v/>
      </c>
      <c r="E786" s="291" t="str">
        <f aca="true">IF(ISNUMBER($J786),INDIRECT("P"&amp;($J786+4)),"")</f>
        <v/>
      </c>
      <c r="F786" s="300" t="str">
        <f aca="true">IF(ISNUMBER($J786),INDIRECT("Q"&amp;($J786+4)),"")</f>
        <v/>
      </c>
      <c r="G786" s="298" t="str">
        <f aca="true">IF(ISNUMBER($J786),INDIRECT("R"&amp;($J786+4)),"")</f>
        <v/>
      </c>
      <c r="H786" s="298" t="str">
        <f aca="true">IF(ISNUMBER($J786),INDIRECT("S"&amp;($J786+4)),"")</f>
        <v/>
      </c>
      <c r="J786" s="292" t="str">
        <f aca="true">IF(782&lt;=$K$1,MATCH(781.5,INDIRECT("$K$4:$K$1374"),1),"")</f>
        <v/>
      </c>
      <c r="K786" s="292" t="n">
        <f aca="false">$K$772+COUNTIF($Q$773:Q786,"&gt;0")</f>
        <v>0</v>
      </c>
      <c r="L786" s="292" t="str">
        <f aca="false">"Защитные стёкла"</f>
        <v>Защитные стёкла</v>
      </c>
      <c r="M786" s="292" t="str">
        <f aca="false">IF(ISBLANK('Защитные стёкла'!$A$18),"",'Защитные стёкла'!$A$18)</f>
        <v>Armor полноэкранное HD закаленное стекло набор iP17e/16e/14/13/13 Pro(10PCS)(BF9)</v>
      </c>
      <c r="N786" s="292" t="str">
        <f aca="false">IF(ISBLANK('Защитные стёкла'!$D$18),"",'Защитные стёкла'!$D$18)</f>
        <v>6941991131127</v>
      </c>
      <c r="O786" s="292" t="str">
        <f aca="false">IF(ISBLANK('Защитные стёкла'!$E$18),"",'Защитные стёкла'!$E$18)</f>
        <v>чёрный</v>
      </c>
      <c r="P786" s="292" t="str">
        <f aca="false">"ед."</f>
        <v>ед.</v>
      </c>
      <c r="Q786" s="292" t="n">
        <f aca="false">N('Защитные стёкла'!$G$18)</f>
        <v>0</v>
      </c>
      <c r="R786" s="299" t="n">
        <f aca="false">IF(ISBLANK('Защитные стёкла'!$F$18),"",'Защитные стёкла'!$F$18)</f>
        <v>342.5</v>
      </c>
      <c r="S786" s="292" t="str">
        <f aca="false">IF(ISBLANK('Защитные стёкла'!$H$18),"",'Защитные стёкла'!$H$18)</f>
        <v/>
      </c>
    </row>
    <row r="787" customFormat="false" ht="66" hidden="false" customHeight="true" outlineLevel="0" collapsed="false">
      <c r="A787" s="291" t="str">
        <f aca="true">IF(ISNUMBER($J787),INDIRECT("L"&amp;($J787+4)),"")</f>
        <v/>
      </c>
      <c r="B787" s="291" t="str">
        <f aca="true">IF(ISNUMBER($J787),INDIRECT("M"&amp;($J787+4)),"")</f>
        <v/>
      </c>
      <c r="C787" s="296" t="str">
        <f aca="true">IF(ISNUMBER($J787),INDIRECT("N"&amp;($J787+4)),"")</f>
        <v/>
      </c>
      <c r="D787" s="291" t="str">
        <f aca="true">IF(ISNUMBER($J787),INDIRECT("O"&amp;($J787+4)),"")</f>
        <v/>
      </c>
      <c r="E787" s="291" t="str">
        <f aca="true">IF(ISNUMBER($J787),INDIRECT("P"&amp;($J787+4)),"")</f>
        <v/>
      </c>
      <c r="F787" s="300" t="str">
        <f aca="true">IF(ISNUMBER($J787),INDIRECT("Q"&amp;($J787+4)),"")</f>
        <v/>
      </c>
      <c r="G787" s="298" t="str">
        <f aca="true">IF(ISNUMBER($J787),INDIRECT("R"&amp;($J787+4)),"")</f>
        <v/>
      </c>
      <c r="H787" s="298" t="str">
        <f aca="true">IF(ISNUMBER($J787),INDIRECT("S"&amp;($J787+4)),"")</f>
        <v/>
      </c>
      <c r="J787" s="292" t="str">
        <f aca="true">IF(783&lt;=$K$1,MATCH(782.5,INDIRECT("$K$4:$K$1374"),1),"")</f>
        <v/>
      </c>
      <c r="K787" s="292" t="n">
        <f aca="false">$K$772+COUNTIF($Q$773:Q787,"&gt;0")</f>
        <v>0</v>
      </c>
      <c r="L787" s="292" t="str">
        <f aca="false">"Защитные стёкла"</f>
        <v>Защитные стёкла</v>
      </c>
      <c r="M787" s="292" t="str">
        <f aca="false">IF(ISBLANK('Защитные стёкла'!$A$19),"",'Защитные стёкла'!$A$19)</f>
        <v>Armor полноэкранное HD закаленное стекло набор iP17/16 Pro(10PCS)(BF9)</v>
      </c>
      <c r="N787" s="292" t="str">
        <f aca="false">IF(ISBLANK('Защитные стёкла'!$D$19),"",'Защитные стёкла'!$D$19)</f>
        <v>6941991131172</v>
      </c>
      <c r="O787" s="292" t="str">
        <f aca="false">IF(ISBLANK('Защитные стёкла'!$E$19),"",'Защитные стёкла'!$E$19)</f>
        <v>чёрный</v>
      </c>
      <c r="P787" s="292" t="str">
        <f aca="false">"ед."</f>
        <v>ед.</v>
      </c>
      <c r="Q787" s="292" t="n">
        <f aca="false">N('Защитные стёкла'!$G$19)</f>
        <v>0</v>
      </c>
      <c r="R787" s="299" t="n">
        <f aca="false">IF(ISBLANK('Защитные стёкла'!$F$19),"",'Защитные стёкла'!$F$19)</f>
        <v>358.81</v>
      </c>
      <c r="S787" s="292" t="str">
        <f aca="false">IF(ISBLANK('Защитные стёкла'!$H$19),"",'Защитные стёкла'!$H$19)</f>
        <v/>
      </c>
    </row>
    <row r="788" customFormat="false" ht="66" hidden="false" customHeight="true" outlineLevel="0" collapsed="false">
      <c r="A788" s="291" t="str">
        <f aca="true">IF(ISNUMBER($J788),INDIRECT("L"&amp;($J788+4)),"")</f>
        <v/>
      </c>
      <c r="B788" s="291" t="str">
        <f aca="true">IF(ISNUMBER($J788),INDIRECT("M"&amp;($J788+4)),"")</f>
        <v/>
      </c>
      <c r="C788" s="296" t="str">
        <f aca="true">IF(ISNUMBER($J788),INDIRECT("N"&amp;($J788+4)),"")</f>
        <v/>
      </c>
      <c r="D788" s="291" t="str">
        <f aca="true">IF(ISNUMBER($J788),INDIRECT("O"&amp;($J788+4)),"")</f>
        <v/>
      </c>
      <c r="E788" s="291" t="str">
        <f aca="true">IF(ISNUMBER($J788),INDIRECT("P"&amp;($J788+4)),"")</f>
        <v/>
      </c>
      <c r="F788" s="300" t="str">
        <f aca="true">IF(ISNUMBER($J788),INDIRECT("Q"&amp;($J788+4)),"")</f>
        <v/>
      </c>
      <c r="G788" s="298" t="str">
        <f aca="true">IF(ISNUMBER($J788),INDIRECT("R"&amp;($J788+4)),"")</f>
        <v/>
      </c>
      <c r="H788" s="298" t="str">
        <f aca="true">IF(ISNUMBER($J788),INDIRECT("S"&amp;($J788+4)),"")</f>
        <v/>
      </c>
      <c r="J788" s="292" t="str">
        <f aca="true">IF(784&lt;=$K$1,MATCH(783.5,INDIRECT("$K$4:$K$1374"),1),"")</f>
        <v/>
      </c>
      <c r="K788" s="292" t="n">
        <f aca="false">$K$772+COUNTIF($Q$773:Q788,"&gt;0")</f>
        <v>0</v>
      </c>
      <c r="L788" s="292" t="str">
        <f aca="false">"Защитные стёкла"</f>
        <v>Защитные стёкла</v>
      </c>
      <c r="M788" s="292" t="str">
        <f aca="false">IF(ISBLANK('Защитные стёкла'!$A$20),"",'Защитные стёкла'!$A$20)</f>
        <v>Armor полноэкранное HD закаленное стекло набор iP17 Air(10PCS)(BF9)</v>
      </c>
      <c r="N788" s="292" t="str">
        <f aca="false">IF(ISBLANK('Защитные стёкла'!$D$20),"",'Защитные стёкла'!$D$20)</f>
        <v>6941991131196</v>
      </c>
      <c r="O788" s="292" t="str">
        <f aca="false">IF(ISBLANK('Защитные стёкла'!$E$20),"",'Защитные стёкла'!$E$20)</f>
        <v>чёрный</v>
      </c>
      <c r="P788" s="292" t="str">
        <f aca="false">"ед."</f>
        <v>ед.</v>
      </c>
      <c r="Q788" s="292" t="n">
        <f aca="false">N('Защитные стёкла'!$G$20)</f>
        <v>0</v>
      </c>
      <c r="R788" s="299" t="n">
        <f aca="false">IF(ISBLANK('Защитные стёкла'!$F$20),"",'Защитные стёкла'!$F$20)</f>
        <v>358.81</v>
      </c>
      <c r="S788" s="292" t="str">
        <f aca="false">IF(ISBLANK('Защитные стёкла'!$H$20),"",'Защитные стёкла'!$H$20)</f>
        <v/>
      </c>
    </row>
    <row r="789" customFormat="false" ht="66" hidden="false" customHeight="true" outlineLevel="0" collapsed="false">
      <c r="A789" s="291" t="str">
        <f aca="true">IF(ISNUMBER($J789),INDIRECT("L"&amp;($J789+4)),"")</f>
        <v/>
      </c>
      <c r="B789" s="291" t="str">
        <f aca="true">IF(ISNUMBER($J789),INDIRECT("M"&amp;($J789+4)),"")</f>
        <v/>
      </c>
      <c r="C789" s="296" t="str">
        <f aca="true">IF(ISNUMBER($J789),INDIRECT("N"&amp;($J789+4)),"")</f>
        <v/>
      </c>
      <c r="D789" s="291" t="str">
        <f aca="true">IF(ISNUMBER($J789),INDIRECT("O"&amp;($J789+4)),"")</f>
        <v/>
      </c>
      <c r="E789" s="291" t="str">
        <f aca="true">IF(ISNUMBER($J789),INDIRECT("P"&amp;($J789+4)),"")</f>
        <v/>
      </c>
      <c r="F789" s="300" t="str">
        <f aca="true">IF(ISNUMBER($J789),INDIRECT("Q"&amp;($J789+4)),"")</f>
        <v/>
      </c>
      <c r="G789" s="298" t="str">
        <f aca="true">IF(ISNUMBER($J789),INDIRECT("R"&amp;($J789+4)),"")</f>
        <v/>
      </c>
      <c r="H789" s="298" t="str">
        <f aca="true">IF(ISNUMBER($J789),INDIRECT("S"&amp;($J789+4)),"")</f>
        <v/>
      </c>
      <c r="J789" s="292" t="str">
        <f aca="true">IF(785&lt;=$K$1,MATCH(784.5,INDIRECT("$K$4:$K$1374"),1),"")</f>
        <v/>
      </c>
      <c r="K789" s="292" t="n">
        <f aca="false">$K$772+COUNTIF($Q$773:Q789,"&gt;0")</f>
        <v>0</v>
      </c>
      <c r="L789" s="292" t="str">
        <f aca="false">"Защитные стёкла"</f>
        <v>Защитные стёкла</v>
      </c>
      <c r="M789" s="292" t="str">
        <f aca="false">IF(ISBLANK('Защитные стёкла'!$A$21),"",'Защитные стёкла'!$A$21)</f>
        <v>Diamond armor полноэкранное 5D закаленное стекло с большой дугой набор для  iP17/16 Pro(10шт)(BF8)</v>
      </c>
      <c r="N789" s="292" t="str">
        <f aca="false">IF(ISBLANK('Защитные стёкла'!$D$21),"",'Защитные стёкла'!$D$21)</f>
        <v>6941991116612</v>
      </c>
      <c r="O789" s="292" t="str">
        <f aca="false">IF(ISBLANK('Защитные стёкла'!$E$21),"",'Защитные стёкла'!$E$21)</f>
        <v>черный</v>
      </c>
      <c r="P789" s="292" t="str">
        <f aca="false">"ед."</f>
        <v>ед.</v>
      </c>
      <c r="Q789" s="292" t="n">
        <f aca="false">N('Защитные стёкла'!$G$21)</f>
        <v>0</v>
      </c>
      <c r="R789" s="299" t="n">
        <f aca="false">IF(ISBLANK('Защитные стёкла'!$F$21),"",'Защитные стёкла'!$F$21)</f>
        <v>538.21</v>
      </c>
      <c r="S789" s="292" t="str">
        <f aca="false">IF(ISBLANK('Защитные стёкла'!$H$21),"",'Защитные стёкла'!$H$21)</f>
        <v/>
      </c>
    </row>
    <row r="790" customFormat="false" ht="66" hidden="false" customHeight="true" outlineLevel="0" collapsed="false">
      <c r="A790" s="291" t="str">
        <f aca="true">IF(ISNUMBER($J790),INDIRECT("L"&amp;($J790+4)),"")</f>
        <v/>
      </c>
      <c r="B790" s="291" t="str">
        <f aca="true">IF(ISNUMBER($J790),INDIRECT("M"&amp;($J790+4)),"")</f>
        <v/>
      </c>
      <c r="C790" s="296" t="str">
        <f aca="true">IF(ISNUMBER($J790),INDIRECT("N"&amp;($J790+4)),"")</f>
        <v/>
      </c>
      <c r="D790" s="291" t="str">
        <f aca="true">IF(ISNUMBER($J790),INDIRECT("O"&amp;($J790+4)),"")</f>
        <v/>
      </c>
      <c r="E790" s="291" t="str">
        <f aca="true">IF(ISNUMBER($J790),INDIRECT("P"&amp;($J790+4)),"")</f>
        <v/>
      </c>
      <c r="F790" s="300" t="str">
        <f aca="true">IF(ISNUMBER($J790),INDIRECT("Q"&amp;($J790+4)),"")</f>
        <v/>
      </c>
      <c r="G790" s="298" t="str">
        <f aca="true">IF(ISNUMBER($J790),INDIRECT("R"&amp;($J790+4)),"")</f>
        <v/>
      </c>
      <c r="H790" s="298" t="str">
        <f aca="true">IF(ISNUMBER($J790),INDIRECT("S"&amp;($J790+4)),"")</f>
        <v/>
      </c>
      <c r="J790" s="292" t="str">
        <f aca="true">IF(786&lt;=$K$1,MATCH(785.5,INDIRECT("$K$4:$K$1374"),1),"")</f>
        <v/>
      </c>
      <c r="K790" s="292" t="n">
        <f aca="false">$K$772+COUNTIF($Q$773:Q790,"&gt;0")</f>
        <v>0</v>
      </c>
      <c r="L790" s="292" t="str">
        <f aca="false">"Защитные стёкла"</f>
        <v>Защитные стёкла</v>
      </c>
      <c r="M790" s="292" t="str">
        <f aca="false">IF(ISBLANK('Защитные стёкла'!$A$22),"",'Защитные стёкла'!$A$22)</f>
        <v>Diamond armor полноэкранное 5D закаленное стекло набор iP17 Air (10шт)(BF8)</v>
      </c>
      <c r="N790" s="292" t="str">
        <f aca="false">IF(ISBLANK('Защитные стёкла'!$D$22),"",'Защитные стёкла'!$D$22)</f>
        <v>6941991125218</v>
      </c>
      <c r="O790" s="292" t="str">
        <f aca="false">IF(ISBLANK('Защитные стёкла'!$E$22),"",'Защитные стёкла'!$E$22)</f>
        <v>чёрный</v>
      </c>
      <c r="P790" s="292" t="str">
        <f aca="false">"ед."</f>
        <v>ед.</v>
      </c>
      <c r="Q790" s="292" t="n">
        <f aca="false">N('Защитные стёкла'!$G$22)</f>
        <v>0</v>
      </c>
      <c r="R790" s="299" t="n">
        <f aca="false">IF(ISBLANK('Защитные стёкла'!$F$22),"",'Защитные стёкла'!$F$22)</f>
        <v>538.21</v>
      </c>
      <c r="S790" s="292" t="str">
        <f aca="false">IF(ISBLANK('Защитные стёкла'!$H$22),"",'Защитные стёкла'!$H$22)</f>
        <v/>
      </c>
    </row>
    <row r="791" customFormat="false" ht="66" hidden="false" customHeight="true" outlineLevel="0" collapsed="false">
      <c r="A791" s="291" t="str">
        <f aca="true">IF(ISNUMBER($J791),INDIRECT("L"&amp;($J791+4)),"")</f>
        <v/>
      </c>
      <c r="B791" s="291" t="str">
        <f aca="true">IF(ISNUMBER($J791),INDIRECT("M"&amp;($J791+4)),"")</f>
        <v/>
      </c>
      <c r="C791" s="296" t="str">
        <f aca="true">IF(ISNUMBER($J791),INDIRECT("N"&amp;($J791+4)),"")</f>
        <v/>
      </c>
      <c r="D791" s="291" t="str">
        <f aca="true">IF(ISNUMBER($J791),INDIRECT("O"&amp;($J791+4)),"")</f>
        <v/>
      </c>
      <c r="E791" s="291" t="str">
        <f aca="true">IF(ISNUMBER($J791),INDIRECT("P"&amp;($J791+4)),"")</f>
        <v/>
      </c>
      <c r="F791" s="300" t="str">
        <f aca="true">IF(ISNUMBER($J791),INDIRECT("Q"&amp;($J791+4)),"")</f>
        <v/>
      </c>
      <c r="G791" s="298" t="str">
        <f aca="true">IF(ISNUMBER($J791),INDIRECT("R"&amp;($J791+4)),"")</f>
        <v/>
      </c>
      <c r="H791" s="298" t="str">
        <f aca="true">IF(ISNUMBER($J791),INDIRECT("S"&amp;($J791+4)),"")</f>
        <v/>
      </c>
      <c r="J791" s="292" t="str">
        <f aca="true">IF(787&lt;=$K$1,MATCH(786.5,INDIRECT("$K$4:$K$1374"),1),"")</f>
        <v/>
      </c>
      <c r="K791" s="292" t="n">
        <f aca="false">$K$772+COUNTIF($Q$773:Q791,"&gt;0")</f>
        <v>0</v>
      </c>
      <c r="L791" s="292" t="str">
        <f aca="false">"Защитные стёкла"</f>
        <v>Защитные стёкла</v>
      </c>
      <c r="M791" s="292" t="str">
        <f aca="false">IF(ISBLANK('Защитные стёкла'!$A$23),"",'Защитные стёкла'!$A$23)</f>
        <v>Diamond armor полноэкранное закаленное стекло с защитой от подглядывания набор для iP17/16 Pro(10шт)(BF7)</v>
      </c>
      <c r="N791" s="292" t="str">
        <f aca="false">IF(ISBLANK('Защитные стёкла'!$D$23),"",'Защитные стёкла'!$D$23)</f>
        <v>6941991116599</v>
      </c>
      <c r="O791" s="292" t="str">
        <f aca="false">IF(ISBLANK('Защитные стёкла'!$E$23),"",'Защитные стёкла'!$E$23)</f>
        <v>черный</v>
      </c>
      <c r="P791" s="292" t="str">
        <f aca="false">"ед."</f>
        <v>ед.</v>
      </c>
      <c r="Q791" s="292" t="n">
        <f aca="false">N('Защитные стёкла'!$G$23)</f>
        <v>0</v>
      </c>
      <c r="R791" s="299" t="n">
        <f aca="false">IF(ISBLANK('Защитные стёкла'!$F$23),"",'Защитные стёкла'!$F$23)</f>
        <v>652.38</v>
      </c>
      <c r="S791" s="292" t="str">
        <f aca="false">IF(ISBLANK('Защитные стёкла'!$H$23),"",'Защитные стёкла'!$H$23)</f>
        <v/>
      </c>
    </row>
    <row r="792" customFormat="false" ht="66" hidden="false" customHeight="true" outlineLevel="0" collapsed="false">
      <c r="A792" s="291" t="str">
        <f aca="true">IF(ISNUMBER($J792),INDIRECT("L"&amp;($J792+4)),"")</f>
        <v/>
      </c>
      <c r="B792" s="291" t="str">
        <f aca="true">IF(ISNUMBER($J792),INDIRECT("M"&amp;($J792+4)),"")</f>
        <v/>
      </c>
      <c r="C792" s="296" t="str">
        <f aca="true">IF(ISNUMBER($J792),INDIRECT("N"&amp;($J792+4)),"")</f>
        <v/>
      </c>
      <c r="D792" s="291" t="str">
        <f aca="true">IF(ISNUMBER($J792),INDIRECT("O"&amp;($J792+4)),"")</f>
        <v/>
      </c>
      <c r="E792" s="291" t="str">
        <f aca="true">IF(ISNUMBER($J792),INDIRECT("P"&amp;($J792+4)),"")</f>
        <v/>
      </c>
      <c r="F792" s="300" t="str">
        <f aca="true">IF(ISNUMBER($J792),INDIRECT("Q"&amp;($J792+4)),"")</f>
        <v/>
      </c>
      <c r="G792" s="298" t="str">
        <f aca="true">IF(ISNUMBER($J792),INDIRECT("R"&amp;($J792+4)),"")</f>
        <v/>
      </c>
      <c r="H792" s="298" t="str">
        <f aca="true">IF(ISNUMBER($J792),INDIRECT("S"&amp;($J792+4)),"")</f>
        <v/>
      </c>
      <c r="J792" s="292" t="str">
        <f aca="true">IF(788&lt;=$K$1,MATCH(787.5,INDIRECT("$K$4:$K$1374"),1),"")</f>
        <v/>
      </c>
      <c r="K792" s="292" t="n">
        <f aca="false">$K$772+COUNTIF($Q$773:Q792,"&gt;0")</f>
        <v>0</v>
      </c>
      <c r="L792" s="292" t="str">
        <f aca="false">"Защитные стёкла"</f>
        <v>Защитные стёкла</v>
      </c>
      <c r="M792" s="292" t="str">
        <f aca="false">IF(ISBLANK('Защитные стёкла'!$A$24),"",'Защитные стёкла'!$A$24)</f>
        <v>Diamond armor полноэкранное закаленное стекло с защитой конфиденциальности набор iP17 Air (10шт)(BF7)</v>
      </c>
      <c r="N792" s="292" t="str">
        <f aca="false">IF(ISBLANK('Защитные стёкла'!$D$24),"",'Защитные стёкла'!$D$24)</f>
        <v>6941991125249</v>
      </c>
      <c r="O792" s="292" t="str">
        <f aca="false">IF(ISBLANK('Защитные стёкла'!$E$24),"",'Защитные стёкла'!$E$24)</f>
        <v>чёрный</v>
      </c>
      <c r="P792" s="292" t="str">
        <f aca="false">"ед."</f>
        <v>ед.</v>
      </c>
      <c r="Q792" s="292" t="n">
        <f aca="false">N('Защитные стёкла'!$G$24)</f>
        <v>0</v>
      </c>
      <c r="R792" s="299" t="n">
        <f aca="false">IF(ISBLANK('Защитные стёкла'!$F$24),"",'Защитные стёкла'!$F$24)</f>
        <v>652.38</v>
      </c>
      <c r="S792" s="292" t="str">
        <f aca="false">IF(ISBLANK('Защитные стёкла'!$H$24),"",'Защитные стёкла'!$H$24)</f>
        <v/>
      </c>
    </row>
    <row r="793" customFormat="false" ht="66" hidden="false" customHeight="true" outlineLevel="0" collapsed="false">
      <c r="A793" s="291" t="str">
        <f aca="true">IF(ISNUMBER($J793),INDIRECT("L"&amp;($J793+4)),"")</f>
        <v/>
      </c>
      <c r="B793" s="291" t="str">
        <f aca="true">IF(ISNUMBER($J793),INDIRECT("M"&amp;($J793+4)),"")</f>
        <v/>
      </c>
      <c r="C793" s="296" t="str">
        <f aca="true">IF(ISNUMBER($J793),INDIRECT("N"&amp;($J793+4)),"")</f>
        <v/>
      </c>
      <c r="D793" s="291" t="str">
        <f aca="true">IF(ISNUMBER($J793),INDIRECT("O"&amp;($J793+4)),"")</f>
        <v/>
      </c>
      <c r="E793" s="291" t="str">
        <f aca="true">IF(ISNUMBER($J793),INDIRECT("P"&amp;($J793+4)),"")</f>
        <v/>
      </c>
      <c r="F793" s="300" t="str">
        <f aca="true">IF(ISNUMBER($J793),INDIRECT("Q"&amp;($J793+4)),"")</f>
        <v/>
      </c>
      <c r="G793" s="298" t="str">
        <f aca="true">IF(ISNUMBER($J793),INDIRECT("R"&amp;($J793+4)),"")</f>
        <v/>
      </c>
      <c r="H793" s="298" t="str">
        <f aca="true">IF(ISNUMBER($J793),INDIRECT("S"&amp;($J793+4)),"")</f>
        <v/>
      </c>
      <c r="J793" s="292" t="str">
        <f aca="true">IF(789&lt;=$K$1,MATCH(788.5,INDIRECT("$K$4:$K$1374"),1),"")</f>
        <v/>
      </c>
      <c r="K793" s="292" t="n">
        <f aca="false">$K$772+COUNTIF($Q$773:Q793,"&gt;0")</f>
        <v>0</v>
      </c>
      <c r="L793" s="292" t="str">
        <f aca="false">"Защитные стёкла"</f>
        <v>Защитные стёкла</v>
      </c>
      <c r="M793" s="292" t="str">
        <f aca="false">IF(ISBLANK('Защитные стёкла'!$A$25),"",'Защитные стёкла'!$A$25)</f>
        <v>Diamond armor полноэкранное HD закаленное стекло набор для  iP17/16 Pro(10шт)(BF6)</v>
      </c>
      <c r="N793" s="292" t="str">
        <f aca="false">IF(ISBLANK('Защитные стёкла'!$D$25),"",'Защитные стёкла'!$D$25)</f>
        <v>6941991116575</v>
      </c>
      <c r="O793" s="292" t="str">
        <f aca="false">IF(ISBLANK('Защитные стёкла'!$E$25),"",'Защитные стёкла'!$E$25)</f>
        <v>черный</v>
      </c>
      <c r="P793" s="292" t="str">
        <f aca="false">"ед."</f>
        <v>ед.</v>
      </c>
      <c r="Q793" s="292" t="n">
        <f aca="false">N('Защитные стёкла'!$G$25)</f>
        <v>0</v>
      </c>
      <c r="R793" s="299" t="n">
        <f aca="false">IF(ISBLANK('Защитные стёкла'!$F$25),"",'Защитные стёкла'!$F$25)</f>
        <v>432.2</v>
      </c>
      <c r="S793" s="292" t="str">
        <f aca="false">IF(ISBLANK('Защитные стёкла'!$H$25),"",'Защитные стёкла'!$H$25)</f>
        <v/>
      </c>
    </row>
    <row r="794" customFormat="false" ht="66" hidden="false" customHeight="true" outlineLevel="0" collapsed="false">
      <c r="A794" s="291" t="str">
        <f aca="true">IF(ISNUMBER($J794),INDIRECT("L"&amp;($J794+4)),"")</f>
        <v/>
      </c>
      <c r="B794" s="291" t="str">
        <f aca="true">IF(ISNUMBER($J794),INDIRECT("M"&amp;($J794+4)),"")</f>
        <v/>
      </c>
      <c r="C794" s="296" t="str">
        <f aca="true">IF(ISNUMBER($J794),INDIRECT("N"&amp;($J794+4)),"")</f>
        <v/>
      </c>
      <c r="D794" s="291" t="str">
        <f aca="true">IF(ISNUMBER($J794),INDIRECT("O"&amp;($J794+4)),"")</f>
        <v/>
      </c>
      <c r="E794" s="291" t="str">
        <f aca="true">IF(ISNUMBER($J794),INDIRECT("P"&amp;($J794+4)),"")</f>
        <v/>
      </c>
      <c r="F794" s="300" t="str">
        <f aca="true">IF(ISNUMBER($J794),INDIRECT("Q"&amp;($J794+4)),"")</f>
        <v/>
      </c>
      <c r="G794" s="298" t="str">
        <f aca="true">IF(ISNUMBER($J794),INDIRECT("R"&amp;($J794+4)),"")</f>
        <v/>
      </c>
      <c r="H794" s="298" t="str">
        <f aca="true">IF(ISNUMBER($J794),INDIRECT("S"&amp;($J794+4)),"")</f>
        <v/>
      </c>
      <c r="J794" s="292" t="str">
        <f aca="true">IF(790&lt;=$K$1,MATCH(789.5,INDIRECT("$K$4:$K$1374"),1),"")</f>
        <v/>
      </c>
      <c r="K794" s="292" t="n">
        <f aca="false">$K$772+COUNTIF($Q$773:Q794,"&gt;0")</f>
        <v>0</v>
      </c>
      <c r="L794" s="292" t="str">
        <f aca="false">"Защитные стёкла"</f>
        <v>Защитные стёкла</v>
      </c>
      <c r="M794" s="292" t="str">
        <f aca="false">IF(ISBLANK('Защитные стёкла'!$A$26),"",'Защитные стёкла'!$A$26)</f>
        <v>Diamond armorполноэкранное HD закаленное стекло набор iP17 Air (10шт)(BF6)</v>
      </c>
      <c r="N794" s="292" t="str">
        <f aca="false">IF(ISBLANK('Защитные стёкла'!$D$26),"",'Защитные стёкла'!$D$26)</f>
        <v>6941991125188</v>
      </c>
      <c r="O794" s="292" t="str">
        <f aca="false">IF(ISBLANK('Защитные стёкла'!$E$26),"",'Защитные стёкла'!$E$26)</f>
        <v>чёрный</v>
      </c>
      <c r="P794" s="292" t="str">
        <f aca="false">"ед."</f>
        <v>ед.</v>
      </c>
      <c r="Q794" s="292" t="n">
        <f aca="false">N('Защитные стёкла'!$G$26)</f>
        <v>0</v>
      </c>
      <c r="R794" s="299" t="n">
        <f aca="false">IF(ISBLANK('Защитные стёкла'!$F$26),"",'Защитные стёкла'!$F$26)</f>
        <v>432.2</v>
      </c>
      <c r="S794" s="292" t="str">
        <f aca="false">IF(ISBLANK('Защитные стёкла'!$H$26),"",'Защитные стёкла'!$H$26)</f>
        <v/>
      </c>
    </row>
    <row r="795" customFormat="false" ht="66" hidden="false" customHeight="true" outlineLevel="0" collapsed="false">
      <c r="A795" s="291" t="str">
        <f aca="true">IF(ISNUMBER($J795),INDIRECT("L"&amp;($J795+4)),"")</f>
        <v/>
      </c>
      <c r="B795" s="291" t="str">
        <f aca="true">IF(ISNUMBER($J795),INDIRECT("M"&amp;($J795+4)),"")</f>
        <v/>
      </c>
      <c r="C795" s="296" t="str">
        <f aca="true">IF(ISNUMBER($J795),INDIRECT("N"&amp;($J795+4)),"")</f>
        <v/>
      </c>
      <c r="D795" s="291" t="str">
        <f aca="true">IF(ISNUMBER($J795),INDIRECT("O"&amp;($J795+4)),"")</f>
        <v/>
      </c>
      <c r="E795" s="291" t="str">
        <f aca="true">IF(ISNUMBER($J795),INDIRECT("P"&amp;($J795+4)),"")</f>
        <v/>
      </c>
      <c r="F795" s="300" t="str">
        <f aca="true">IF(ISNUMBER($J795),INDIRECT("Q"&amp;($J795+4)),"")</f>
        <v/>
      </c>
      <c r="G795" s="298" t="str">
        <f aca="true">IF(ISNUMBER($J795),INDIRECT("R"&amp;($J795+4)),"")</f>
        <v/>
      </c>
      <c r="H795" s="298" t="str">
        <f aca="true">IF(ISNUMBER($J795),INDIRECT("S"&amp;($J795+4)),"")</f>
        <v/>
      </c>
      <c r="J795" s="292" t="str">
        <f aca="true">IF(791&lt;=$K$1,MATCH(790.5,INDIRECT("$K$4:$K$1374"),1),"")</f>
        <v/>
      </c>
      <c r="K795" s="292" t="n">
        <f aca="false">$K$772+COUNTIF($Q$773:Q795,"&gt;0")</f>
        <v>0</v>
      </c>
      <c r="L795" s="292" t="str">
        <f aca="false">"Защитные стёкла"</f>
        <v>Защитные стёкла</v>
      </c>
      <c r="M795" s="292" t="str">
        <f aca="false">IF(ISBLANK('Защитные стёкла'!$A$27),"",'Защитные стёкла'!$A$27)</f>
        <v>Diamond armorполноэкранное HD закаленное стекло набор iP17 Pro (10шт)(BF6)</v>
      </c>
      <c r="N795" s="292" t="str">
        <f aca="false">IF(ISBLANK('Защитные стёкла'!$D$27),"",'Защитные стёкла'!$D$27)</f>
        <v>6941991125195</v>
      </c>
      <c r="O795" s="292" t="str">
        <f aca="false">IF(ISBLANK('Защитные стёкла'!$E$27),"",'Защитные стёкла'!$E$27)</f>
        <v>чёрный</v>
      </c>
      <c r="P795" s="292" t="str">
        <f aca="false">"ед."</f>
        <v>ед.</v>
      </c>
      <c r="Q795" s="292" t="n">
        <f aca="false">N('Защитные стёкла'!$G$27)</f>
        <v>0</v>
      </c>
      <c r="R795" s="299" t="n">
        <f aca="false">IF(ISBLANK('Защитные стёкла'!$F$27),"",'Защитные стёкла'!$F$27)</f>
        <v>432.2</v>
      </c>
      <c r="S795" s="292" t="str">
        <f aca="false">IF(ISBLANK('Защитные стёкла'!$H$27),"",'Защитные стёкла'!$H$27)</f>
        <v/>
      </c>
    </row>
    <row r="796" customFormat="false" ht="66" hidden="false" customHeight="true" outlineLevel="0" collapsed="false">
      <c r="A796" s="291" t="str">
        <f aca="true">IF(ISNUMBER($J796),INDIRECT("L"&amp;($J796+4)),"")</f>
        <v/>
      </c>
      <c r="B796" s="291" t="str">
        <f aca="true">IF(ISNUMBER($J796),INDIRECT("M"&amp;($J796+4)),"")</f>
        <v/>
      </c>
      <c r="C796" s="296" t="str">
        <f aca="true">IF(ISNUMBER($J796),INDIRECT("N"&amp;($J796+4)),"")</f>
        <v/>
      </c>
      <c r="D796" s="291" t="str">
        <f aca="true">IF(ISNUMBER($J796),INDIRECT("O"&amp;($J796+4)),"")</f>
        <v/>
      </c>
      <c r="E796" s="291" t="str">
        <f aca="true">IF(ISNUMBER($J796),INDIRECT("P"&amp;($J796+4)),"")</f>
        <v/>
      </c>
      <c r="F796" s="300" t="str">
        <f aca="true">IF(ISNUMBER($J796),INDIRECT("Q"&amp;($J796+4)),"")</f>
        <v/>
      </c>
      <c r="G796" s="298" t="str">
        <f aca="true">IF(ISNUMBER($J796),INDIRECT("R"&amp;($J796+4)),"")</f>
        <v/>
      </c>
      <c r="H796" s="298" t="str">
        <f aca="true">IF(ISNUMBER($J796),INDIRECT("S"&amp;($J796+4)),"")</f>
        <v/>
      </c>
      <c r="J796" s="292" t="str">
        <f aca="true">IF(792&lt;=$K$1,MATCH(791.5,INDIRECT("$K$4:$K$1374"),1),"")</f>
        <v/>
      </c>
      <c r="K796" s="292" t="n">
        <f aca="false">$K$772+COUNTIF($Q$773:Q796,"&gt;0")</f>
        <v>0</v>
      </c>
      <c r="L796" s="292" t="str">
        <f aca="false">"Защитные стёкла"</f>
        <v>Защитные стёкла</v>
      </c>
      <c r="M796" s="292" t="str">
        <f aca="false">IF(ISBLANK('Защитные стёкла'!$A$28),"",'Защитные стёкла'!$A$28)</f>
        <v>Diamond armorполноэкранное HD закаленное стекло набор iP17 Pro Max (10шт)(BF6)</v>
      </c>
      <c r="N796" s="292" t="str">
        <f aca="false">IF(ISBLANK('Защитные стёкла'!$D$28),"",'Защитные стёкла'!$D$28)</f>
        <v>6941991125201</v>
      </c>
      <c r="O796" s="292" t="str">
        <f aca="false">IF(ISBLANK('Защитные стёкла'!$E$28),"",'Защитные стёкла'!$E$28)</f>
        <v>чёрный</v>
      </c>
      <c r="P796" s="292" t="str">
        <f aca="false">"ед."</f>
        <v>ед.</v>
      </c>
      <c r="Q796" s="292" t="n">
        <f aca="false">N('Защитные стёкла'!$G$28)</f>
        <v>0</v>
      </c>
      <c r="R796" s="299" t="n">
        <f aca="false">IF(ISBLANK('Защитные стёкла'!$F$28),"",'Защитные стёкла'!$F$28)</f>
        <v>432.2</v>
      </c>
      <c r="S796" s="292" t="str">
        <f aca="false">IF(ISBLANK('Защитные стёкла'!$H$28),"",'Защитные стёкла'!$H$28)</f>
        <v/>
      </c>
    </row>
    <row r="797" customFormat="false" ht="66" hidden="false" customHeight="true" outlineLevel="0" collapsed="false">
      <c r="A797" s="291" t="str">
        <f aca="true">IF(ISNUMBER($J797),INDIRECT("L"&amp;($J797+4)),"")</f>
        <v/>
      </c>
      <c r="B797" s="291" t="str">
        <f aca="true">IF(ISNUMBER($J797),INDIRECT("M"&amp;($J797+4)),"")</f>
        <v/>
      </c>
      <c r="C797" s="296" t="str">
        <f aca="true">IF(ISNUMBER($J797),INDIRECT("N"&amp;($J797+4)),"")</f>
        <v/>
      </c>
      <c r="D797" s="291" t="str">
        <f aca="true">IF(ISNUMBER($J797),INDIRECT("O"&amp;($J797+4)),"")</f>
        <v/>
      </c>
      <c r="E797" s="291" t="str">
        <f aca="true">IF(ISNUMBER($J797),INDIRECT("P"&amp;($J797+4)),"")</f>
        <v/>
      </c>
      <c r="F797" s="300" t="str">
        <f aca="true">IF(ISNUMBER($J797),INDIRECT("Q"&amp;($J797+4)),"")</f>
        <v/>
      </c>
      <c r="G797" s="298" t="str">
        <f aca="true">IF(ISNUMBER($J797),INDIRECT("R"&amp;($J797+4)),"")</f>
        <v/>
      </c>
      <c r="H797" s="298" t="str">
        <f aca="true">IF(ISNUMBER($J797),INDIRECT("S"&amp;($J797+4)),"")</f>
        <v/>
      </c>
      <c r="J797" s="292" t="str">
        <f aca="true">IF(793&lt;=$K$1,MATCH(792.5,INDIRECT("$K$4:$K$1374"),1),"")</f>
        <v/>
      </c>
      <c r="K797" s="292" t="n">
        <f aca="false">$K$772+COUNTIF($Q$773:Q797,"&gt;0")</f>
        <v>0</v>
      </c>
      <c r="L797" s="292" t="str">
        <f aca="false">"Защитные стёкла"</f>
        <v>Защитные стёкла</v>
      </c>
      <c r="M797" s="292" t="str">
        <f aca="false">IF(ISBLANK('Защитные стёкла'!$A$30),"",'Защитные стёкла'!$A$30)</f>
        <v>Armor Shield series полноэкранное закаленное стекло с защитой от подглядывания  iP16/15(BF12)</v>
      </c>
      <c r="N797" s="292" t="str">
        <f aca="false">IF(ISBLANK('Защитные стёкла'!$D$30),"",'Защитные стёкла'!$D$30)</f>
        <v>6941991131455</v>
      </c>
      <c r="O797" s="292" t="str">
        <f aca="false">IF(ISBLANK('Защитные стёкла'!$E$30),"",'Защитные стёкла'!$E$30)</f>
        <v>чёрный</v>
      </c>
      <c r="P797" s="292" t="str">
        <f aca="false">"ед."</f>
        <v>ед.</v>
      </c>
      <c r="Q797" s="292" t="n">
        <f aca="false">N('Защитные стёкла'!$G$30)</f>
        <v>0</v>
      </c>
      <c r="R797" s="299" t="n">
        <f aca="false">IF(ISBLANK('Защитные стёкла'!$F$30),"",'Защитные стёкла'!$F$30)</f>
        <v>138.63</v>
      </c>
      <c r="S797" s="292" t="str">
        <f aca="false">IF(ISBLANK('Защитные стёкла'!$H$30),"",'Защитные стёкла'!$H$30)</f>
        <v/>
      </c>
    </row>
    <row r="798" customFormat="false" ht="66" hidden="false" customHeight="true" outlineLevel="0" collapsed="false">
      <c r="A798" s="291" t="str">
        <f aca="true">IF(ISNUMBER($J798),INDIRECT("L"&amp;($J798+4)),"")</f>
        <v/>
      </c>
      <c r="B798" s="291" t="str">
        <f aca="true">IF(ISNUMBER($J798),INDIRECT("M"&amp;($J798+4)),"")</f>
        <v/>
      </c>
      <c r="C798" s="296" t="str">
        <f aca="true">IF(ISNUMBER($J798),INDIRECT("N"&amp;($J798+4)),"")</f>
        <v/>
      </c>
      <c r="D798" s="291" t="str">
        <f aca="true">IF(ISNUMBER($J798),INDIRECT("O"&amp;($J798+4)),"")</f>
        <v/>
      </c>
      <c r="E798" s="291" t="str">
        <f aca="true">IF(ISNUMBER($J798),INDIRECT("P"&amp;($J798+4)),"")</f>
        <v/>
      </c>
      <c r="F798" s="300" t="str">
        <f aca="true">IF(ISNUMBER($J798),INDIRECT("Q"&amp;($J798+4)),"")</f>
        <v/>
      </c>
      <c r="G798" s="298" t="str">
        <f aca="true">IF(ISNUMBER($J798),INDIRECT("R"&amp;($J798+4)),"")</f>
        <v/>
      </c>
      <c r="H798" s="298" t="str">
        <f aca="true">IF(ISNUMBER($J798),INDIRECT("S"&amp;($J798+4)),"")</f>
        <v/>
      </c>
      <c r="J798" s="292" t="str">
        <f aca="true">IF(794&lt;=$K$1,MATCH(793.5,INDIRECT("$K$4:$K$1374"),1),"")</f>
        <v/>
      </c>
      <c r="K798" s="292" t="n">
        <f aca="false">$K$772+COUNTIF($Q$773:Q798,"&gt;0")</f>
        <v>0</v>
      </c>
      <c r="L798" s="292" t="str">
        <f aca="false">"Защитные стёкла"</f>
        <v>Защитные стёкла</v>
      </c>
      <c r="M798" s="292" t="str">
        <f aca="false">IF(ISBLANK('Защитные стёкла'!$A$31),"",'Защитные стёкла'!$A$31)</f>
        <v>Armor Shield series полноэкранное закаленное стекло с защитой от подглядывания  iP16 Plus/15 Plus(BF12)</v>
      </c>
      <c r="N798" s="292" t="str">
        <f aca="false">IF(ISBLANK('Защитные стёкла'!$D$31),"",'Защитные стёкла'!$D$31)</f>
        <v>6941991131462</v>
      </c>
      <c r="O798" s="292" t="str">
        <f aca="false">IF(ISBLANK('Защитные стёкла'!$E$31),"",'Защитные стёкла'!$E$31)</f>
        <v>чёрный</v>
      </c>
      <c r="P798" s="292" t="str">
        <f aca="false">"ед."</f>
        <v>ед.</v>
      </c>
      <c r="Q798" s="292" t="n">
        <f aca="false">N('Защитные стёкла'!$G$31)</f>
        <v>0</v>
      </c>
      <c r="R798" s="299" t="n">
        <f aca="false">IF(ISBLANK('Защитные стёкла'!$F$31),"",'Защитные стёкла'!$F$31)</f>
        <v>138.63</v>
      </c>
      <c r="S798" s="292" t="str">
        <f aca="false">IF(ISBLANK('Защитные стёкла'!$H$31),"",'Защитные стёкла'!$H$31)</f>
        <v/>
      </c>
    </row>
    <row r="799" customFormat="false" ht="66" hidden="false" customHeight="true" outlineLevel="0" collapsed="false">
      <c r="A799" s="291" t="str">
        <f aca="true">IF(ISNUMBER($J799),INDIRECT("L"&amp;($J799+4)),"")</f>
        <v/>
      </c>
      <c r="B799" s="291" t="str">
        <f aca="true">IF(ISNUMBER($J799),INDIRECT("M"&amp;($J799+4)),"")</f>
        <v/>
      </c>
      <c r="C799" s="296" t="str">
        <f aca="true">IF(ISNUMBER($J799),INDIRECT("N"&amp;($J799+4)),"")</f>
        <v/>
      </c>
      <c r="D799" s="291" t="str">
        <f aca="true">IF(ISNUMBER($J799),INDIRECT("O"&amp;($J799+4)),"")</f>
        <v/>
      </c>
      <c r="E799" s="291" t="str">
        <f aca="true">IF(ISNUMBER($J799),INDIRECT("P"&amp;($J799+4)),"")</f>
        <v/>
      </c>
      <c r="F799" s="300" t="str">
        <f aca="true">IF(ISNUMBER($J799),INDIRECT("Q"&amp;($J799+4)),"")</f>
        <v/>
      </c>
      <c r="G799" s="298" t="str">
        <f aca="true">IF(ISNUMBER($J799),INDIRECT("R"&amp;($J799+4)),"")</f>
        <v/>
      </c>
      <c r="H799" s="298" t="str">
        <f aca="true">IF(ISNUMBER($J799),INDIRECT("S"&amp;($J799+4)),"")</f>
        <v/>
      </c>
      <c r="J799" s="292" t="str">
        <f aca="true">IF(795&lt;=$K$1,MATCH(794.5,INDIRECT("$K$4:$K$1374"),1),"")</f>
        <v/>
      </c>
      <c r="K799" s="292" t="n">
        <f aca="false">$K$772+COUNTIF($Q$773:Q799,"&gt;0")</f>
        <v>0</v>
      </c>
      <c r="L799" s="292" t="str">
        <f aca="false">"Защитные стёкла"</f>
        <v>Защитные стёкла</v>
      </c>
      <c r="M799" s="292" t="str">
        <f aca="false">IF(ISBLANK('Защитные стёкла'!$A$32),"",'Защитные стёкла'!$A$32)</f>
        <v>Armor Shield series полноэкранное закаленное стекло с защитой от подглядывания  iP16 Pro Max(BF12)</v>
      </c>
      <c r="N799" s="292" t="str">
        <f aca="false">IF(ISBLANK('Защитные стёкла'!$D$32),"",'Защитные стёкла'!$D$32)</f>
        <v>6941991131509</v>
      </c>
      <c r="O799" s="292" t="str">
        <f aca="false">IF(ISBLANK('Защитные стёкла'!$E$32),"",'Защитные стёкла'!$E$32)</f>
        <v>чёрный</v>
      </c>
      <c r="P799" s="292" t="str">
        <f aca="false">"ед."</f>
        <v>ед.</v>
      </c>
      <c r="Q799" s="292" t="n">
        <f aca="false">N('Защитные стёкла'!$G$32)</f>
        <v>0</v>
      </c>
      <c r="R799" s="299" t="n">
        <f aca="false">IF(ISBLANK('Защитные стёкла'!$F$32),"",'Защитные стёкла'!$F$32)</f>
        <v>138.63</v>
      </c>
      <c r="S799" s="292" t="str">
        <f aca="false">IF(ISBLANK('Защитные стёкла'!$H$32),"",'Защитные стёкла'!$H$32)</f>
        <v/>
      </c>
    </row>
    <row r="800" customFormat="false" ht="66" hidden="false" customHeight="true" outlineLevel="0" collapsed="false">
      <c r="A800" s="291" t="str">
        <f aca="true">IF(ISNUMBER($J800),INDIRECT("L"&amp;($J800+4)),"")</f>
        <v/>
      </c>
      <c r="B800" s="291" t="str">
        <f aca="true">IF(ISNUMBER($J800),INDIRECT("M"&amp;($J800+4)),"")</f>
        <v/>
      </c>
      <c r="C800" s="296" t="str">
        <f aca="true">IF(ISNUMBER($J800),INDIRECT("N"&amp;($J800+4)),"")</f>
        <v/>
      </c>
      <c r="D800" s="291" t="str">
        <f aca="true">IF(ISNUMBER($J800),INDIRECT("O"&amp;($J800+4)),"")</f>
        <v/>
      </c>
      <c r="E800" s="291" t="str">
        <f aca="true">IF(ISNUMBER($J800),INDIRECT("P"&amp;($J800+4)),"")</f>
        <v/>
      </c>
      <c r="F800" s="300" t="str">
        <f aca="true">IF(ISNUMBER($J800),INDIRECT("Q"&amp;($J800+4)),"")</f>
        <v/>
      </c>
      <c r="G800" s="298" t="str">
        <f aca="true">IF(ISNUMBER($J800),INDIRECT("R"&amp;($J800+4)),"")</f>
        <v/>
      </c>
      <c r="H800" s="298" t="str">
        <f aca="true">IF(ISNUMBER($J800),INDIRECT("S"&amp;($J800+4)),"")</f>
        <v/>
      </c>
      <c r="J800" s="292" t="str">
        <f aca="true">IF(796&lt;=$K$1,MATCH(795.5,INDIRECT("$K$4:$K$1374"),1),"")</f>
        <v/>
      </c>
      <c r="K800" s="292" t="n">
        <f aca="false">$K$772+COUNTIF($Q$773:Q800,"&gt;0")</f>
        <v>0</v>
      </c>
      <c r="L800" s="292" t="str">
        <f aca="false">"Защитные стёкла"</f>
        <v>Защитные стёкла</v>
      </c>
      <c r="M800" s="292" t="str">
        <f aca="false">IF(ISBLANK('Защитные стёкла'!$A$33),"",'Защитные стёкла'!$A$33)</f>
        <v>Armor Shield series полноэкранное HD закаленное стекло iP16/15(BF11)</v>
      </c>
      <c r="N800" s="292" t="str">
        <f aca="false">IF(ISBLANK('Защитные стёкла'!$D$33),"",'Защитные стёкла'!$D$33)</f>
        <v>6941991131356</v>
      </c>
      <c r="O800" s="292" t="str">
        <f aca="false">IF(ISBLANK('Защитные стёкла'!$E$33),"",'Защитные стёкла'!$E$33)</f>
        <v>чёрный</v>
      </c>
      <c r="P800" s="292" t="str">
        <f aca="false">"ед."</f>
        <v>ед.</v>
      </c>
      <c r="Q800" s="292" t="n">
        <f aca="false">N('Защитные стёкла'!$G$33)</f>
        <v>0</v>
      </c>
      <c r="R800" s="299" t="n">
        <f aca="false">IF(ISBLANK('Защитные стёкла'!$F$33),"",'Защитные стёкла'!$F$33)</f>
        <v>114.17</v>
      </c>
      <c r="S800" s="292" t="str">
        <f aca="false">IF(ISBLANK('Защитные стёкла'!$H$33),"",'Защитные стёкла'!$H$33)</f>
        <v/>
      </c>
    </row>
    <row r="801" customFormat="false" ht="66" hidden="false" customHeight="true" outlineLevel="0" collapsed="false">
      <c r="A801" s="291" t="str">
        <f aca="true">IF(ISNUMBER($J801),INDIRECT("L"&amp;($J801+4)),"")</f>
        <v/>
      </c>
      <c r="B801" s="291" t="str">
        <f aca="true">IF(ISNUMBER($J801),INDIRECT("M"&amp;($J801+4)),"")</f>
        <v/>
      </c>
      <c r="C801" s="296" t="str">
        <f aca="true">IF(ISNUMBER($J801),INDIRECT("N"&amp;($J801+4)),"")</f>
        <v/>
      </c>
      <c r="D801" s="291" t="str">
        <f aca="true">IF(ISNUMBER($J801),INDIRECT("O"&amp;($J801+4)),"")</f>
        <v/>
      </c>
      <c r="E801" s="291" t="str">
        <f aca="true">IF(ISNUMBER($J801),INDIRECT("P"&amp;($J801+4)),"")</f>
        <v/>
      </c>
      <c r="F801" s="300" t="str">
        <f aca="true">IF(ISNUMBER($J801),INDIRECT("Q"&amp;($J801+4)),"")</f>
        <v/>
      </c>
      <c r="G801" s="298" t="str">
        <f aca="true">IF(ISNUMBER($J801),INDIRECT("R"&amp;($J801+4)),"")</f>
        <v/>
      </c>
      <c r="H801" s="298" t="str">
        <f aca="true">IF(ISNUMBER($J801),INDIRECT("S"&amp;($J801+4)),"")</f>
        <v/>
      </c>
      <c r="J801" s="292" t="str">
        <f aca="true">IF(797&lt;=$K$1,MATCH(796.5,INDIRECT("$K$4:$K$1374"),1),"")</f>
        <v/>
      </c>
      <c r="K801" s="292" t="n">
        <f aca="false">$K$772+COUNTIF($Q$773:Q801,"&gt;0")</f>
        <v>0</v>
      </c>
      <c r="L801" s="292" t="str">
        <f aca="false">"Защитные стёкла"</f>
        <v>Защитные стёкла</v>
      </c>
      <c r="M801" s="292" t="str">
        <f aca="false">IF(ISBLANK('Защитные стёкла'!$A$34),"",'Защитные стёкла'!$A$34)</f>
        <v>Armor Shield series полноэкранное HD закаленное стекло iP16 Plus/15 Plus(BF11)</v>
      </c>
      <c r="N801" s="292" t="str">
        <f aca="false">IF(ISBLANK('Защитные стёкла'!$D$34),"",'Защитные стёкла'!$D$34)</f>
        <v>6941991131363</v>
      </c>
      <c r="O801" s="292" t="str">
        <f aca="false">IF(ISBLANK('Защитные стёкла'!$E$34),"",'Защитные стёкла'!$E$34)</f>
        <v>чёрный</v>
      </c>
      <c r="P801" s="292" t="str">
        <f aca="false">"ед."</f>
        <v>ед.</v>
      </c>
      <c r="Q801" s="292" t="n">
        <f aca="false">N('Защитные стёкла'!$G$34)</f>
        <v>0</v>
      </c>
      <c r="R801" s="299" t="n">
        <f aca="false">IF(ISBLANK('Защитные стёкла'!$F$34),"",'Защитные стёкла'!$F$34)</f>
        <v>114.17</v>
      </c>
      <c r="S801" s="292" t="str">
        <f aca="false">IF(ISBLANK('Защитные стёкла'!$H$34),"",'Защитные стёкла'!$H$34)</f>
        <v/>
      </c>
    </row>
    <row r="802" customFormat="false" ht="66" hidden="false" customHeight="true" outlineLevel="0" collapsed="false">
      <c r="A802" s="291" t="str">
        <f aca="true">IF(ISNUMBER($J802),INDIRECT("L"&amp;($J802+4)),"")</f>
        <v/>
      </c>
      <c r="B802" s="291" t="str">
        <f aca="true">IF(ISNUMBER($J802),INDIRECT("M"&amp;($J802+4)),"")</f>
        <v/>
      </c>
      <c r="C802" s="296" t="str">
        <f aca="true">IF(ISNUMBER($J802),INDIRECT("N"&amp;($J802+4)),"")</f>
        <v/>
      </c>
      <c r="D802" s="291" t="str">
        <f aca="true">IF(ISNUMBER($J802),INDIRECT("O"&amp;($J802+4)),"")</f>
        <v/>
      </c>
      <c r="E802" s="291" t="str">
        <f aca="true">IF(ISNUMBER($J802),INDIRECT("P"&amp;($J802+4)),"")</f>
        <v/>
      </c>
      <c r="F802" s="300" t="str">
        <f aca="true">IF(ISNUMBER($J802),INDIRECT("Q"&amp;($J802+4)),"")</f>
        <v/>
      </c>
      <c r="G802" s="298" t="str">
        <f aca="true">IF(ISNUMBER($J802),INDIRECT("R"&amp;($J802+4)),"")</f>
        <v/>
      </c>
      <c r="H802" s="298" t="str">
        <f aca="true">IF(ISNUMBER($J802),INDIRECT("S"&amp;($J802+4)),"")</f>
        <v/>
      </c>
      <c r="J802" s="292" t="str">
        <f aca="true">IF(798&lt;=$K$1,MATCH(797.5,INDIRECT("$K$4:$K$1374"),1),"")</f>
        <v/>
      </c>
      <c r="K802" s="292" t="n">
        <f aca="false">$K$772+COUNTIF($Q$773:Q802,"&gt;0")</f>
        <v>0</v>
      </c>
      <c r="L802" s="292" t="str">
        <f aca="false">"Защитные стёкла"</f>
        <v>Защитные стёкла</v>
      </c>
      <c r="M802" s="292" t="str">
        <f aca="false">IF(ISBLANK('Защитные стёкла'!$A$35),"",'Защитные стёкла'!$A$35)</f>
        <v>Armor Shield series полноэкранное HD закаленное стекло iP16 Pro Max(BF11)</v>
      </c>
      <c r="N802" s="292" t="str">
        <f aca="false">IF(ISBLANK('Защитные стёкла'!$D$35),"",'Защитные стёкла'!$D$35)</f>
        <v>6941991131400</v>
      </c>
      <c r="O802" s="292" t="str">
        <f aca="false">IF(ISBLANK('Защитные стёкла'!$E$35),"",'Защитные стёкла'!$E$35)</f>
        <v>чёрный</v>
      </c>
      <c r="P802" s="292" t="str">
        <f aca="false">"ед."</f>
        <v>ед.</v>
      </c>
      <c r="Q802" s="292" t="n">
        <f aca="false">N('Защитные стёкла'!$G$35)</f>
        <v>0</v>
      </c>
      <c r="R802" s="299" t="n">
        <f aca="false">IF(ISBLANK('Защитные стёкла'!$F$35),"",'Защитные стёкла'!$F$35)</f>
        <v>114.17</v>
      </c>
      <c r="S802" s="292" t="str">
        <f aca="false">IF(ISBLANK('Защитные стёкла'!$H$35),"",'Защитные стёкла'!$H$35)</f>
        <v/>
      </c>
    </row>
    <row r="803" customFormat="false" ht="66" hidden="false" customHeight="true" outlineLevel="0" collapsed="false">
      <c r="A803" s="291" t="str">
        <f aca="true">IF(ISNUMBER($J803),INDIRECT("L"&amp;($J803+4)),"")</f>
        <v/>
      </c>
      <c r="B803" s="291" t="str">
        <f aca="true">IF(ISNUMBER($J803),INDIRECT("M"&amp;($J803+4)),"")</f>
        <v/>
      </c>
      <c r="C803" s="296" t="str">
        <f aca="true">IF(ISNUMBER($J803),INDIRECT("N"&amp;($J803+4)),"")</f>
        <v/>
      </c>
      <c r="D803" s="291" t="str">
        <f aca="true">IF(ISNUMBER($J803),INDIRECT("O"&amp;($J803+4)),"")</f>
        <v/>
      </c>
      <c r="E803" s="291" t="str">
        <f aca="true">IF(ISNUMBER($J803),INDIRECT("P"&amp;($J803+4)),"")</f>
        <v/>
      </c>
      <c r="F803" s="300" t="str">
        <f aca="true">IF(ISNUMBER($J803),INDIRECT("Q"&amp;($J803+4)),"")</f>
        <v/>
      </c>
      <c r="G803" s="298" t="str">
        <f aca="true">IF(ISNUMBER($J803),INDIRECT("R"&amp;($J803+4)),"")</f>
        <v/>
      </c>
      <c r="H803" s="298" t="str">
        <f aca="true">IF(ISNUMBER($J803),INDIRECT("S"&amp;($J803+4)),"")</f>
        <v/>
      </c>
      <c r="J803" s="292" t="str">
        <f aca="true">IF(799&lt;=$K$1,MATCH(798.5,INDIRECT("$K$4:$K$1374"),1),"")</f>
        <v/>
      </c>
      <c r="K803" s="292" t="n">
        <f aca="false">$K$772+COUNTIF($Q$773:Q803,"&gt;0")</f>
        <v>0</v>
      </c>
      <c r="L803" s="292" t="str">
        <f aca="false">"Защитные стёкла"</f>
        <v>Защитные стёкла</v>
      </c>
      <c r="M803" s="292" t="str">
        <f aca="false">IF(ISBLANK('Защитные стёкла'!$A$36),"",'Защитные стёкла'!$A$36)</f>
        <v>Armor полноэкранное закаленное стекло с защитой от подглядывания   iP16/15(10PCS)(BF10)</v>
      </c>
      <c r="N803" s="292" t="str">
        <f aca="false">IF(ISBLANK('Защитные стёкла'!$D$36),"",'Защитные стёкла'!$D$36)</f>
        <v>6941991131233</v>
      </c>
      <c r="O803" s="292" t="str">
        <f aca="false">IF(ISBLANK('Защитные стёкла'!$E$36),"",'Защитные стёкла'!$E$36)</f>
        <v>чёрный</v>
      </c>
      <c r="P803" s="292" t="str">
        <f aca="false">"ед."</f>
        <v>ед.</v>
      </c>
      <c r="Q803" s="292" t="n">
        <f aca="false">N('Защитные стёкла'!$G$36)</f>
        <v>0</v>
      </c>
      <c r="R803" s="299" t="n">
        <f aca="false">IF(ISBLANK('Защитные стёкла'!$F$36),"",'Защитные стёкла'!$F$36)</f>
        <v>546.37</v>
      </c>
      <c r="S803" s="292" t="str">
        <f aca="false">IF(ISBLANK('Защитные стёкла'!$H$36),"",'Защитные стёкла'!$H$36)</f>
        <v/>
      </c>
    </row>
    <row r="804" customFormat="false" ht="66" hidden="false" customHeight="true" outlineLevel="0" collapsed="false">
      <c r="A804" s="291" t="str">
        <f aca="true">IF(ISNUMBER($J804),INDIRECT("L"&amp;($J804+4)),"")</f>
        <v/>
      </c>
      <c r="B804" s="291" t="str">
        <f aca="true">IF(ISNUMBER($J804),INDIRECT("M"&amp;($J804+4)),"")</f>
        <v/>
      </c>
      <c r="C804" s="296" t="str">
        <f aca="true">IF(ISNUMBER($J804),INDIRECT("N"&amp;($J804+4)),"")</f>
        <v/>
      </c>
      <c r="D804" s="291" t="str">
        <f aca="true">IF(ISNUMBER($J804),INDIRECT("O"&amp;($J804+4)),"")</f>
        <v/>
      </c>
      <c r="E804" s="291" t="str">
        <f aca="true">IF(ISNUMBER($J804),INDIRECT("P"&amp;($J804+4)),"")</f>
        <v/>
      </c>
      <c r="F804" s="300" t="str">
        <f aca="true">IF(ISNUMBER($J804),INDIRECT("Q"&amp;($J804+4)),"")</f>
        <v/>
      </c>
      <c r="G804" s="298" t="str">
        <f aca="true">IF(ISNUMBER($J804),INDIRECT("R"&amp;($J804+4)),"")</f>
        <v/>
      </c>
      <c r="H804" s="298" t="str">
        <f aca="true">IF(ISNUMBER($J804),INDIRECT("S"&amp;($J804+4)),"")</f>
        <v/>
      </c>
      <c r="J804" s="292" t="str">
        <f aca="true">IF(800&lt;=$K$1,MATCH(799.5,INDIRECT("$K$4:$K$1374"),1),"")</f>
        <v/>
      </c>
      <c r="K804" s="292" t="n">
        <f aca="false">$K$772+COUNTIF($Q$773:Q804,"&gt;0")</f>
        <v>0</v>
      </c>
      <c r="L804" s="292" t="str">
        <f aca="false">"Защитные стёкла"</f>
        <v>Защитные стёкла</v>
      </c>
      <c r="M804" s="292" t="str">
        <f aca="false">IF(ISBLANK('Защитные стёкла'!$A$37),"",'Защитные стёкла'!$A$37)</f>
        <v>Armor полноэкранное закаленное стекло с защитой от подглядывания   iP16 Plus/15 Plus(10PCS)(BF10)</v>
      </c>
      <c r="N804" s="292" t="str">
        <f aca="false">IF(ISBLANK('Защитные стёкла'!$D$37),"",'Защитные стёкла'!$D$37)</f>
        <v>6941991131240</v>
      </c>
      <c r="O804" s="292" t="str">
        <f aca="false">IF(ISBLANK('Защитные стёкла'!$E$37),"",'Защитные стёкла'!$E$37)</f>
        <v>чёрный</v>
      </c>
      <c r="P804" s="292" t="str">
        <f aca="false">"ед."</f>
        <v>ед.</v>
      </c>
      <c r="Q804" s="292" t="n">
        <f aca="false">N('Защитные стёкла'!$G$37)</f>
        <v>0</v>
      </c>
      <c r="R804" s="299" t="n">
        <f aca="false">IF(ISBLANK('Защитные стёкла'!$F$37),"",'Защитные стёкла'!$F$37)</f>
        <v>546.37</v>
      </c>
      <c r="S804" s="292" t="str">
        <f aca="false">IF(ISBLANK('Защитные стёкла'!$H$37),"",'Защитные стёкла'!$H$37)</f>
        <v/>
      </c>
    </row>
    <row r="805" customFormat="false" ht="66" hidden="false" customHeight="true" outlineLevel="0" collapsed="false">
      <c r="A805" s="291" t="str">
        <f aca="true">IF(ISNUMBER($J805),INDIRECT("L"&amp;($J805+4)),"")</f>
        <v/>
      </c>
      <c r="B805" s="291" t="str">
        <f aca="true">IF(ISNUMBER($J805),INDIRECT("M"&amp;($J805+4)),"")</f>
        <v/>
      </c>
      <c r="C805" s="296" t="str">
        <f aca="true">IF(ISNUMBER($J805),INDIRECT("N"&amp;($J805+4)),"")</f>
        <v/>
      </c>
      <c r="D805" s="291" t="str">
        <f aca="true">IF(ISNUMBER($J805),INDIRECT("O"&amp;($J805+4)),"")</f>
        <v/>
      </c>
      <c r="E805" s="291" t="str">
        <f aca="true">IF(ISNUMBER($J805),INDIRECT("P"&amp;($J805+4)),"")</f>
        <v/>
      </c>
      <c r="F805" s="300" t="str">
        <f aca="true">IF(ISNUMBER($J805),INDIRECT("Q"&amp;($J805+4)),"")</f>
        <v/>
      </c>
      <c r="G805" s="298" t="str">
        <f aca="true">IF(ISNUMBER($J805),INDIRECT("R"&amp;($J805+4)),"")</f>
        <v/>
      </c>
      <c r="H805" s="298" t="str">
        <f aca="true">IF(ISNUMBER($J805),INDIRECT("S"&amp;($J805+4)),"")</f>
        <v/>
      </c>
      <c r="J805" s="292" t="str">
        <f aca="true">IF(801&lt;=$K$1,MATCH(800.5,INDIRECT("$K$4:$K$1374"),1),"")</f>
        <v/>
      </c>
      <c r="K805" s="292" t="n">
        <f aca="false">$K$772+COUNTIF($Q$773:Q805,"&gt;0")</f>
        <v>0</v>
      </c>
      <c r="L805" s="292" t="str">
        <f aca="false">"Защитные стёкла"</f>
        <v>Защитные стёкла</v>
      </c>
      <c r="M805" s="292" t="str">
        <f aca="false">IF(ISBLANK('Защитные стёкла'!$A$38),"",'Защитные стёкла'!$A$38)</f>
        <v>Armor полноэкранное закаленное стекло с защитой от подглядывания   iP16 Pro Max(10PCS)(BF10)</v>
      </c>
      <c r="N805" s="292" t="str">
        <f aca="false">IF(ISBLANK('Защитные стёкла'!$D$38),"",'Защитные стёкла'!$D$38)</f>
        <v>6941991131288</v>
      </c>
      <c r="O805" s="292" t="str">
        <f aca="false">IF(ISBLANK('Защитные стёкла'!$E$38),"",'Защитные стёкла'!$E$38)</f>
        <v>чёрный</v>
      </c>
      <c r="P805" s="292" t="str">
        <f aca="false">"ед."</f>
        <v>ед.</v>
      </c>
      <c r="Q805" s="292" t="n">
        <f aca="false">N('Защитные стёкла'!$G$38)</f>
        <v>0</v>
      </c>
      <c r="R805" s="299" t="n">
        <f aca="false">IF(ISBLANK('Защитные стёкла'!$F$38),"",'Защитные стёкла'!$F$38)</f>
        <v>570.83</v>
      </c>
      <c r="S805" s="292" t="str">
        <f aca="false">IF(ISBLANK('Защитные стёкла'!$H$38),"",'Защитные стёкла'!$H$38)</f>
        <v/>
      </c>
    </row>
    <row r="806" customFormat="false" ht="66" hidden="false" customHeight="true" outlineLevel="0" collapsed="false">
      <c r="A806" s="291" t="str">
        <f aca="true">IF(ISNUMBER($J806),INDIRECT("L"&amp;($J806+4)),"")</f>
        <v/>
      </c>
      <c r="B806" s="291" t="str">
        <f aca="true">IF(ISNUMBER($J806),INDIRECT("M"&amp;($J806+4)),"")</f>
        <v/>
      </c>
      <c r="C806" s="296" t="str">
        <f aca="true">IF(ISNUMBER($J806),INDIRECT("N"&amp;($J806+4)),"")</f>
        <v/>
      </c>
      <c r="D806" s="291" t="str">
        <f aca="true">IF(ISNUMBER($J806),INDIRECT("O"&amp;($J806+4)),"")</f>
        <v/>
      </c>
      <c r="E806" s="291" t="str">
        <f aca="true">IF(ISNUMBER($J806),INDIRECT("P"&amp;($J806+4)),"")</f>
        <v/>
      </c>
      <c r="F806" s="300" t="str">
        <f aca="true">IF(ISNUMBER($J806),INDIRECT("Q"&amp;($J806+4)),"")</f>
        <v/>
      </c>
      <c r="G806" s="298" t="str">
        <f aca="true">IF(ISNUMBER($J806),INDIRECT("R"&amp;($J806+4)),"")</f>
        <v/>
      </c>
      <c r="H806" s="298" t="str">
        <f aca="true">IF(ISNUMBER($J806),INDIRECT("S"&amp;($J806+4)),"")</f>
        <v/>
      </c>
      <c r="J806" s="292" t="str">
        <f aca="true">IF(802&lt;=$K$1,MATCH(801.5,INDIRECT("$K$4:$K$1374"),1),"")</f>
        <v/>
      </c>
      <c r="K806" s="292" t="n">
        <f aca="false">$K$772+COUNTIF($Q$773:Q806,"&gt;0")</f>
        <v>0</v>
      </c>
      <c r="L806" s="292" t="str">
        <f aca="false">"Защитные стёкла"</f>
        <v>Защитные стёкла</v>
      </c>
      <c r="M806" s="292" t="str">
        <f aca="false">IF(ISBLANK('Защитные стёкла'!$A$39),"",'Защитные стёкла'!$A$39)</f>
        <v>Armor полноэкранное HD закаленное стекло набор iP16/15(10PCS)(BF9)</v>
      </c>
      <c r="N806" s="292" t="str">
        <f aca="false">IF(ISBLANK('Защитные стёкла'!$D$39),"",'Защитные стёкла'!$D$39)</f>
        <v>6941991131134</v>
      </c>
      <c r="O806" s="292" t="str">
        <f aca="false">IF(ISBLANK('Защитные стёкла'!$E$39),"",'Защитные стёкла'!$E$39)</f>
        <v>чёрный</v>
      </c>
      <c r="P806" s="292" t="str">
        <f aca="false">"ед."</f>
        <v>ед.</v>
      </c>
      <c r="Q806" s="292" t="n">
        <f aca="false">N('Защитные стёкла'!$G$39)</f>
        <v>0</v>
      </c>
      <c r="R806" s="299" t="n">
        <f aca="false">IF(ISBLANK('Защитные стёкла'!$F$39),"",'Защитные стёкла'!$F$39)</f>
        <v>342.5</v>
      </c>
      <c r="S806" s="292" t="str">
        <f aca="false">IF(ISBLANK('Защитные стёкла'!$H$39),"",'Защитные стёкла'!$H$39)</f>
        <v/>
      </c>
    </row>
    <row r="807" customFormat="false" ht="66" hidden="false" customHeight="true" outlineLevel="0" collapsed="false">
      <c r="A807" s="291" t="str">
        <f aca="true">IF(ISNUMBER($J807),INDIRECT("L"&amp;($J807+4)),"")</f>
        <v/>
      </c>
      <c r="B807" s="291" t="str">
        <f aca="true">IF(ISNUMBER($J807),INDIRECT("M"&amp;($J807+4)),"")</f>
        <v/>
      </c>
      <c r="C807" s="296" t="str">
        <f aca="true">IF(ISNUMBER($J807),INDIRECT("N"&amp;($J807+4)),"")</f>
        <v/>
      </c>
      <c r="D807" s="291" t="str">
        <f aca="true">IF(ISNUMBER($J807),INDIRECT("O"&amp;($J807+4)),"")</f>
        <v/>
      </c>
      <c r="E807" s="291" t="str">
        <f aca="true">IF(ISNUMBER($J807),INDIRECT("P"&amp;($J807+4)),"")</f>
        <v/>
      </c>
      <c r="F807" s="300" t="str">
        <f aca="true">IF(ISNUMBER($J807),INDIRECT("Q"&amp;($J807+4)),"")</f>
        <v/>
      </c>
      <c r="G807" s="298" t="str">
        <f aca="true">IF(ISNUMBER($J807),INDIRECT("R"&amp;($J807+4)),"")</f>
        <v/>
      </c>
      <c r="H807" s="298" t="str">
        <f aca="true">IF(ISNUMBER($J807),INDIRECT("S"&amp;($J807+4)),"")</f>
        <v/>
      </c>
      <c r="J807" s="292" t="str">
        <f aca="true">IF(803&lt;=$K$1,MATCH(802.5,INDIRECT("$K$4:$K$1374"),1),"")</f>
        <v/>
      </c>
      <c r="K807" s="292" t="n">
        <f aca="false">$K$772+COUNTIF($Q$773:Q807,"&gt;0")</f>
        <v>0</v>
      </c>
      <c r="L807" s="292" t="str">
        <f aca="false">"Защитные стёкла"</f>
        <v>Защитные стёкла</v>
      </c>
      <c r="M807" s="292" t="str">
        <f aca="false">IF(ISBLANK('Защитные стёкла'!$A$40),"",'Защитные стёкла'!$A$40)</f>
        <v>Armor полноэкранное HD закаленное стекло набор iP16 Plus/15 Plus(10PCS)(BF9)</v>
      </c>
      <c r="N807" s="292" t="str">
        <f aca="false">IF(ISBLANK('Защитные стёкла'!$D$40),"",'Защитные стёкла'!$D$40)</f>
        <v>6941991131141</v>
      </c>
      <c r="O807" s="292" t="str">
        <f aca="false">IF(ISBLANK('Защитные стёкла'!$E$40),"",'Защитные стёкла'!$E$40)</f>
        <v>чёрный</v>
      </c>
      <c r="P807" s="292" t="str">
        <f aca="false">"ед."</f>
        <v>ед.</v>
      </c>
      <c r="Q807" s="292" t="n">
        <f aca="false">N('Защитные стёкла'!$G$40)</f>
        <v>0</v>
      </c>
      <c r="R807" s="299" t="n">
        <f aca="false">IF(ISBLANK('Защитные стёкла'!$F$40),"",'Защитные стёкла'!$F$40)</f>
        <v>342.5</v>
      </c>
      <c r="S807" s="292" t="str">
        <f aca="false">IF(ISBLANK('Защитные стёкла'!$H$40),"",'Защитные стёкла'!$H$40)</f>
        <v/>
      </c>
    </row>
    <row r="808" customFormat="false" ht="66" hidden="false" customHeight="true" outlineLevel="0" collapsed="false">
      <c r="A808" s="291" t="str">
        <f aca="true">IF(ISNUMBER($J808),INDIRECT("L"&amp;($J808+4)),"")</f>
        <v/>
      </c>
      <c r="B808" s="291" t="str">
        <f aca="true">IF(ISNUMBER($J808),INDIRECT("M"&amp;($J808+4)),"")</f>
        <v/>
      </c>
      <c r="C808" s="296" t="str">
        <f aca="true">IF(ISNUMBER($J808),INDIRECT("N"&amp;($J808+4)),"")</f>
        <v/>
      </c>
      <c r="D808" s="291" t="str">
        <f aca="true">IF(ISNUMBER($J808),INDIRECT("O"&amp;($J808+4)),"")</f>
        <v/>
      </c>
      <c r="E808" s="291" t="str">
        <f aca="true">IF(ISNUMBER($J808),INDIRECT("P"&amp;($J808+4)),"")</f>
        <v/>
      </c>
      <c r="F808" s="300" t="str">
        <f aca="true">IF(ISNUMBER($J808),INDIRECT("Q"&amp;($J808+4)),"")</f>
        <v/>
      </c>
      <c r="G808" s="298" t="str">
        <f aca="true">IF(ISNUMBER($J808),INDIRECT("R"&amp;($J808+4)),"")</f>
        <v/>
      </c>
      <c r="H808" s="298" t="str">
        <f aca="true">IF(ISNUMBER($J808),INDIRECT("S"&amp;($J808+4)),"")</f>
        <v/>
      </c>
      <c r="J808" s="292" t="str">
        <f aca="true">IF(804&lt;=$K$1,MATCH(803.5,INDIRECT("$K$4:$K$1374"),1),"")</f>
        <v/>
      </c>
      <c r="K808" s="292" t="n">
        <f aca="false">$K$772+COUNTIF($Q$773:Q808,"&gt;0")</f>
        <v>0</v>
      </c>
      <c r="L808" s="292" t="str">
        <f aca="false">"Защитные стёкла"</f>
        <v>Защитные стёкла</v>
      </c>
      <c r="M808" s="292" t="str">
        <f aca="false">IF(ISBLANK('Защитные стёкла'!$A$41),"",'Защитные стёкла'!$A$41)</f>
        <v>Armor полноэкранное HD закаленное стекло набор iP16 Pro Max(10PCS)(BF9)</v>
      </c>
      <c r="N808" s="292" t="str">
        <f aca="false">IF(ISBLANK('Защитные стёкла'!$D$41),"",'Защитные стёкла'!$D$41)</f>
        <v>6941991131189</v>
      </c>
      <c r="O808" s="292" t="str">
        <f aca="false">IF(ISBLANK('Защитные стёкла'!$E$41),"",'Защитные стёкла'!$E$41)</f>
        <v>чёрный</v>
      </c>
      <c r="P808" s="292" t="str">
        <f aca="false">"ед."</f>
        <v>ед.</v>
      </c>
      <c r="Q808" s="292" t="n">
        <f aca="false">N('Защитные стёкла'!$G$41)</f>
        <v>0</v>
      </c>
      <c r="R808" s="299" t="n">
        <f aca="false">IF(ISBLANK('Защитные стёкла'!$F$41),"",'Защитные стёкла'!$F$41)</f>
        <v>358.81</v>
      </c>
      <c r="S808" s="292" t="str">
        <f aca="false">IF(ISBLANK('Защитные стёкла'!$H$41),"",'Защитные стёкла'!$H$41)</f>
        <v/>
      </c>
    </row>
    <row r="809" customFormat="false" ht="66" hidden="false" customHeight="true" outlineLevel="0" collapsed="false">
      <c r="A809" s="291" t="str">
        <f aca="true">IF(ISNUMBER($J809),INDIRECT("L"&amp;($J809+4)),"")</f>
        <v/>
      </c>
      <c r="B809" s="291" t="str">
        <f aca="true">IF(ISNUMBER($J809),INDIRECT("M"&amp;($J809+4)),"")</f>
        <v/>
      </c>
      <c r="C809" s="296" t="str">
        <f aca="true">IF(ISNUMBER($J809),INDIRECT("N"&amp;($J809+4)),"")</f>
        <v/>
      </c>
      <c r="D809" s="291" t="str">
        <f aca="true">IF(ISNUMBER($J809),INDIRECT("O"&amp;($J809+4)),"")</f>
        <v/>
      </c>
      <c r="E809" s="291" t="str">
        <f aca="true">IF(ISNUMBER($J809),INDIRECT("P"&amp;($J809+4)),"")</f>
        <v/>
      </c>
      <c r="F809" s="300" t="str">
        <f aca="true">IF(ISNUMBER($J809),INDIRECT("Q"&amp;($J809+4)),"")</f>
        <v/>
      </c>
      <c r="G809" s="298" t="str">
        <f aca="true">IF(ISNUMBER($J809),INDIRECT("R"&amp;($J809+4)),"")</f>
        <v/>
      </c>
      <c r="H809" s="298" t="str">
        <f aca="true">IF(ISNUMBER($J809),INDIRECT("S"&amp;($J809+4)),"")</f>
        <v/>
      </c>
      <c r="J809" s="292" t="str">
        <f aca="true">IF(805&lt;=$K$1,MATCH(804.5,INDIRECT("$K$4:$K$1374"),1),"")</f>
        <v/>
      </c>
      <c r="K809" s="292" t="n">
        <f aca="false">$K$772+COUNTIF($Q$773:Q809,"&gt;0")</f>
        <v>0</v>
      </c>
      <c r="L809" s="292" t="str">
        <f aca="false">"Защитные стёкла"</f>
        <v>Защитные стёкла</v>
      </c>
      <c r="M809" s="292" t="str">
        <f aca="false">IF(ISBLANK('Защитные стёкла'!$A$42),"",'Защитные стёкла'!$A$42)</f>
        <v>Diamond armor полноэкранное 5D закаленное стекло с большой дугой набор для  iP16/15(10шт)(BF8)</v>
      </c>
      <c r="N809" s="292" t="str">
        <f aca="false">IF(ISBLANK('Защитные стёкла'!$D$42),"",'Защитные стёкла'!$D$42)</f>
        <v>6941991106040</v>
      </c>
      <c r="O809" s="292" t="str">
        <f aca="false">IF(ISBLANK('Защитные стёкла'!$E$42),"",'Защитные стёкла'!$E$42)</f>
        <v>черный</v>
      </c>
      <c r="P809" s="292" t="str">
        <f aca="false">"ед."</f>
        <v>ед.</v>
      </c>
      <c r="Q809" s="292" t="n">
        <f aca="false">N('Защитные стёкла'!$G$42)</f>
        <v>0</v>
      </c>
      <c r="R809" s="299" t="n">
        <f aca="false">IF(ISBLANK('Защитные стёкла'!$F$42),"",'Защитные стёкла'!$F$42)</f>
        <v>505.59</v>
      </c>
      <c r="S809" s="292" t="str">
        <f aca="false">IF(ISBLANK('Защитные стёкла'!$H$42),"",'Защитные стёкла'!$H$42)</f>
        <v/>
      </c>
    </row>
    <row r="810" customFormat="false" ht="66" hidden="false" customHeight="true" outlineLevel="0" collapsed="false">
      <c r="A810" s="291" t="str">
        <f aca="true">IF(ISNUMBER($J810),INDIRECT("L"&amp;($J810+4)),"")</f>
        <v/>
      </c>
      <c r="B810" s="291" t="str">
        <f aca="true">IF(ISNUMBER($J810),INDIRECT("M"&amp;($J810+4)),"")</f>
        <v/>
      </c>
      <c r="C810" s="296" t="str">
        <f aca="true">IF(ISNUMBER($J810),INDIRECT("N"&amp;($J810+4)),"")</f>
        <v/>
      </c>
      <c r="D810" s="291" t="str">
        <f aca="true">IF(ISNUMBER($J810),INDIRECT("O"&amp;($J810+4)),"")</f>
        <v/>
      </c>
      <c r="E810" s="291" t="str">
        <f aca="true">IF(ISNUMBER($J810),INDIRECT("P"&amp;($J810+4)),"")</f>
        <v/>
      </c>
      <c r="F810" s="300" t="str">
        <f aca="true">IF(ISNUMBER($J810),INDIRECT("Q"&amp;($J810+4)),"")</f>
        <v/>
      </c>
      <c r="G810" s="298" t="str">
        <f aca="true">IF(ISNUMBER($J810),INDIRECT("R"&amp;($J810+4)),"")</f>
        <v/>
      </c>
      <c r="H810" s="298" t="str">
        <f aca="true">IF(ISNUMBER($J810),INDIRECT("S"&amp;($J810+4)),"")</f>
        <v/>
      </c>
      <c r="J810" s="292" t="str">
        <f aca="true">IF(806&lt;=$K$1,MATCH(805.5,INDIRECT("$K$4:$K$1374"),1),"")</f>
        <v/>
      </c>
      <c r="K810" s="292" t="n">
        <f aca="false">$K$772+COUNTIF($Q$773:Q810,"&gt;0")</f>
        <v>0</v>
      </c>
      <c r="L810" s="292" t="str">
        <f aca="false">"Защитные стёкла"</f>
        <v>Защитные стёкла</v>
      </c>
      <c r="M810" s="292" t="str">
        <f aca="false">IF(ISBLANK('Защитные стёкла'!$A$43),"",'Защитные стёкла'!$A$43)</f>
        <v>Diamond armor полноэкранное 5D закаленное стекло с большой дугой набор для  iP16 Plus/15 Plus(10шт)(BF8)</v>
      </c>
      <c r="N810" s="292" t="str">
        <f aca="false">IF(ISBLANK('Защитные стёкла'!$D$43),"",'Защитные стёкла'!$D$43)</f>
        <v>6941991106057</v>
      </c>
      <c r="O810" s="292" t="str">
        <f aca="false">IF(ISBLANK('Защитные стёкла'!$E$43),"",'Защитные стёкла'!$E$43)</f>
        <v>черный</v>
      </c>
      <c r="P810" s="292" t="str">
        <f aca="false">"ед."</f>
        <v>ед.</v>
      </c>
      <c r="Q810" s="292" t="n">
        <f aca="false">N('Защитные стёкла'!$G$43)</f>
        <v>0</v>
      </c>
      <c r="R810" s="299" t="n">
        <f aca="false">IF(ISBLANK('Защитные стёкла'!$F$43),"",'Защитные стёкла'!$F$43)</f>
        <v>505.59</v>
      </c>
      <c r="S810" s="292" t="str">
        <f aca="false">IF(ISBLANK('Защитные стёкла'!$H$43),"",'Защитные стёкла'!$H$43)</f>
        <v/>
      </c>
    </row>
    <row r="811" customFormat="false" ht="66" hidden="false" customHeight="true" outlineLevel="0" collapsed="false">
      <c r="A811" s="291" t="str">
        <f aca="true">IF(ISNUMBER($J811),INDIRECT("L"&amp;($J811+4)),"")</f>
        <v/>
      </c>
      <c r="B811" s="291" t="str">
        <f aca="true">IF(ISNUMBER($J811),INDIRECT("M"&amp;($J811+4)),"")</f>
        <v/>
      </c>
      <c r="C811" s="296" t="str">
        <f aca="true">IF(ISNUMBER($J811),INDIRECT("N"&amp;($J811+4)),"")</f>
        <v/>
      </c>
      <c r="D811" s="291" t="str">
        <f aca="true">IF(ISNUMBER($J811),INDIRECT("O"&amp;($J811+4)),"")</f>
        <v/>
      </c>
      <c r="E811" s="291" t="str">
        <f aca="true">IF(ISNUMBER($J811),INDIRECT("P"&amp;($J811+4)),"")</f>
        <v/>
      </c>
      <c r="F811" s="300" t="str">
        <f aca="true">IF(ISNUMBER($J811),INDIRECT("Q"&amp;($J811+4)),"")</f>
        <v/>
      </c>
      <c r="G811" s="298" t="str">
        <f aca="true">IF(ISNUMBER($J811),INDIRECT("R"&amp;($J811+4)),"")</f>
        <v/>
      </c>
      <c r="H811" s="298" t="str">
        <f aca="true">IF(ISNUMBER($J811),INDIRECT("S"&amp;($J811+4)),"")</f>
        <v/>
      </c>
      <c r="J811" s="292" t="str">
        <f aca="true">IF(807&lt;=$K$1,MATCH(806.5,INDIRECT("$K$4:$K$1374"),1),"")</f>
        <v/>
      </c>
      <c r="K811" s="292" t="n">
        <f aca="false">$K$772+COUNTIF($Q$773:Q811,"&gt;0")</f>
        <v>0</v>
      </c>
      <c r="L811" s="292" t="str">
        <f aca="false">"Защитные стёкла"</f>
        <v>Защитные стёкла</v>
      </c>
      <c r="M811" s="292" t="str">
        <f aca="false">IF(ISBLANK('Защитные стёкла'!$A$44),"",'Защитные стёкла'!$A$44)</f>
        <v>Diamond armor полноэкранное 5D закаленное стекло с большой дугой набор для  iP16 Pro(10шт)(BF8)</v>
      </c>
      <c r="N811" s="292" t="str">
        <f aca="false">IF(ISBLANK('Защитные стёкла'!$D$44),"",'Защитные стёкла'!$D$44)</f>
        <v>6941991116612</v>
      </c>
      <c r="O811" s="292" t="str">
        <f aca="false">IF(ISBLANK('Защитные стёкла'!$E$44),"",'Защитные стёкла'!$E$44)</f>
        <v>черный</v>
      </c>
      <c r="P811" s="292" t="str">
        <f aca="false">"ед."</f>
        <v>ед.</v>
      </c>
      <c r="Q811" s="292" t="n">
        <f aca="false">N('Защитные стёкла'!$G$44)</f>
        <v>0</v>
      </c>
      <c r="R811" s="299" t="n">
        <f aca="false">IF(ISBLANK('Защитные стёкла'!$F$44),"",'Защитные стёкла'!$F$44)</f>
        <v>538.21</v>
      </c>
      <c r="S811" s="292" t="str">
        <f aca="false">IF(ISBLANK('Защитные стёкла'!$H$44),"",'Защитные стёкла'!$H$44)</f>
        <v/>
      </c>
    </row>
    <row r="812" customFormat="false" ht="66" hidden="false" customHeight="true" outlineLevel="0" collapsed="false">
      <c r="A812" s="291" t="str">
        <f aca="true">IF(ISNUMBER($J812),INDIRECT("L"&amp;($J812+4)),"")</f>
        <v/>
      </c>
      <c r="B812" s="291" t="str">
        <f aca="true">IF(ISNUMBER($J812),INDIRECT("M"&amp;($J812+4)),"")</f>
        <v/>
      </c>
      <c r="C812" s="296" t="str">
        <f aca="true">IF(ISNUMBER($J812),INDIRECT("N"&amp;($J812+4)),"")</f>
        <v/>
      </c>
      <c r="D812" s="291" t="str">
        <f aca="true">IF(ISNUMBER($J812),INDIRECT("O"&amp;($J812+4)),"")</f>
        <v/>
      </c>
      <c r="E812" s="291" t="str">
        <f aca="true">IF(ISNUMBER($J812),INDIRECT("P"&amp;($J812+4)),"")</f>
        <v/>
      </c>
      <c r="F812" s="300" t="str">
        <f aca="true">IF(ISNUMBER($J812),INDIRECT("Q"&amp;($J812+4)),"")</f>
        <v/>
      </c>
      <c r="G812" s="298" t="str">
        <f aca="true">IF(ISNUMBER($J812),INDIRECT("R"&amp;($J812+4)),"")</f>
        <v/>
      </c>
      <c r="H812" s="298" t="str">
        <f aca="true">IF(ISNUMBER($J812),INDIRECT("S"&amp;($J812+4)),"")</f>
        <v/>
      </c>
      <c r="J812" s="292" t="str">
        <f aca="true">IF(808&lt;=$K$1,MATCH(807.5,INDIRECT("$K$4:$K$1374"),1),"")</f>
        <v/>
      </c>
      <c r="K812" s="292" t="n">
        <f aca="false">$K$772+COUNTIF($Q$773:Q812,"&gt;0")</f>
        <v>0</v>
      </c>
      <c r="L812" s="292" t="str">
        <f aca="false">"Защитные стёкла"</f>
        <v>Защитные стёкла</v>
      </c>
      <c r="M812" s="292" t="str">
        <f aca="false">IF(ISBLANK('Защитные стёкла'!$A$45),"",'Защитные стёкла'!$A$45)</f>
        <v>Diamond armor полноэкранное 5D закаленное стекло с большой дугой набор для  iP16 Pro Max(10шт)(BF8)</v>
      </c>
      <c r="N812" s="292" t="str">
        <f aca="false">IF(ISBLANK('Защитные стёкла'!$D$45),"",'Защитные стёкла'!$D$45)</f>
        <v>6941991116629</v>
      </c>
      <c r="O812" s="292" t="str">
        <f aca="false">IF(ISBLANK('Защитные стёкла'!$E$45),"",'Защитные стёкла'!$E$45)</f>
        <v>черный</v>
      </c>
      <c r="P812" s="292" t="str">
        <f aca="false">"ед."</f>
        <v>ед.</v>
      </c>
      <c r="Q812" s="292" t="n">
        <f aca="false">N('Защитные стёкла'!$G$45)</f>
        <v>0</v>
      </c>
      <c r="R812" s="299" t="n">
        <f aca="false">IF(ISBLANK('Защитные стёкла'!$F$45),"",'Защитные стёкла'!$F$45)</f>
        <v>538.21</v>
      </c>
      <c r="S812" s="292" t="str">
        <f aca="false">IF(ISBLANK('Защитные стёкла'!$H$45),"",'Защитные стёкла'!$H$45)</f>
        <v/>
      </c>
    </row>
    <row r="813" customFormat="false" ht="66" hidden="false" customHeight="true" outlineLevel="0" collapsed="false">
      <c r="A813" s="291" t="str">
        <f aca="true">IF(ISNUMBER($J813),INDIRECT("L"&amp;($J813+4)),"")</f>
        <v/>
      </c>
      <c r="B813" s="291" t="str">
        <f aca="true">IF(ISNUMBER($J813),INDIRECT("M"&amp;($J813+4)),"")</f>
        <v/>
      </c>
      <c r="C813" s="296" t="str">
        <f aca="true">IF(ISNUMBER($J813),INDIRECT("N"&amp;($J813+4)),"")</f>
        <v/>
      </c>
      <c r="D813" s="291" t="str">
        <f aca="true">IF(ISNUMBER($J813),INDIRECT("O"&amp;($J813+4)),"")</f>
        <v/>
      </c>
      <c r="E813" s="291" t="str">
        <f aca="true">IF(ISNUMBER($J813),INDIRECT("P"&amp;($J813+4)),"")</f>
        <v/>
      </c>
      <c r="F813" s="300" t="str">
        <f aca="true">IF(ISNUMBER($J813),INDIRECT("Q"&amp;($J813+4)),"")</f>
        <v/>
      </c>
      <c r="G813" s="298" t="str">
        <f aca="true">IF(ISNUMBER($J813),INDIRECT("R"&amp;($J813+4)),"")</f>
        <v/>
      </c>
      <c r="H813" s="298" t="str">
        <f aca="true">IF(ISNUMBER($J813),INDIRECT("S"&amp;($J813+4)),"")</f>
        <v/>
      </c>
      <c r="J813" s="292" t="str">
        <f aca="true">IF(809&lt;=$K$1,MATCH(808.5,INDIRECT("$K$4:$K$1374"),1),"")</f>
        <v/>
      </c>
      <c r="K813" s="292" t="n">
        <f aca="false">$K$772+COUNTIF($Q$773:Q813,"&gt;0")</f>
        <v>0</v>
      </c>
      <c r="L813" s="292" t="str">
        <f aca="false">"Защитные стёкла"</f>
        <v>Защитные стёкла</v>
      </c>
      <c r="M813" s="292" t="str">
        <f aca="false">IF(ISBLANK('Защитные стёкла'!$A$46),"",'Защитные стёкла'!$A$46)</f>
        <v>Diamond armor полноэкранное закаленное стекло с защитой от подглядывания набор для iP16/15(10шт)(BF7)</v>
      </c>
      <c r="N813" s="292" t="str">
        <f aca="false">IF(ISBLANK('Защитные стёкла'!$D$46),"",'Защитные стёкла'!$D$46)</f>
        <v>6941991106088</v>
      </c>
      <c r="O813" s="292" t="str">
        <f aca="false">IF(ISBLANK('Защитные стёкла'!$E$46),"",'Защитные стёкла'!$E$46)</f>
        <v>черный</v>
      </c>
      <c r="P813" s="292" t="str">
        <f aca="false">"ед."</f>
        <v>ед.</v>
      </c>
      <c r="Q813" s="292" t="n">
        <f aca="false">N('Защитные стёкла'!$G$46)</f>
        <v>0</v>
      </c>
      <c r="R813" s="299" t="n">
        <f aca="false">IF(ISBLANK('Защитные стёкла'!$F$46),"",'Защитные стёкла'!$F$46)</f>
        <v>616.5</v>
      </c>
      <c r="S813" s="292" t="str">
        <f aca="false">IF(ISBLANK('Защитные стёкла'!$H$46),"",'Защитные стёкла'!$H$46)</f>
        <v/>
      </c>
    </row>
    <row r="814" customFormat="false" ht="66" hidden="false" customHeight="true" outlineLevel="0" collapsed="false">
      <c r="A814" s="291" t="str">
        <f aca="true">IF(ISNUMBER($J814),INDIRECT("L"&amp;($J814+4)),"")</f>
        <v/>
      </c>
      <c r="B814" s="291" t="str">
        <f aca="true">IF(ISNUMBER($J814),INDIRECT("M"&amp;($J814+4)),"")</f>
        <v/>
      </c>
      <c r="C814" s="296" t="str">
        <f aca="true">IF(ISNUMBER($J814),INDIRECT("N"&amp;($J814+4)),"")</f>
        <v/>
      </c>
      <c r="D814" s="291" t="str">
        <f aca="true">IF(ISNUMBER($J814),INDIRECT("O"&amp;($J814+4)),"")</f>
        <v/>
      </c>
      <c r="E814" s="291" t="str">
        <f aca="true">IF(ISNUMBER($J814),INDIRECT("P"&amp;($J814+4)),"")</f>
        <v/>
      </c>
      <c r="F814" s="300" t="str">
        <f aca="true">IF(ISNUMBER($J814),INDIRECT("Q"&amp;($J814+4)),"")</f>
        <v/>
      </c>
      <c r="G814" s="298" t="str">
        <f aca="true">IF(ISNUMBER($J814),INDIRECT("R"&amp;($J814+4)),"")</f>
        <v/>
      </c>
      <c r="H814" s="298" t="str">
        <f aca="true">IF(ISNUMBER($J814),INDIRECT("S"&amp;($J814+4)),"")</f>
        <v/>
      </c>
      <c r="J814" s="292" t="str">
        <f aca="true">IF(810&lt;=$K$1,MATCH(809.5,INDIRECT("$K$4:$K$1374"),1),"")</f>
        <v/>
      </c>
      <c r="K814" s="292" t="n">
        <f aca="false">$K$772+COUNTIF($Q$773:Q814,"&gt;0")</f>
        <v>0</v>
      </c>
      <c r="L814" s="292" t="str">
        <f aca="false">"Защитные стёкла"</f>
        <v>Защитные стёкла</v>
      </c>
      <c r="M814" s="292" t="str">
        <f aca="false">IF(ISBLANK('Защитные стёкла'!$A$47),"",'Защитные стёкла'!$A$47)</f>
        <v>Diamond armor полноэкранное закаленное стекло с защитой от подглядывания набор для iP16 Plus/15 Plus(10шт)(BF7)</v>
      </c>
      <c r="N814" s="292" t="str">
        <f aca="false">IF(ISBLANK('Защитные стёкла'!$D$47),"",'Защитные стёкла'!$D$47)</f>
        <v>6941991106095</v>
      </c>
      <c r="O814" s="292" t="str">
        <f aca="false">IF(ISBLANK('Защитные стёкла'!$E$47),"",'Защитные стёкла'!$E$47)</f>
        <v>черный</v>
      </c>
      <c r="P814" s="292" t="str">
        <f aca="false">"ед."</f>
        <v>ед.</v>
      </c>
      <c r="Q814" s="292" t="n">
        <f aca="false">N('Защитные стёкла'!$G$47)</f>
        <v>0</v>
      </c>
      <c r="R814" s="299" t="n">
        <f aca="false">IF(ISBLANK('Защитные стёкла'!$F$47),"",'Защитные стёкла'!$F$47)</f>
        <v>616.5</v>
      </c>
      <c r="S814" s="292" t="str">
        <f aca="false">IF(ISBLANK('Защитные стёкла'!$H$47),"",'Защитные стёкла'!$H$47)</f>
        <v/>
      </c>
    </row>
    <row r="815" customFormat="false" ht="66" hidden="false" customHeight="true" outlineLevel="0" collapsed="false">
      <c r="A815" s="291" t="str">
        <f aca="true">IF(ISNUMBER($J815),INDIRECT("L"&amp;($J815+4)),"")</f>
        <v/>
      </c>
      <c r="B815" s="291" t="str">
        <f aca="true">IF(ISNUMBER($J815),INDIRECT("M"&amp;($J815+4)),"")</f>
        <v/>
      </c>
      <c r="C815" s="296" t="str">
        <f aca="true">IF(ISNUMBER($J815),INDIRECT("N"&amp;($J815+4)),"")</f>
        <v/>
      </c>
      <c r="D815" s="291" t="str">
        <f aca="true">IF(ISNUMBER($J815),INDIRECT("O"&amp;($J815+4)),"")</f>
        <v/>
      </c>
      <c r="E815" s="291" t="str">
        <f aca="true">IF(ISNUMBER($J815),INDIRECT("P"&amp;($J815+4)),"")</f>
        <v/>
      </c>
      <c r="F815" s="300" t="str">
        <f aca="true">IF(ISNUMBER($J815),INDIRECT("Q"&amp;($J815+4)),"")</f>
        <v/>
      </c>
      <c r="G815" s="298" t="str">
        <f aca="true">IF(ISNUMBER($J815),INDIRECT("R"&amp;($J815+4)),"")</f>
        <v/>
      </c>
      <c r="H815" s="298" t="str">
        <f aca="true">IF(ISNUMBER($J815),INDIRECT("S"&amp;($J815+4)),"")</f>
        <v/>
      </c>
      <c r="J815" s="292" t="str">
        <f aca="true">IF(811&lt;=$K$1,MATCH(810.5,INDIRECT("$K$4:$K$1374"),1),"")</f>
        <v/>
      </c>
      <c r="K815" s="292" t="n">
        <f aca="false">$K$772+COUNTIF($Q$773:Q815,"&gt;0")</f>
        <v>0</v>
      </c>
      <c r="L815" s="292" t="str">
        <f aca="false">"Защитные стёкла"</f>
        <v>Защитные стёкла</v>
      </c>
      <c r="M815" s="292" t="str">
        <f aca="false">IF(ISBLANK('Защитные стёкла'!$A$48),"",'Защитные стёкла'!$A$48)</f>
        <v>Diamond armor полноэкранное закаленное стекло с защитой от подглядывания набор для iP16 Pro(10шт)(BF7)</v>
      </c>
      <c r="N815" s="292" t="str">
        <f aca="false">IF(ISBLANK('Защитные стёкла'!$D$48),"",'Защитные стёкла'!$D$48)</f>
        <v>6941991116599</v>
      </c>
      <c r="O815" s="292" t="str">
        <f aca="false">IF(ISBLANK('Защитные стёкла'!$E$48),"",'Защитные стёкла'!$E$48)</f>
        <v>черный</v>
      </c>
      <c r="P815" s="292" t="str">
        <f aca="false">"ед."</f>
        <v>ед.</v>
      </c>
      <c r="Q815" s="292" t="n">
        <f aca="false">N('Защитные стёкла'!$G$48)</f>
        <v>0</v>
      </c>
      <c r="R815" s="299" t="n">
        <f aca="false">IF(ISBLANK('Защитные стёкла'!$F$48),"",'Защитные стёкла'!$F$48)</f>
        <v>652.38</v>
      </c>
      <c r="S815" s="292" t="str">
        <f aca="false">IF(ISBLANK('Защитные стёкла'!$H$48),"",'Защитные стёкла'!$H$48)</f>
        <v/>
      </c>
    </row>
    <row r="816" customFormat="false" ht="66" hidden="false" customHeight="true" outlineLevel="0" collapsed="false">
      <c r="A816" s="291" t="str">
        <f aca="true">IF(ISNUMBER($J816),INDIRECT("L"&amp;($J816+4)),"")</f>
        <v/>
      </c>
      <c r="B816" s="291" t="str">
        <f aca="true">IF(ISNUMBER($J816),INDIRECT("M"&amp;($J816+4)),"")</f>
        <v/>
      </c>
      <c r="C816" s="296" t="str">
        <f aca="true">IF(ISNUMBER($J816),INDIRECT("N"&amp;($J816+4)),"")</f>
        <v/>
      </c>
      <c r="D816" s="291" t="str">
        <f aca="true">IF(ISNUMBER($J816),INDIRECT("O"&amp;($J816+4)),"")</f>
        <v/>
      </c>
      <c r="E816" s="291" t="str">
        <f aca="true">IF(ISNUMBER($J816),INDIRECT("P"&amp;($J816+4)),"")</f>
        <v/>
      </c>
      <c r="F816" s="300" t="str">
        <f aca="true">IF(ISNUMBER($J816),INDIRECT("Q"&amp;($J816+4)),"")</f>
        <v/>
      </c>
      <c r="G816" s="298" t="str">
        <f aca="true">IF(ISNUMBER($J816),INDIRECT("R"&amp;($J816+4)),"")</f>
        <v/>
      </c>
      <c r="H816" s="298" t="str">
        <f aca="true">IF(ISNUMBER($J816),INDIRECT("S"&amp;($J816+4)),"")</f>
        <v/>
      </c>
      <c r="J816" s="292" t="str">
        <f aca="true">IF(812&lt;=$K$1,MATCH(811.5,INDIRECT("$K$4:$K$1374"),1),"")</f>
        <v/>
      </c>
      <c r="K816" s="292" t="n">
        <f aca="false">$K$772+COUNTIF($Q$773:Q816,"&gt;0")</f>
        <v>0</v>
      </c>
      <c r="L816" s="292" t="str">
        <f aca="false">"Защитные стёкла"</f>
        <v>Защитные стёкла</v>
      </c>
      <c r="M816" s="292" t="str">
        <f aca="false">IF(ISBLANK('Защитные стёкла'!$A$49),"",'Защитные стёкла'!$A$49)</f>
        <v>Diamond armor полноэкранное закаленное стекло с защитой от подглядывания набор для iP16 Pro Max(10шт)(BF7)</v>
      </c>
      <c r="N816" s="292" t="str">
        <f aca="false">IF(ISBLANK('Защитные стёкла'!$D$49),"",'Защитные стёкла'!$D$49)</f>
        <v>6941991116605</v>
      </c>
      <c r="O816" s="292" t="str">
        <f aca="false">IF(ISBLANK('Защитные стёкла'!$E$49),"",'Защитные стёкла'!$E$49)</f>
        <v>черный</v>
      </c>
      <c r="P816" s="292" t="str">
        <f aca="false">"ед."</f>
        <v>ед.</v>
      </c>
      <c r="Q816" s="292" t="n">
        <f aca="false">N('Защитные стёкла'!$G$49)</f>
        <v>0</v>
      </c>
      <c r="R816" s="299" t="n">
        <f aca="false">IF(ISBLANK('Защитные стёкла'!$F$49),"",'Защитные стёкла'!$F$49)</f>
        <v>652.38</v>
      </c>
      <c r="S816" s="292" t="str">
        <f aca="false">IF(ISBLANK('Защитные стёкла'!$H$49),"",'Защитные стёкла'!$H$49)</f>
        <v/>
      </c>
    </row>
    <row r="817" customFormat="false" ht="66" hidden="false" customHeight="true" outlineLevel="0" collapsed="false">
      <c r="A817" s="291" t="str">
        <f aca="true">IF(ISNUMBER($J817),INDIRECT("L"&amp;($J817+4)),"")</f>
        <v/>
      </c>
      <c r="B817" s="291" t="str">
        <f aca="true">IF(ISNUMBER($J817),INDIRECT("M"&amp;($J817+4)),"")</f>
        <v/>
      </c>
      <c r="C817" s="296" t="str">
        <f aca="true">IF(ISNUMBER($J817),INDIRECT("N"&amp;($J817+4)),"")</f>
        <v/>
      </c>
      <c r="D817" s="291" t="str">
        <f aca="true">IF(ISNUMBER($J817),INDIRECT("O"&amp;($J817+4)),"")</f>
        <v/>
      </c>
      <c r="E817" s="291" t="str">
        <f aca="true">IF(ISNUMBER($J817),INDIRECT("P"&amp;($J817+4)),"")</f>
        <v/>
      </c>
      <c r="F817" s="300" t="str">
        <f aca="true">IF(ISNUMBER($J817),INDIRECT("Q"&amp;($J817+4)),"")</f>
        <v/>
      </c>
      <c r="G817" s="298" t="str">
        <f aca="true">IF(ISNUMBER($J817),INDIRECT("R"&amp;($J817+4)),"")</f>
        <v/>
      </c>
      <c r="H817" s="298" t="str">
        <f aca="true">IF(ISNUMBER($J817),INDIRECT("S"&amp;($J817+4)),"")</f>
        <v/>
      </c>
      <c r="J817" s="292" t="str">
        <f aca="true">IF(813&lt;=$K$1,MATCH(812.5,INDIRECT("$K$4:$K$1374"),1),"")</f>
        <v/>
      </c>
      <c r="K817" s="292" t="n">
        <f aca="false">$K$772+COUNTIF($Q$773:Q817,"&gt;0")</f>
        <v>0</v>
      </c>
      <c r="L817" s="292" t="str">
        <f aca="false">"Защитные стёкла"</f>
        <v>Защитные стёкла</v>
      </c>
      <c r="M817" s="292" t="str">
        <f aca="false">IF(ISBLANK('Защитные стёкла'!$A$50),"",'Защитные стёкла'!$A$50)</f>
        <v>Diamond armor полноэкранное HD закаленное стекло набор для  iP16/15(10шт)(BF6)</v>
      </c>
      <c r="N817" s="292" t="str">
        <f aca="false">IF(ISBLANK('Защитные стёкла'!$D$50),"",'Защитные стёкла'!$D$50)</f>
        <v>6941991106002</v>
      </c>
      <c r="O817" s="292" t="str">
        <f aca="false">IF(ISBLANK('Защитные стёкла'!$E$50),"",'Защитные стёкла'!$E$50)</f>
        <v>черный</v>
      </c>
      <c r="P817" s="292" t="str">
        <f aca="false">"ед."</f>
        <v>ед.</v>
      </c>
      <c r="Q817" s="292" t="n">
        <f aca="false">N('Защитные стёкла'!$G$50)</f>
        <v>0</v>
      </c>
      <c r="R817" s="299" t="n">
        <f aca="false">IF(ISBLANK('Защитные стёкла'!$F$50),"",'Защитные стёкла'!$F$50)</f>
        <v>407.74</v>
      </c>
      <c r="S817" s="292" t="str">
        <f aca="false">IF(ISBLANK('Защитные стёкла'!$H$50),"",'Защитные стёкла'!$H$50)</f>
        <v/>
      </c>
    </row>
    <row r="818" customFormat="false" ht="66" hidden="false" customHeight="true" outlineLevel="0" collapsed="false">
      <c r="A818" s="291" t="str">
        <f aca="true">IF(ISNUMBER($J818),INDIRECT("L"&amp;($J818+4)),"")</f>
        <v/>
      </c>
      <c r="B818" s="291" t="str">
        <f aca="true">IF(ISNUMBER($J818),INDIRECT("M"&amp;($J818+4)),"")</f>
        <v/>
      </c>
      <c r="C818" s="296" t="str">
        <f aca="true">IF(ISNUMBER($J818),INDIRECT("N"&amp;($J818+4)),"")</f>
        <v/>
      </c>
      <c r="D818" s="291" t="str">
        <f aca="true">IF(ISNUMBER($J818),INDIRECT("O"&amp;($J818+4)),"")</f>
        <v/>
      </c>
      <c r="E818" s="291" t="str">
        <f aca="true">IF(ISNUMBER($J818),INDIRECT("P"&amp;($J818+4)),"")</f>
        <v/>
      </c>
      <c r="F818" s="300" t="str">
        <f aca="true">IF(ISNUMBER($J818),INDIRECT("Q"&amp;($J818+4)),"")</f>
        <v/>
      </c>
      <c r="G818" s="298" t="str">
        <f aca="true">IF(ISNUMBER($J818),INDIRECT("R"&amp;($J818+4)),"")</f>
        <v/>
      </c>
      <c r="H818" s="298" t="str">
        <f aca="true">IF(ISNUMBER($J818),INDIRECT("S"&amp;($J818+4)),"")</f>
        <v/>
      </c>
      <c r="J818" s="292" t="str">
        <f aca="true">IF(814&lt;=$K$1,MATCH(813.5,INDIRECT("$K$4:$K$1374"),1),"")</f>
        <v/>
      </c>
      <c r="K818" s="292" t="n">
        <f aca="false">$K$772+COUNTIF($Q$773:Q818,"&gt;0")</f>
        <v>0</v>
      </c>
      <c r="L818" s="292" t="str">
        <f aca="false">"Защитные стёкла"</f>
        <v>Защитные стёкла</v>
      </c>
      <c r="M818" s="292" t="str">
        <f aca="false">IF(ISBLANK('Защитные стёкла'!$A$51),"",'Защитные стёкла'!$A$51)</f>
        <v>Diamond armor полноэкранное HD закаленное стекло набор для  iP16 Plus/15 Plus(10шт)(BF6)</v>
      </c>
      <c r="N818" s="292" t="str">
        <f aca="false">IF(ISBLANK('Защитные стёкла'!$D$51),"",'Защитные стёкла'!$D$51)</f>
        <v>6941991106019</v>
      </c>
      <c r="O818" s="292" t="str">
        <f aca="false">IF(ISBLANK('Защитные стёкла'!$E$51),"",'Защитные стёкла'!$E$51)</f>
        <v>черный</v>
      </c>
      <c r="P818" s="292" t="str">
        <f aca="false">"ед."</f>
        <v>ед.</v>
      </c>
      <c r="Q818" s="292" t="n">
        <f aca="false">N('Защитные стёкла'!$G$51)</f>
        <v>0</v>
      </c>
      <c r="R818" s="299" t="n">
        <f aca="false">IF(ISBLANK('Защитные стёкла'!$F$51),"",'Защитные стёкла'!$F$51)</f>
        <v>407.74</v>
      </c>
      <c r="S818" s="292" t="str">
        <f aca="false">IF(ISBLANK('Защитные стёкла'!$H$51),"",'Защитные стёкла'!$H$51)</f>
        <v/>
      </c>
    </row>
    <row r="819" customFormat="false" ht="66" hidden="false" customHeight="true" outlineLevel="0" collapsed="false">
      <c r="A819" s="291" t="str">
        <f aca="true">IF(ISNUMBER($J819),INDIRECT("L"&amp;($J819+4)),"")</f>
        <v/>
      </c>
      <c r="B819" s="291" t="str">
        <f aca="true">IF(ISNUMBER($J819),INDIRECT("M"&amp;($J819+4)),"")</f>
        <v/>
      </c>
      <c r="C819" s="296" t="str">
        <f aca="true">IF(ISNUMBER($J819),INDIRECT("N"&amp;($J819+4)),"")</f>
        <v/>
      </c>
      <c r="D819" s="291" t="str">
        <f aca="true">IF(ISNUMBER($J819),INDIRECT("O"&amp;($J819+4)),"")</f>
        <v/>
      </c>
      <c r="E819" s="291" t="str">
        <f aca="true">IF(ISNUMBER($J819),INDIRECT("P"&amp;($J819+4)),"")</f>
        <v/>
      </c>
      <c r="F819" s="300" t="str">
        <f aca="true">IF(ISNUMBER($J819),INDIRECT("Q"&amp;($J819+4)),"")</f>
        <v/>
      </c>
      <c r="G819" s="298" t="str">
        <f aca="true">IF(ISNUMBER($J819),INDIRECT("R"&amp;($J819+4)),"")</f>
        <v/>
      </c>
      <c r="H819" s="298" t="str">
        <f aca="true">IF(ISNUMBER($J819),INDIRECT("S"&amp;($J819+4)),"")</f>
        <v/>
      </c>
      <c r="J819" s="292" t="str">
        <f aca="true">IF(815&lt;=$K$1,MATCH(814.5,INDIRECT("$K$4:$K$1374"),1),"")</f>
        <v/>
      </c>
      <c r="K819" s="292" t="n">
        <f aca="false">$K$772+COUNTIF($Q$773:Q819,"&gt;0")</f>
        <v>0</v>
      </c>
      <c r="L819" s="292" t="str">
        <f aca="false">"Защитные стёкла"</f>
        <v>Защитные стёкла</v>
      </c>
      <c r="M819" s="292" t="str">
        <f aca="false">IF(ISBLANK('Защитные стёкла'!$A$52),"",'Защитные стёкла'!$A$52)</f>
        <v>Diamond armor полноэкранное HD закаленное стекло набор для  iP16 Pro(10шт)(BF6)</v>
      </c>
      <c r="N819" s="292" t="str">
        <f aca="false">IF(ISBLANK('Защитные стёкла'!$D$52),"",'Защитные стёкла'!$D$52)</f>
        <v>6941991116575</v>
      </c>
      <c r="O819" s="292" t="str">
        <f aca="false">IF(ISBLANK('Защитные стёкла'!$E$52),"",'Защитные стёкла'!$E$52)</f>
        <v>черный</v>
      </c>
      <c r="P819" s="292" t="str">
        <f aca="false">"ед."</f>
        <v>ед.</v>
      </c>
      <c r="Q819" s="292" t="n">
        <f aca="false">N('Защитные стёкла'!$G$52)</f>
        <v>0</v>
      </c>
      <c r="R819" s="299" t="n">
        <f aca="false">IF(ISBLANK('Защитные стёкла'!$F$52),"",'Защитные стёкла'!$F$52)</f>
        <v>407.74</v>
      </c>
      <c r="S819" s="292" t="str">
        <f aca="false">IF(ISBLANK('Защитные стёкла'!$H$52),"",'Защитные стёкла'!$H$52)</f>
        <v/>
      </c>
    </row>
    <row r="820" customFormat="false" ht="66" hidden="false" customHeight="true" outlineLevel="0" collapsed="false">
      <c r="A820" s="291" t="str">
        <f aca="true">IF(ISNUMBER($J820),INDIRECT("L"&amp;($J820+4)),"")</f>
        <v/>
      </c>
      <c r="B820" s="291" t="str">
        <f aca="true">IF(ISNUMBER($J820),INDIRECT("M"&amp;($J820+4)),"")</f>
        <v/>
      </c>
      <c r="C820" s="296" t="str">
        <f aca="true">IF(ISNUMBER($J820),INDIRECT("N"&amp;($J820+4)),"")</f>
        <v/>
      </c>
      <c r="D820" s="291" t="str">
        <f aca="true">IF(ISNUMBER($J820),INDIRECT("O"&amp;($J820+4)),"")</f>
        <v/>
      </c>
      <c r="E820" s="291" t="str">
        <f aca="true">IF(ISNUMBER($J820),INDIRECT("P"&amp;($J820+4)),"")</f>
        <v/>
      </c>
      <c r="F820" s="300" t="str">
        <f aca="true">IF(ISNUMBER($J820),INDIRECT("Q"&amp;($J820+4)),"")</f>
        <v/>
      </c>
      <c r="G820" s="298" t="str">
        <f aca="true">IF(ISNUMBER($J820),INDIRECT("R"&amp;($J820+4)),"")</f>
        <v/>
      </c>
      <c r="H820" s="298" t="str">
        <f aca="true">IF(ISNUMBER($J820),INDIRECT("S"&amp;($J820+4)),"")</f>
        <v/>
      </c>
      <c r="J820" s="292" t="str">
        <f aca="true">IF(816&lt;=$K$1,MATCH(815.5,INDIRECT("$K$4:$K$1374"),1),"")</f>
        <v/>
      </c>
      <c r="K820" s="292" t="n">
        <f aca="false">$K$772+COUNTIF($Q$773:Q820,"&gt;0")</f>
        <v>0</v>
      </c>
      <c r="L820" s="292" t="str">
        <f aca="false">"Защитные стёкла"</f>
        <v>Защитные стёкла</v>
      </c>
      <c r="M820" s="292" t="str">
        <f aca="false">IF(ISBLANK('Защитные стёкла'!$A$53),"",'Защитные стёкла'!$A$53)</f>
        <v>Diamond armor полноэкранное HD закаленное стекло набор для  iP16 Pro Max(10шт)(BF6)</v>
      </c>
      <c r="N820" s="292" t="str">
        <f aca="false">IF(ISBLANK('Защитные стёкла'!$D$53),"",'Защитные стёкла'!$D$53)</f>
        <v>6941991116582</v>
      </c>
      <c r="O820" s="292" t="str">
        <f aca="false">IF(ISBLANK('Защитные стёкла'!$E$53),"",'Защитные стёкла'!$E$53)</f>
        <v>черный</v>
      </c>
      <c r="P820" s="292" t="str">
        <f aca="false">"ед."</f>
        <v>ед.</v>
      </c>
      <c r="Q820" s="292" t="n">
        <f aca="false">N('Защитные стёкла'!$G$53)</f>
        <v>0</v>
      </c>
      <c r="R820" s="299" t="n">
        <f aca="false">IF(ISBLANK('Защитные стёкла'!$F$53),"",'Защитные стёкла'!$F$53)</f>
        <v>407.74</v>
      </c>
      <c r="S820" s="292" t="str">
        <f aca="false">IF(ISBLANK('Защитные стёкла'!$H$53),"",'Защитные стёкла'!$H$53)</f>
        <v/>
      </c>
    </row>
    <row r="821" customFormat="false" ht="66" hidden="false" customHeight="true" outlineLevel="0" collapsed="false">
      <c r="A821" s="291" t="str">
        <f aca="true">IF(ISNUMBER($J821),INDIRECT("L"&amp;($J821+4)),"")</f>
        <v/>
      </c>
      <c r="B821" s="291" t="str">
        <f aca="true">IF(ISNUMBER($J821),INDIRECT("M"&amp;($J821+4)),"")</f>
        <v/>
      </c>
      <c r="C821" s="296" t="str">
        <f aca="true">IF(ISNUMBER($J821),INDIRECT("N"&amp;($J821+4)),"")</f>
        <v/>
      </c>
      <c r="D821" s="291" t="str">
        <f aca="true">IF(ISNUMBER($J821),INDIRECT("O"&amp;($J821+4)),"")</f>
        <v/>
      </c>
      <c r="E821" s="291" t="str">
        <f aca="true">IF(ISNUMBER($J821),INDIRECT("P"&amp;($J821+4)),"")</f>
        <v/>
      </c>
      <c r="F821" s="300" t="str">
        <f aca="true">IF(ISNUMBER($J821),INDIRECT("Q"&amp;($J821+4)),"")</f>
        <v/>
      </c>
      <c r="G821" s="298" t="str">
        <f aca="true">IF(ISNUMBER($J821),INDIRECT("R"&amp;($J821+4)),"")</f>
        <v/>
      </c>
      <c r="H821" s="298" t="str">
        <f aca="true">IF(ISNUMBER($J821),INDIRECT("S"&amp;($J821+4)),"")</f>
        <v/>
      </c>
      <c r="J821" s="292" t="str">
        <f aca="true">IF(817&lt;=$K$1,MATCH(816.5,INDIRECT("$K$4:$K$1374"),1),"")</f>
        <v/>
      </c>
      <c r="K821" s="292" t="n">
        <f aca="false">$K$772+COUNTIF($Q$773:Q821,"&gt;0")</f>
        <v>0</v>
      </c>
      <c r="L821" s="292" t="str">
        <f aca="false">"Защитные стёкла"</f>
        <v>Защитные стёкла</v>
      </c>
      <c r="M821" s="292" t="str">
        <f aca="false">IF(ISBLANK('Защитные стёкла'!$A$55),"",'Защитные стёкла'!$A$55)</f>
        <v>Armor Shield series полноэкранное закаленное стекло с защитой от подглядывания  iP15 Pro(BF12)</v>
      </c>
      <c r="N821" s="292" t="str">
        <f aca="false">IF(ISBLANK('Защитные стёкла'!$D$55),"",'Защитные стёкла'!$D$55)</f>
        <v>6941991131479</v>
      </c>
      <c r="O821" s="292" t="str">
        <f aca="false">IF(ISBLANK('Защитные стёкла'!$E$55),"",'Защитные стёкла'!$E$55)</f>
        <v>чёрный</v>
      </c>
      <c r="P821" s="292" t="str">
        <f aca="false">"ед."</f>
        <v>ед.</v>
      </c>
      <c r="Q821" s="292" t="n">
        <f aca="false">N('Защитные стёкла'!$G$55)</f>
        <v>0</v>
      </c>
      <c r="R821" s="299" t="n">
        <f aca="false">IF(ISBLANK('Защитные стёкла'!$F$55),"",'Защитные стёкла'!$F$55)</f>
        <v>138.63</v>
      </c>
      <c r="S821" s="292" t="str">
        <f aca="false">IF(ISBLANK('Защитные стёкла'!$H$55),"",'Защитные стёкла'!$H$55)</f>
        <v/>
      </c>
    </row>
    <row r="822" customFormat="false" ht="66" hidden="false" customHeight="true" outlineLevel="0" collapsed="false">
      <c r="A822" s="291" t="str">
        <f aca="true">IF(ISNUMBER($J822),INDIRECT("L"&amp;($J822+4)),"")</f>
        <v/>
      </c>
      <c r="B822" s="291" t="str">
        <f aca="true">IF(ISNUMBER($J822),INDIRECT("M"&amp;($J822+4)),"")</f>
        <v/>
      </c>
      <c r="C822" s="296" t="str">
        <f aca="true">IF(ISNUMBER($J822),INDIRECT("N"&amp;($J822+4)),"")</f>
        <v/>
      </c>
      <c r="D822" s="291" t="str">
        <f aca="true">IF(ISNUMBER($J822),INDIRECT("O"&amp;($J822+4)),"")</f>
        <v/>
      </c>
      <c r="E822" s="291" t="str">
        <f aca="true">IF(ISNUMBER($J822),INDIRECT("P"&amp;($J822+4)),"")</f>
        <v/>
      </c>
      <c r="F822" s="300" t="str">
        <f aca="true">IF(ISNUMBER($J822),INDIRECT("Q"&amp;($J822+4)),"")</f>
        <v/>
      </c>
      <c r="G822" s="298" t="str">
        <f aca="true">IF(ISNUMBER($J822),INDIRECT("R"&amp;($J822+4)),"")</f>
        <v/>
      </c>
      <c r="H822" s="298" t="str">
        <f aca="true">IF(ISNUMBER($J822),INDIRECT("S"&amp;($J822+4)),"")</f>
        <v/>
      </c>
      <c r="J822" s="292" t="str">
        <f aca="true">IF(818&lt;=$K$1,MATCH(817.5,INDIRECT("$K$4:$K$1374"),1),"")</f>
        <v/>
      </c>
      <c r="K822" s="292" t="n">
        <f aca="false">$K$772+COUNTIF($Q$773:Q822,"&gt;0")</f>
        <v>0</v>
      </c>
      <c r="L822" s="292" t="str">
        <f aca="false">"Защитные стёкла"</f>
        <v>Защитные стёкла</v>
      </c>
      <c r="M822" s="292" t="str">
        <f aca="false">IF(ISBLANK('Защитные стёкла'!$A$56),"",'Защитные стёкла'!$A$56)</f>
        <v>Armor Shield series полноэкранное закаленное стекло с защитой от подглядывания  iP15 Pro Max(BF12)</v>
      </c>
      <c r="N822" s="292" t="str">
        <f aca="false">IF(ISBLANK('Защитные стёкла'!$D$56),"",'Защитные стёкла'!$D$56)</f>
        <v>6941991131486</v>
      </c>
      <c r="O822" s="292" t="str">
        <f aca="false">IF(ISBLANK('Защитные стёкла'!$E$56),"",'Защитные стёкла'!$E$56)</f>
        <v>чёрный</v>
      </c>
      <c r="P822" s="292" t="str">
        <f aca="false">"ед."</f>
        <v>ед.</v>
      </c>
      <c r="Q822" s="292" t="n">
        <f aca="false">N('Защитные стёкла'!$G$56)</f>
        <v>0</v>
      </c>
      <c r="R822" s="299" t="n">
        <f aca="false">IF(ISBLANK('Защитные стёкла'!$F$56),"",'Защитные стёкла'!$F$56)</f>
        <v>138.63</v>
      </c>
      <c r="S822" s="292" t="str">
        <f aca="false">IF(ISBLANK('Защитные стёкла'!$H$56),"",'Защитные стёкла'!$H$56)</f>
        <v/>
      </c>
    </row>
    <row r="823" customFormat="false" ht="66" hidden="false" customHeight="true" outlineLevel="0" collapsed="false">
      <c r="A823" s="291" t="str">
        <f aca="true">IF(ISNUMBER($J823),INDIRECT("L"&amp;($J823+4)),"")</f>
        <v/>
      </c>
      <c r="B823" s="291" t="str">
        <f aca="true">IF(ISNUMBER($J823),INDIRECT("M"&amp;($J823+4)),"")</f>
        <v/>
      </c>
      <c r="C823" s="296" t="str">
        <f aca="true">IF(ISNUMBER($J823),INDIRECT("N"&amp;($J823+4)),"")</f>
        <v/>
      </c>
      <c r="D823" s="291" t="str">
        <f aca="true">IF(ISNUMBER($J823),INDIRECT("O"&amp;($J823+4)),"")</f>
        <v/>
      </c>
      <c r="E823" s="291" t="str">
        <f aca="true">IF(ISNUMBER($J823),INDIRECT("P"&amp;($J823+4)),"")</f>
        <v/>
      </c>
      <c r="F823" s="300" t="str">
        <f aca="true">IF(ISNUMBER($J823),INDIRECT("Q"&amp;($J823+4)),"")</f>
        <v/>
      </c>
      <c r="G823" s="298" t="str">
        <f aca="true">IF(ISNUMBER($J823),INDIRECT("R"&amp;($J823+4)),"")</f>
        <v/>
      </c>
      <c r="H823" s="298" t="str">
        <f aca="true">IF(ISNUMBER($J823),INDIRECT("S"&amp;($J823+4)),"")</f>
        <v/>
      </c>
      <c r="J823" s="292" t="str">
        <f aca="true">IF(819&lt;=$K$1,MATCH(818.5,INDIRECT("$K$4:$K$1374"),1),"")</f>
        <v/>
      </c>
      <c r="K823" s="292" t="n">
        <f aca="false">$K$772+COUNTIF($Q$773:Q823,"&gt;0")</f>
        <v>0</v>
      </c>
      <c r="L823" s="292" t="str">
        <f aca="false">"Защитные стёкла"</f>
        <v>Защитные стёкла</v>
      </c>
      <c r="M823" s="292" t="str">
        <f aca="false">IF(ISBLANK('Защитные стёкла'!$A$57),"",'Защитные стёкла'!$A$57)</f>
        <v>Armor Shield series полноэкранное HD закаленное стекло iP15 Pro(BF11)</v>
      </c>
      <c r="N823" s="292" t="str">
        <f aca="false">IF(ISBLANK('Защитные стёкла'!$D$57),"",'Защитные стёкла'!$D$57)</f>
        <v>6941991131370</v>
      </c>
      <c r="O823" s="292" t="str">
        <f aca="false">IF(ISBLANK('Защитные стёкла'!$E$57),"",'Защитные стёкла'!$E$57)</f>
        <v>чёрный</v>
      </c>
      <c r="P823" s="292" t="str">
        <f aca="false">"ед."</f>
        <v>ед.</v>
      </c>
      <c r="Q823" s="292" t="n">
        <f aca="false">N('Защитные стёкла'!$G$57)</f>
        <v>0</v>
      </c>
      <c r="R823" s="299" t="n">
        <f aca="false">IF(ISBLANK('Защитные стёкла'!$F$57),"",'Защитные стёкла'!$F$57)</f>
        <v>114.17</v>
      </c>
      <c r="S823" s="292" t="str">
        <f aca="false">IF(ISBLANK('Защитные стёкла'!$H$57),"",'Защитные стёкла'!$H$57)</f>
        <v/>
      </c>
    </row>
    <row r="824" customFormat="false" ht="66" hidden="false" customHeight="true" outlineLevel="0" collapsed="false">
      <c r="A824" s="291" t="str">
        <f aca="true">IF(ISNUMBER($J824),INDIRECT("L"&amp;($J824+4)),"")</f>
        <v/>
      </c>
      <c r="B824" s="291" t="str">
        <f aca="true">IF(ISNUMBER($J824),INDIRECT("M"&amp;($J824+4)),"")</f>
        <v/>
      </c>
      <c r="C824" s="296" t="str">
        <f aca="true">IF(ISNUMBER($J824),INDIRECT("N"&amp;($J824+4)),"")</f>
        <v/>
      </c>
      <c r="D824" s="291" t="str">
        <f aca="true">IF(ISNUMBER($J824),INDIRECT("O"&amp;($J824+4)),"")</f>
        <v/>
      </c>
      <c r="E824" s="291" t="str">
        <f aca="true">IF(ISNUMBER($J824),INDIRECT("P"&amp;($J824+4)),"")</f>
        <v/>
      </c>
      <c r="F824" s="300" t="str">
        <f aca="true">IF(ISNUMBER($J824),INDIRECT("Q"&amp;($J824+4)),"")</f>
        <v/>
      </c>
      <c r="G824" s="298" t="str">
        <f aca="true">IF(ISNUMBER($J824),INDIRECT("R"&amp;($J824+4)),"")</f>
        <v/>
      </c>
      <c r="H824" s="298" t="str">
        <f aca="true">IF(ISNUMBER($J824),INDIRECT("S"&amp;($J824+4)),"")</f>
        <v/>
      </c>
      <c r="J824" s="292" t="str">
        <f aca="true">IF(820&lt;=$K$1,MATCH(819.5,INDIRECT("$K$4:$K$1374"),1),"")</f>
        <v/>
      </c>
      <c r="K824" s="292" t="n">
        <f aca="false">$K$772+COUNTIF($Q$773:Q824,"&gt;0")</f>
        <v>0</v>
      </c>
      <c r="L824" s="292" t="str">
        <f aca="false">"Защитные стёкла"</f>
        <v>Защитные стёкла</v>
      </c>
      <c r="M824" s="292" t="str">
        <f aca="false">IF(ISBLANK('Защитные стёкла'!$A$58),"",'Защитные стёкла'!$A$58)</f>
        <v>Armor Shield series полноэкранное HD закаленное стекло iP15 Pro Max(BF11)</v>
      </c>
      <c r="N824" s="292" t="str">
        <f aca="false">IF(ISBLANK('Защитные стёкла'!$D$58),"",'Защитные стёкла'!$D$58)</f>
        <v>6941991131387</v>
      </c>
      <c r="O824" s="292" t="str">
        <f aca="false">IF(ISBLANK('Защитные стёкла'!$E$58),"",'Защитные стёкла'!$E$58)</f>
        <v>чёрный</v>
      </c>
      <c r="P824" s="292" t="str">
        <f aca="false">"ед."</f>
        <v>ед.</v>
      </c>
      <c r="Q824" s="292" t="n">
        <f aca="false">N('Защитные стёкла'!$G$58)</f>
        <v>0</v>
      </c>
      <c r="R824" s="299" t="n">
        <f aca="false">IF(ISBLANK('Защитные стёкла'!$F$58),"",'Защитные стёкла'!$F$58)</f>
        <v>114.17</v>
      </c>
      <c r="S824" s="292" t="str">
        <f aca="false">IF(ISBLANK('Защитные стёкла'!$H$58),"",'Защитные стёкла'!$H$58)</f>
        <v/>
      </c>
    </row>
    <row r="825" customFormat="false" ht="66" hidden="false" customHeight="true" outlineLevel="0" collapsed="false">
      <c r="A825" s="291" t="str">
        <f aca="true">IF(ISNUMBER($J825),INDIRECT("L"&amp;($J825+4)),"")</f>
        <v/>
      </c>
      <c r="B825" s="291" t="str">
        <f aca="true">IF(ISNUMBER($J825),INDIRECT("M"&amp;($J825+4)),"")</f>
        <v/>
      </c>
      <c r="C825" s="296" t="str">
        <f aca="true">IF(ISNUMBER($J825),INDIRECT("N"&amp;($J825+4)),"")</f>
        <v/>
      </c>
      <c r="D825" s="291" t="str">
        <f aca="true">IF(ISNUMBER($J825),INDIRECT("O"&amp;($J825+4)),"")</f>
        <v/>
      </c>
      <c r="E825" s="291" t="str">
        <f aca="true">IF(ISNUMBER($J825),INDIRECT("P"&amp;($J825+4)),"")</f>
        <v/>
      </c>
      <c r="F825" s="300" t="str">
        <f aca="true">IF(ISNUMBER($J825),INDIRECT("Q"&amp;($J825+4)),"")</f>
        <v/>
      </c>
      <c r="G825" s="298" t="str">
        <f aca="true">IF(ISNUMBER($J825),INDIRECT("R"&amp;($J825+4)),"")</f>
        <v/>
      </c>
      <c r="H825" s="298" t="str">
        <f aca="true">IF(ISNUMBER($J825),INDIRECT("S"&amp;($J825+4)),"")</f>
        <v/>
      </c>
      <c r="J825" s="292" t="str">
        <f aca="true">IF(821&lt;=$K$1,MATCH(820.5,INDIRECT("$K$4:$K$1374"),1),"")</f>
        <v/>
      </c>
      <c r="K825" s="292" t="n">
        <f aca="false">$K$772+COUNTIF($Q$773:Q825,"&gt;0")</f>
        <v>0</v>
      </c>
      <c r="L825" s="292" t="str">
        <f aca="false">"Защитные стёкла"</f>
        <v>Защитные стёкла</v>
      </c>
      <c r="M825" s="292" t="str">
        <f aca="false">IF(ISBLANK('Защитные стёкла'!$A$59),"",'Защитные стёкла'!$A$59)</f>
        <v>Armor полноэкранное закаленное стекло с защитой от подглядывания   iP15 Pro(10PCS)(BF10)</v>
      </c>
      <c r="N825" s="292" t="str">
        <f aca="false">IF(ISBLANK('Защитные стёкла'!$D$59),"",'Защитные стёкла'!$D$59)</f>
        <v>6941991131257</v>
      </c>
      <c r="O825" s="292" t="str">
        <f aca="false">IF(ISBLANK('Защитные стёкла'!$E$59),"",'Защитные стёкла'!$E$59)</f>
        <v>чёрный</v>
      </c>
      <c r="P825" s="292" t="str">
        <f aca="false">"ед."</f>
        <v>ед.</v>
      </c>
      <c r="Q825" s="292" t="n">
        <f aca="false">N('Защитные стёкла'!$G$59)</f>
        <v>0</v>
      </c>
      <c r="R825" s="299" t="n">
        <f aca="false">IF(ISBLANK('Защитные стёкла'!$F$59),"",'Защитные стёкла'!$F$59)</f>
        <v>546.37</v>
      </c>
      <c r="S825" s="292" t="str">
        <f aca="false">IF(ISBLANK('Защитные стёкла'!$H$59),"",'Защитные стёкла'!$H$59)</f>
        <v/>
      </c>
    </row>
    <row r="826" customFormat="false" ht="66" hidden="false" customHeight="true" outlineLevel="0" collapsed="false">
      <c r="A826" s="291" t="str">
        <f aca="true">IF(ISNUMBER($J826),INDIRECT("L"&amp;($J826+4)),"")</f>
        <v/>
      </c>
      <c r="B826" s="291" t="str">
        <f aca="true">IF(ISNUMBER($J826),INDIRECT("M"&amp;($J826+4)),"")</f>
        <v/>
      </c>
      <c r="C826" s="296" t="str">
        <f aca="true">IF(ISNUMBER($J826),INDIRECT("N"&amp;($J826+4)),"")</f>
        <v/>
      </c>
      <c r="D826" s="291" t="str">
        <f aca="true">IF(ISNUMBER($J826),INDIRECT("O"&amp;($J826+4)),"")</f>
        <v/>
      </c>
      <c r="E826" s="291" t="str">
        <f aca="true">IF(ISNUMBER($J826),INDIRECT("P"&amp;($J826+4)),"")</f>
        <v/>
      </c>
      <c r="F826" s="300" t="str">
        <f aca="true">IF(ISNUMBER($J826),INDIRECT("Q"&amp;($J826+4)),"")</f>
        <v/>
      </c>
      <c r="G826" s="298" t="str">
        <f aca="true">IF(ISNUMBER($J826),INDIRECT("R"&amp;($J826+4)),"")</f>
        <v/>
      </c>
      <c r="H826" s="298" t="str">
        <f aca="true">IF(ISNUMBER($J826),INDIRECT("S"&amp;($J826+4)),"")</f>
        <v/>
      </c>
      <c r="J826" s="292" t="str">
        <f aca="true">IF(822&lt;=$K$1,MATCH(821.5,INDIRECT("$K$4:$K$1374"),1),"")</f>
        <v/>
      </c>
      <c r="K826" s="292" t="n">
        <f aca="false">$K$772+COUNTIF($Q$773:Q826,"&gt;0")</f>
        <v>0</v>
      </c>
      <c r="L826" s="292" t="str">
        <f aca="false">"Защитные стёкла"</f>
        <v>Защитные стёкла</v>
      </c>
      <c r="M826" s="292" t="str">
        <f aca="false">IF(ISBLANK('Защитные стёкла'!$A$60),"",'Защитные стёкла'!$A$60)</f>
        <v>Armor полноэкранное закаленное стекло с защитой от подглядывания   iP15 Pro Max(10PCS)(BF10)</v>
      </c>
      <c r="N826" s="292" t="str">
        <f aca="false">IF(ISBLANK('Защитные стёкла'!$D$60),"",'Защитные стёкла'!$D$60)</f>
        <v>6941991131264</v>
      </c>
      <c r="O826" s="292" t="str">
        <f aca="false">IF(ISBLANK('Защитные стёкла'!$E$60),"",'Защитные стёкла'!$E$60)</f>
        <v>чёрный</v>
      </c>
      <c r="P826" s="292" t="str">
        <f aca="false">"ед."</f>
        <v>ед.</v>
      </c>
      <c r="Q826" s="292" t="n">
        <f aca="false">N('Защитные стёкла'!$G$60)</f>
        <v>0</v>
      </c>
      <c r="R826" s="299" t="n">
        <f aca="false">IF(ISBLANK('Защитные стёкла'!$F$60),"",'Защитные стёкла'!$F$60)</f>
        <v>546.37</v>
      </c>
      <c r="S826" s="292" t="str">
        <f aca="false">IF(ISBLANK('Защитные стёкла'!$H$60),"",'Защитные стёкла'!$H$60)</f>
        <v/>
      </c>
    </row>
    <row r="827" customFormat="false" ht="66" hidden="false" customHeight="true" outlineLevel="0" collapsed="false">
      <c r="A827" s="291" t="str">
        <f aca="true">IF(ISNUMBER($J827),INDIRECT("L"&amp;($J827+4)),"")</f>
        <v/>
      </c>
      <c r="B827" s="291" t="str">
        <f aca="true">IF(ISNUMBER($J827),INDIRECT("M"&amp;($J827+4)),"")</f>
        <v/>
      </c>
      <c r="C827" s="296" t="str">
        <f aca="true">IF(ISNUMBER($J827),INDIRECT("N"&amp;($J827+4)),"")</f>
        <v/>
      </c>
      <c r="D827" s="291" t="str">
        <f aca="true">IF(ISNUMBER($J827),INDIRECT("O"&amp;($J827+4)),"")</f>
        <v/>
      </c>
      <c r="E827" s="291" t="str">
        <f aca="true">IF(ISNUMBER($J827),INDIRECT("P"&amp;($J827+4)),"")</f>
        <v/>
      </c>
      <c r="F827" s="300" t="str">
        <f aca="true">IF(ISNUMBER($J827),INDIRECT("Q"&amp;($J827+4)),"")</f>
        <v/>
      </c>
      <c r="G827" s="298" t="str">
        <f aca="true">IF(ISNUMBER($J827),INDIRECT("R"&amp;($J827+4)),"")</f>
        <v/>
      </c>
      <c r="H827" s="298" t="str">
        <f aca="true">IF(ISNUMBER($J827),INDIRECT("S"&amp;($J827+4)),"")</f>
        <v/>
      </c>
      <c r="J827" s="292" t="str">
        <f aca="true">IF(823&lt;=$K$1,MATCH(822.5,INDIRECT("$K$4:$K$1374"),1),"")</f>
        <v/>
      </c>
      <c r="K827" s="292" t="n">
        <f aca="false">$K$772+COUNTIF($Q$773:Q827,"&gt;0")</f>
        <v>0</v>
      </c>
      <c r="L827" s="292" t="str">
        <f aca="false">"Защитные стёкла"</f>
        <v>Защитные стёкла</v>
      </c>
      <c r="M827" s="292" t="str">
        <f aca="false">IF(ISBLANK('Защитные стёкла'!$A$61),"",'Защитные стёкла'!$A$61)</f>
        <v>Armor полноэкранное HD закаленное стекло набор iP15 Pro(10PCS)(BF9)</v>
      </c>
      <c r="N827" s="292" t="str">
        <f aca="false">IF(ISBLANK('Защитные стёкла'!$D$61),"",'Защитные стёкла'!$D$61)</f>
        <v>6941991131158</v>
      </c>
      <c r="O827" s="292" t="str">
        <f aca="false">IF(ISBLANK('Защитные стёкла'!$E$61),"",'Защитные стёкла'!$E$61)</f>
        <v>чёрный</v>
      </c>
      <c r="P827" s="292" t="str">
        <f aca="false">"ед."</f>
        <v>ед.</v>
      </c>
      <c r="Q827" s="292" t="n">
        <f aca="false">N('Защитные стёкла'!$G$61)</f>
        <v>0</v>
      </c>
      <c r="R827" s="299" t="n">
        <f aca="false">IF(ISBLANK('Защитные стёкла'!$F$61),"",'Защитные стёкла'!$F$61)</f>
        <v>342.5</v>
      </c>
      <c r="S827" s="292" t="str">
        <f aca="false">IF(ISBLANK('Защитные стёкла'!$H$61),"",'Защитные стёкла'!$H$61)</f>
        <v/>
      </c>
    </row>
    <row r="828" customFormat="false" ht="66" hidden="false" customHeight="true" outlineLevel="0" collapsed="false">
      <c r="A828" s="291" t="str">
        <f aca="true">IF(ISNUMBER($J828),INDIRECT("L"&amp;($J828+4)),"")</f>
        <v/>
      </c>
      <c r="B828" s="291" t="str">
        <f aca="true">IF(ISNUMBER($J828),INDIRECT("M"&amp;($J828+4)),"")</f>
        <v/>
      </c>
      <c r="C828" s="296" t="str">
        <f aca="true">IF(ISNUMBER($J828),INDIRECT("N"&amp;($J828+4)),"")</f>
        <v/>
      </c>
      <c r="D828" s="291" t="str">
        <f aca="true">IF(ISNUMBER($J828),INDIRECT("O"&amp;($J828+4)),"")</f>
        <v/>
      </c>
      <c r="E828" s="291" t="str">
        <f aca="true">IF(ISNUMBER($J828),INDIRECT("P"&amp;($J828+4)),"")</f>
        <v/>
      </c>
      <c r="F828" s="300" t="str">
        <f aca="true">IF(ISNUMBER($J828),INDIRECT("Q"&amp;($J828+4)),"")</f>
        <v/>
      </c>
      <c r="G828" s="298" t="str">
        <f aca="true">IF(ISNUMBER($J828),INDIRECT("R"&amp;($J828+4)),"")</f>
        <v/>
      </c>
      <c r="H828" s="298" t="str">
        <f aca="true">IF(ISNUMBER($J828),INDIRECT("S"&amp;($J828+4)),"")</f>
        <v/>
      </c>
      <c r="J828" s="292" t="str">
        <f aca="true">IF(824&lt;=$K$1,MATCH(823.5,INDIRECT("$K$4:$K$1374"),1),"")</f>
        <v/>
      </c>
      <c r="K828" s="292" t="n">
        <f aca="false">$K$772+COUNTIF($Q$773:Q828,"&gt;0")</f>
        <v>0</v>
      </c>
      <c r="L828" s="292" t="str">
        <f aca="false">"Защитные стёкла"</f>
        <v>Защитные стёкла</v>
      </c>
      <c r="M828" s="292" t="str">
        <f aca="false">IF(ISBLANK('Защитные стёкла'!$A$62),"",'Защитные стёкла'!$A$62)</f>
        <v>Armor полноэкранное HD закаленное стекло набор iP15 Pro Max(10PCS)(BF9)</v>
      </c>
      <c r="N828" s="292" t="str">
        <f aca="false">IF(ISBLANK('Защитные стёкла'!$D$62),"",'Защитные стёкла'!$D$62)</f>
        <v>6941991131165</v>
      </c>
      <c r="O828" s="292" t="str">
        <f aca="false">IF(ISBLANK('Защитные стёкла'!$E$62),"",'Защитные стёкла'!$E$62)</f>
        <v>чёрный</v>
      </c>
      <c r="P828" s="292" t="str">
        <f aca="false">"ед."</f>
        <v>ед.</v>
      </c>
      <c r="Q828" s="292" t="n">
        <f aca="false">N('Защитные стёкла'!$G$62)</f>
        <v>0</v>
      </c>
      <c r="R828" s="299" t="n">
        <f aca="false">IF(ISBLANK('Защитные стёкла'!$F$62),"",'Защитные стёкла'!$F$62)</f>
        <v>342.5</v>
      </c>
      <c r="S828" s="292" t="str">
        <f aca="false">IF(ISBLANK('Защитные стёкла'!$H$62),"",'Защитные стёкла'!$H$62)</f>
        <v/>
      </c>
    </row>
    <row r="829" customFormat="false" ht="66" hidden="false" customHeight="true" outlineLevel="0" collapsed="false">
      <c r="A829" s="291" t="str">
        <f aca="true">IF(ISNUMBER($J829),INDIRECT("L"&amp;($J829+4)),"")</f>
        <v/>
      </c>
      <c r="B829" s="291" t="str">
        <f aca="true">IF(ISNUMBER($J829),INDIRECT("M"&amp;($J829+4)),"")</f>
        <v/>
      </c>
      <c r="C829" s="296" t="str">
        <f aca="true">IF(ISNUMBER($J829),INDIRECT("N"&amp;($J829+4)),"")</f>
        <v/>
      </c>
      <c r="D829" s="291" t="str">
        <f aca="true">IF(ISNUMBER($J829),INDIRECT("O"&amp;($J829+4)),"")</f>
        <v/>
      </c>
      <c r="E829" s="291" t="str">
        <f aca="true">IF(ISNUMBER($J829),INDIRECT("P"&amp;($J829+4)),"")</f>
        <v/>
      </c>
      <c r="F829" s="300" t="str">
        <f aca="true">IF(ISNUMBER($J829),INDIRECT("Q"&amp;($J829+4)),"")</f>
        <v/>
      </c>
      <c r="G829" s="298" t="str">
        <f aca="true">IF(ISNUMBER($J829),INDIRECT("R"&amp;($J829+4)),"")</f>
        <v/>
      </c>
      <c r="H829" s="298" t="str">
        <f aca="true">IF(ISNUMBER($J829),INDIRECT("S"&amp;($J829+4)),"")</f>
        <v/>
      </c>
      <c r="J829" s="292" t="str">
        <f aca="true">IF(825&lt;=$K$1,MATCH(824.5,INDIRECT("$K$4:$K$1374"),1),"")</f>
        <v/>
      </c>
      <c r="K829" s="292" t="n">
        <f aca="false">$K$772+COUNTIF($Q$773:Q829,"&gt;0")</f>
        <v>0</v>
      </c>
      <c r="L829" s="292" t="str">
        <f aca="false">"Защитные стёкла"</f>
        <v>Защитные стёкла</v>
      </c>
      <c r="M829" s="292" t="str">
        <f aca="false">IF(ISBLANK('Защитные стёкла'!$A$63),"",'Защитные стёкла'!$A$63)</f>
        <v>Diamond armor полноэкранное 5D закаленное стекло с большой дугой набор дляiP15(10шт)(BF8)</v>
      </c>
      <c r="N829" s="292" t="str">
        <f aca="false">IF(ISBLANK('Защитные стёкла'!$D$63),"",'Защитные стёкла'!$D$63)</f>
        <v>6941991106040</v>
      </c>
      <c r="O829" s="292" t="str">
        <f aca="false">IF(ISBLANK('Защитные стёкла'!$E$63),"",'Защитные стёкла'!$E$63)</f>
        <v>черный</v>
      </c>
      <c r="P829" s="292" t="str">
        <f aca="false">"ед."</f>
        <v>ед.</v>
      </c>
      <c r="Q829" s="292" t="n">
        <f aca="false">N('Защитные стёкла'!$G$63)</f>
        <v>0</v>
      </c>
      <c r="R829" s="299" t="n">
        <f aca="false">IF(ISBLANK('Защитные стёкла'!$F$63),"",'Защитные стёкла'!$F$63)</f>
        <v>505.59</v>
      </c>
      <c r="S829" s="292" t="str">
        <f aca="false">IF(ISBLANK('Защитные стёкла'!$H$63),"",'Защитные стёкла'!$H$63)</f>
        <v/>
      </c>
    </row>
    <row r="830" customFormat="false" ht="66" hidden="false" customHeight="true" outlineLevel="0" collapsed="false">
      <c r="A830" s="291" t="str">
        <f aca="true">IF(ISNUMBER($J830),INDIRECT("L"&amp;($J830+4)),"")</f>
        <v/>
      </c>
      <c r="B830" s="291" t="str">
        <f aca="true">IF(ISNUMBER($J830),INDIRECT("M"&amp;($J830+4)),"")</f>
        <v/>
      </c>
      <c r="C830" s="296" t="str">
        <f aca="true">IF(ISNUMBER($J830),INDIRECT("N"&amp;($J830+4)),"")</f>
        <v/>
      </c>
      <c r="D830" s="291" t="str">
        <f aca="true">IF(ISNUMBER($J830),INDIRECT("O"&amp;($J830+4)),"")</f>
        <v/>
      </c>
      <c r="E830" s="291" t="str">
        <f aca="true">IF(ISNUMBER($J830),INDIRECT("P"&amp;($J830+4)),"")</f>
        <v/>
      </c>
      <c r="F830" s="300" t="str">
        <f aca="true">IF(ISNUMBER($J830),INDIRECT("Q"&amp;($J830+4)),"")</f>
        <v/>
      </c>
      <c r="G830" s="298" t="str">
        <f aca="true">IF(ISNUMBER($J830),INDIRECT("R"&amp;($J830+4)),"")</f>
        <v/>
      </c>
      <c r="H830" s="298" t="str">
        <f aca="true">IF(ISNUMBER($J830),INDIRECT("S"&amp;($J830+4)),"")</f>
        <v/>
      </c>
      <c r="J830" s="292" t="str">
        <f aca="true">IF(826&lt;=$K$1,MATCH(825.5,INDIRECT("$K$4:$K$1374"),1),"")</f>
        <v/>
      </c>
      <c r="K830" s="292" t="n">
        <f aca="false">$K$772+COUNTIF($Q$773:Q830,"&gt;0")</f>
        <v>0</v>
      </c>
      <c r="L830" s="292" t="str">
        <f aca="false">"Защитные стёкла"</f>
        <v>Защитные стёкла</v>
      </c>
      <c r="M830" s="292" t="str">
        <f aca="false">IF(ISBLANK('Защитные стёкла'!$A$64),"",'Защитные стёкла'!$A$64)</f>
        <v>Diamond armor полноэкранное 5D закаленное стекло с большой дугой набор дляiP15 Plus(10шт)(BF8)</v>
      </c>
      <c r="N830" s="292" t="str">
        <f aca="false">IF(ISBLANK('Защитные стёкла'!$D$64),"",'Защитные стёкла'!$D$64)</f>
        <v>6941991106057</v>
      </c>
      <c r="O830" s="292" t="str">
        <f aca="false">IF(ISBLANK('Защитные стёкла'!$E$64),"",'Защитные стёкла'!$E$64)</f>
        <v>черный</v>
      </c>
      <c r="P830" s="292" t="str">
        <f aca="false">"ед."</f>
        <v>ед.</v>
      </c>
      <c r="Q830" s="292" t="n">
        <f aca="false">N('Защитные стёкла'!$G$64)</f>
        <v>0</v>
      </c>
      <c r="R830" s="299" t="n">
        <f aca="false">IF(ISBLANK('Защитные стёкла'!$F$64),"",'Защитные стёкла'!$F$64)</f>
        <v>505.59</v>
      </c>
      <c r="S830" s="292" t="str">
        <f aca="false">IF(ISBLANK('Защитные стёкла'!$H$64),"",'Защитные стёкла'!$H$64)</f>
        <v/>
      </c>
    </row>
    <row r="831" customFormat="false" ht="66" hidden="false" customHeight="true" outlineLevel="0" collapsed="false">
      <c r="A831" s="291" t="str">
        <f aca="true">IF(ISNUMBER($J831),INDIRECT("L"&amp;($J831+4)),"")</f>
        <v/>
      </c>
      <c r="B831" s="291" t="str">
        <f aca="true">IF(ISNUMBER($J831),INDIRECT("M"&amp;($J831+4)),"")</f>
        <v/>
      </c>
      <c r="C831" s="296" t="str">
        <f aca="true">IF(ISNUMBER($J831),INDIRECT("N"&amp;($J831+4)),"")</f>
        <v/>
      </c>
      <c r="D831" s="291" t="str">
        <f aca="true">IF(ISNUMBER($J831),INDIRECT("O"&amp;($J831+4)),"")</f>
        <v/>
      </c>
      <c r="E831" s="291" t="str">
        <f aca="true">IF(ISNUMBER($J831),INDIRECT("P"&amp;($J831+4)),"")</f>
        <v/>
      </c>
      <c r="F831" s="300" t="str">
        <f aca="true">IF(ISNUMBER($J831),INDIRECT("Q"&amp;($J831+4)),"")</f>
        <v/>
      </c>
      <c r="G831" s="298" t="str">
        <f aca="true">IF(ISNUMBER($J831),INDIRECT("R"&amp;($J831+4)),"")</f>
        <v/>
      </c>
      <c r="H831" s="298" t="str">
        <f aca="true">IF(ISNUMBER($J831),INDIRECT("S"&amp;($J831+4)),"")</f>
        <v/>
      </c>
      <c r="J831" s="292" t="str">
        <f aca="true">IF(827&lt;=$K$1,MATCH(826.5,INDIRECT("$K$4:$K$1374"),1),"")</f>
        <v/>
      </c>
      <c r="K831" s="292" t="n">
        <f aca="false">$K$772+COUNTIF($Q$773:Q831,"&gt;0")</f>
        <v>0</v>
      </c>
      <c r="L831" s="292" t="str">
        <f aca="false">"Защитные стёкла"</f>
        <v>Защитные стёкла</v>
      </c>
      <c r="M831" s="292" t="str">
        <f aca="false">IF(ISBLANK('Защитные стёкла'!$A$65),"",'Защитные стёкла'!$A$65)</f>
        <v>Diamond armor полноэкранное 5D закаленное стекло с большой дугой набор дляiP15 Pro(10шт)(BF8)</v>
      </c>
      <c r="N831" s="292" t="str">
        <f aca="false">IF(ISBLANK('Защитные стёкла'!$D$65),"",'Защитные стёкла'!$D$65)</f>
        <v>6941991106064</v>
      </c>
      <c r="O831" s="292" t="str">
        <f aca="false">IF(ISBLANK('Защитные стёкла'!$E$65),"",'Защитные стёкла'!$E$65)</f>
        <v>черный</v>
      </c>
      <c r="P831" s="292" t="str">
        <f aca="false">"ед."</f>
        <v>ед.</v>
      </c>
      <c r="Q831" s="292" t="n">
        <f aca="false">N('Защитные стёкла'!$G$65)</f>
        <v>0</v>
      </c>
      <c r="R831" s="299" t="n">
        <f aca="false">IF(ISBLANK('Защитные стёкла'!$F$65),"",'Защитные стёкла'!$F$65)</f>
        <v>505.59</v>
      </c>
      <c r="S831" s="292" t="str">
        <f aca="false">IF(ISBLANK('Защитные стёкла'!$H$65),"",'Защитные стёкла'!$H$65)</f>
        <v/>
      </c>
    </row>
    <row r="832" customFormat="false" ht="66" hidden="false" customHeight="true" outlineLevel="0" collapsed="false">
      <c r="A832" s="291" t="str">
        <f aca="true">IF(ISNUMBER($J832),INDIRECT("L"&amp;($J832+4)),"")</f>
        <v/>
      </c>
      <c r="B832" s="291" t="str">
        <f aca="true">IF(ISNUMBER($J832),INDIRECT("M"&amp;($J832+4)),"")</f>
        <v/>
      </c>
      <c r="C832" s="296" t="str">
        <f aca="true">IF(ISNUMBER($J832),INDIRECT("N"&amp;($J832+4)),"")</f>
        <v/>
      </c>
      <c r="D832" s="291" t="str">
        <f aca="true">IF(ISNUMBER($J832),INDIRECT("O"&amp;($J832+4)),"")</f>
        <v/>
      </c>
      <c r="E832" s="291" t="str">
        <f aca="true">IF(ISNUMBER($J832),INDIRECT("P"&amp;($J832+4)),"")</f>
        <v/>
      </c>
      <c r="F832" s="300" t="str">
        <f aca="true">IF(ISNUMBER($J832),INDIRECT("Q"&amp;($J832+4)),"")</f>
        <v/>
      </c>
      <c r="G832" s="298" t="str">
        <f aca="true">IF(ISNUMBER($J832),INDIRECT("R"&amp;($J832+4)),"")</f>
        <v/>
      </c>
      <c r="H832" s="298" t="str">
        <f aca="true">IF(ISNUMBER($J832),INDIRECT("S"&amp;($J832+4)),"")</f>
        <v/>
      </c>
      <c r="J832" s="292" t="str">
        <f aca="true">IF(828&lt;=$K$1,MATCH(827.5,INDIRECT("$K$4:$K$1374"),1),"")</f>
        <v/>
      </c>
      <c r="K832" s="292" t="n">
        <f aca="false">$K$772+COUNTIF($Q$773:Q832,"&gt;0")</f>
        <v>0</v>
      </c>
      <c r="L832" s="292" t="str">
        <f aca="false">"Защитные стёкла"</f>
        <v>Защитные стёкла</v>
      </c>
      <c r="M832" s="292" t="str">
        <f aca="false">IF(ISBLANK('Защитные стёкла'!$A$66),"",'Защитные стёкла'!$A$66)</f>
        <v>Diamond armor полноэкранное 5D закаленное стекло с большой дугой набор дляiP15 Pro Max(10шт)(BF8)</v>
      </c>
      <c r="N832" s="292" t="str">
        <f aca="false">IF(ISBLANK('Защитные стёкла'!$D$66),"",'Защитные стёкла'!$D$66)</f>
        <v>6941991106071</v>
      </c>
      <c r="O832" s="292" t="str">
        <f aca="false">IF(ISBLANK('Защитные стёкла'!$E$66),"",'Защитные стёкла'!$E$66)</f>
        <v>черный</v>
      </c>
      <c r="P832" s="292" t="str">
        <f aca="false">"ед."</f>
        <v>ед.</v>
      </c>
      <c r="Q832" s="292" t="n">
        <f aca="false">N('Защитные стёкла'!$G$66)</f>
        <v>0</v>
      </c>
      <c r="R832" s="299" t="n">
        <f aca="false">IF(ISBLANK('Защитные стёкла'!$F$66),"",'Защитные стёкла'!$F$66)</f>
        <v>505.59</v>
      </c>
      <c r="S832" s="292" t="str">
        <f aca="false">IF(ISBLANK('Защитные стёкла'!$H$66),"",'Защитные стёкла'!$H$66)</f>
        <v/>
      </c>
    </row>
    <row r="833" customFormat="false" ht="66" hidden="false" customHeight="true" outlineLevel="0" collapsed="false">
      <c r="A833" s="291" t="str">
        <f aca="true">IF(ISNUMBER($J833),INDIRECT("L"&amp;($J833+4)),"")</f>
        <v/>
      </c>
      <c r="B833" s="291" t="str">
        <f aca="true">IF(ISNUMBER($J833),INDIRECT("M"&amp;($J833+4)),"")</f>
        <v/>
      </c>
      <c r="C833" s="296" t="str">
        <f aca="true">IF(ISNUMBER($J833),INDIRECT("N"&amp;($J833+4)),"")</f>
        <v/>
      </c>
      <c r="D833" s="291" t="str">
        <f aca="true">IF(ISNUMBER($J833),INDIRECT("O"&amp;($J833+4)),"")</f>
        <v/>
      </c>
      <c r="E833" s="291" t="str">
        <f aca="true">IF(ISNUMBER($J833),INDIRECT("P"&amp;($J833+4)),"")</f>
        <v/>
      </c>
      <c r="F833" s="300" t="str">
        <f aca="true">IF(ISNUMBER($J833),INDIRECT("Q"&amp;($J833+4)),"")</f>
        <v/>
      </c>
      <c r="G833" s="298" t="str">
        <f aca="true">IF(ISNUMBER($J833),INDIRECT("R"&amp;($J833+4)),"")</f>
        <v/>
      </c>
      <c r="H833" s="298" t="str">
        <f aca="true">IF(ISNUMBER($J833),INDIRECT("S"&amp;($J833+4)),"")</f>
        <v/>
      </c>
      <c r="J833" s="292" t="str">
        <f aca="true">IF(829&lt;=$K$1,MATCH(828.5,INDIRECT("$K$4:$K$1374"),1),"")</f>
        <v/>
      </c>
      <c r="K833" s="292" t="n">
        <f aca="false">$K$772+COUNTIF($Q$773:Q833,"&gt;0")</f>
        <v>0</v>
      </c>
      <c r="L833" s="292" t="str">
        <f aca="false">"Защитные стёкла"</f>
        <v>Защитные стёкла</v>
      </c>
      <c r="M833" s="292" t="str">
        <f aca="false">IF(ISBLANK('Защитные стёкла'!$A$67),"",'Защитные стёкла'!$A$67)</f>
        <v>Diamond armor полноэкранное закаленное стекло с защитой от подглядывания набор для iP15(10шт)(BF7)</v>
      </c>
      <c r="N833" s="292" t="str">
        <f aca="false">IF(ISBLANK('Защитные стёкла'!$D$67),"",'Защитные стёкла'!$D$67)</f>
        <v>6941991106088</v>
      </c>
      <c r="O833" s="292" t="str">
        <f aca="false">IF(ISBLANK('Защитные стёкла'!$E$67),"",'Защитные стёкла'!$E$67)</f>
        <v>черный</v>
      </c>
      <c r="P833" s="292" t="str">
        <f aca="false">"ед."</f>
        <v>ед.</v>
      </c>
      <c r="Q833" s="292" t="n">
        <f aca="false">N('Защитные стёкла'!$G$67)</f>
        <v>0</v>
      </c>
      <c r="R833" s="299" t="n">
        <f aca="false">IF(ISBLANK('Защитные стёкла'!$F$67),"",'Защитные стёкла'!$F$67)</f>
        <v>616.5</v>
      </c>
      <c r="S833" s="292" t="str">
        <f aca="false">IF(ISBLANK('Защитные стёкла'!$H$67),"",'Защитные стёкла'!$H$67)</f>
        <v/>
      </c>
    </row>
    <row r="834" customFormat="false" ht="66" hidden="false" customHeight="true" outlineLevel="0" collapsed="false">
      <c r="A834" s="291" t="str">
        <f aca="true">IF(ISNUMBER($J834),INDIRECT("L"&amp;($J834+4)),"")</f>
        <v/>
      </c>
      <c r="B834" s="291" t="str">
        <f aca="true">IF(ISNUMBER($J834),INDIRECT("M"&amp;($J834+4)),"")</f>
        <v/>
      </c>
      <c r="C834" s="296" t="str">
        <f aca="true">IF(ISNUMBER($J834),INDIRECT("N"&amp;($J834+4)),"")</f>
        <v/>
      </c>
      <c r="D834" s="291" t="str">
        <f aca="true">IF(ISNUMBER($J834),INDIRECT("O"&amp;($J834+4)),"")</f>
        <v/>
      </c>
      <c r="E834" s="291" t="str">
        <f aca="true">IF(ISNUMBER($J834),INDIRECT("P"&amp;($J834+4)),"")</f>
        <v/>
      </c>
      <c r="F834" s="300" t="str">
        <f aca="true">IF(ISNUMBER($J834),INDIRECT("Q"&amp;($J834+4)),"")</f>
        <v/>
      </c>
      <c r="G834" s="298" t="str">
        <f aca="true">IF(ISNUMBER($J834),INDIRECT("R"&amp;($J834+4)),"")</f>
        <v/>
      </c>
      <c r="H834" s="298" t="str">
        <f aca="true">IF(ISNUMBER($J834),INDIRECT("S"&amp;($J834+4)),"")</f>
        <v/>
      </c>
      <c r="J834" s="292" t="str">
        <f aca="true">IF(830&lt;=$K$1,MATCH(829.5,INDIRECT("$K$4:$K$1374"),1),"")</f>
        <v/>
      </c>
      <c r="K834" s="292" t="n">
        <f aca="false">$K$772+COUNTIF($Q$773:Q834,"&gt;0")</f>
        <v>0</v>
      </c>
      <c r="L834" s="292" t="str">
        <f aca="false">"Защитные стёкла"</f>
        <v>Защитные стёкла</v>
      </c>
      <c r="M834" s="292" t="str">
        <f aca="false">IF(ISBLANK('Защитные стёкла'!$A$68),"",'Защитные стёкла'!$A$68)</f>
        <v>Diamond armor полноэкранное закаленное стекло с защитой от подглядывания набор для iP15 Plus(10шт)(BF7)</v>
      </c>
      <c r="N834" s="292" t="str">
        <f aca="false">IF(ISBLANK('Защитные стёкла'!$D$68),"",'Защитные стёкла'!$D$68)</f>
        <v>6941991106095</v>
      </c>
      <c r="O834" s="292" t="str">
        <f aca="false">IF(ISBLANK('Защитные стёкла'!$E$68),"",'Защитные стёкла'!$E$68)</f>
        <v>черный</v>
      </c>
      <c r="P834" s="292" t="str">
        <f aca="false">"ед."</f>
        <v>ед.</v>
      </c>
      <c r="Q834" s="292" t="n">
        <f aca="false">N('Защитные стёкла'!$G$68)</f>
        <v>0</v>
      </c>
      <c r="R834" s="299" t="n">
        <f aca="false">IF(ISBLANK('Защитные стёкла'!$F$68),"",'Защитные стёкла'!$F$68)</f>
        <v>616.5</v>
      </c>
      <c r="S834" s="292" t="str">
        <f aca="false">IF(ISBLANK('Защитные стёкла'!$H$68),"",'Защитные стёкла'!$H$68)</f>
        <v/>
      </c>
    </row>
    <row r="835" customFormat="false" ht="66" hidden="false" customHeight="true" outlineLevel="0" collapsed="false">
      <c r="A835" s="291" t="str">
        <f aca="true">IF(ISNUMBER($J835),INDIRECT("L"&amp;($J835+4)),"")</f>
        <v/>
      </c>
      <c r="B835" s="291" t="str">
        <f aca="true">IF(ISNUMBER($J835),INDIRECT("M"&amp;($J835+4)),"")</f>
        <v/>
      </c>
      <c r="C835" s="296" t="str">
        <f aca="true">IF(ISNUMBER($J835),INDIRECT("N"&amp;($J835+4)),"")</f>
        <v/>
      </c>
      <c r="D835" s="291" t="str">
        <f aca="true">IF(ISNUMBER($J835),INDIRECT("O"&amp;($J835+4)),"")</f>
        <v/>
      </c>
      <c r="E835" s="291" t="str">
        <f aca="true">IF(ISNUMBER($J835),INDIRECT("P"&amp;($J835+4)),"")</f>
        <v/>
      </c>
      <c r="F835" s="300" t="str">
        <f aca="true">IF(ISNUMBER($J835),INDIRECT("Q"&amp;($J835+4)),"")</f>
        <v/>
      </c>
      <c r="G835" s="298" t="str">
        <f aca="true">IF(ISNUMBER($J835),INDIRECT("R"&amp;($J835+4)),"")</f>
        <v/>
      </c>
      <c r="H835" s="298" t="str">
        <f aca="true">IF(ISNUMBER($J835),INDIRECT("S"&amp;($J835+4)),"")</f>
        <v/>
      </c>
      <c r="J835" s="292" t="str">
        <f aca="true">IF(831&lt;=$K$1,MATCH(830.5,INDIRECT("$K$4:$K$1374"),1),"")</f>
        <v/>
      </c>
      <c r="K835" s="292" t="n">
        <f aca="false">$K$772+COUNTIF($Q$773:Q835,"&gt;0")</f>
        <v>0</v>
      </c>
      <c r="L835" s="292" t="str">
        <f aca="false">"Защитные стёкла"</f>
        <v>Защитные стёкла</v>
      </c>
      <c r="M835" s="292" t="str">
        <f aca="false">IF(ISBLANK('Защитные стёкла'!$A$69),"",'Защитные стёкла'!$A$69)</f>
        <v>Diamond armor полноэкранное закаленное стекло с защитой от подглядывания набор для iP15 Pro(10шт)(BF7)</v>
      </c>
      <c r="N835" s="292" t="str">
        <f aca="false">IF(ISBLANK('Защитные стёкла'!$D$69),"",'Защитные стёкла'!$D$69)</f>
        <v>6941991106101</v>
      </c>
      <c r="O835" s="292" t="str">
        <f aca="false">IF(ISBLANK('Защитные стёкла'!$E$69),"",'Защитные стёкла'!$E$69)</f>
        <v>черный</v>
      </c>
      <c r="P835" s="292" t="str">
        <f aca="false">"ед."</f>
        <v>ед.</v>
      </c>
      <c r="Q835" s="292" t="n">
        <f aca="false">N('Защитные стёкла'!$G$69)</f>
        <v>0</v>
      </c>
      <c r="R835" s="299" t="n">
        <f aca="false">IF(ISBLANK('Защитные стёкла'!$F$69),"",'Защитные стёкла'!$F$69)</f>
        <v>616.5</v>
      </c>
      <c r="S835" s="292" t="str">
        <f aca="false">IF(ISBLANK('Защитные стёкла'!$H$69),"",'Защитные стёкла'!$H$69)</f>
        <v/>
      </c>
    </row>
    <row r="836" customFormat="false" ht="66" hidden="false" customHeight="true" outlineLevel="0" collapsed="false">
      <c r="A836" s="291" t="str">
        <f aca="true">IF(ISNUMBER($J836),INDIRECT("L"&amp;($J836+4)),"")</f>
        <v/>
      </c>
      <c r="B836" s="291" t="str">
        <f aca="true">IF(ISNUMBER($J836),INDIRECT("M"&amp;($J836+4)),"")</f>
        <v/>
      </c>
      <c r="C836" s="296" t="str">
        <f aca="true">IF(ISNUMBER($J836),INDIRECT("N"&amp;($J836+4)),"")</f>
        <v/>
      </c>
      <c r="D836" s="291" t="str">
        <f aca="true">IF(ISNUMBER($J836),INDIRECT("O"&amp;($J836+4)),"")</f>
        <v/>
      </c>
      <c r="E836" s="291" t="str">
        <f aca="true">IF(ISNUMBER($J836),INDIRECT("P"&amp;($J836+4)),"")</f>
        <v/>
      </c>
      <c r="F836" s="300" t="str">
        <f aca="true">IF(ISNUMBER($J836),INDIRECT("Q"&amp;($J836+4)),"")</f>
        <v/>
      </c>
      <c r="G836" s="298" t="str">
        <f aca="true">IF(ISNUMBER($J836),INDIRECT("R"&amp;($J836+4)),"")</f>
        <v/>
      </c>
      <c r="H836" s="298" t="str">
        <f aca="true">IF(ISNUMBER($J836),INDIRECT("S"&amp;($J836+4)),"")</f>
        <v/>
      </c>
      <c r="J836" s="292" t="str">
        <f aca="true">IF(832&lt;=$K$1,MATCH(831.5,INDIRECT("$K$4:$K$1374"),1),"")</f>
        <v/>
      </c>
      <c r="K836" s="292" t="n">
        <f aca="false">$K$772+COUNTIF($Q$773:Q836,"&gt;0")</f>
        <v>0</v>
      </c>
      <c r="L836" s="292" t="str">
        <f aca="false">"Защитные стёкла"</f>
        <v>Защитные стёкла</v>
      </c>
      <c r="M836" s="292" t="str">
        <f aca="false">IF(ISBLANK('Защитные стёкла'!$A$70),"",'Защитные стёкла'!$A$70)</f>
        <v>Diamond armor полноэкранное закаленное стекло с защитой от подглядывания набор для iP15 Pro Max(10шт)(BF7)</v>
      </c>
      <c r="N836" s="292" t="str">
        <f aca="false">IF(ISBLANK('Защитные стёкла'!$D$70),"",'Защитные стёкла'!$D$70)</f>
        <v>6941991106118</v>
      </c>
      <c r="O836" s="292" t="str">
        <f aca="false">IF(ISBLANK('Защитные стёкла'!$E$70),"",'Защитные стёкла'!$E$70)</f>
        <v>черный</v>
      </c>
      <c r="P836" s="292" t="str">
        <f aca="false">"ед."</f>
        <v>ед.</v>
      </c>
      <c r="Q836" s="292" t="n">
        <f aca="false">N('Защитные стёкла'!$G$70)</f>
        <v>0</v>
      </c>
      <c r="R836" s="299" t="n">
        <f aca="false">IF(ISBLANK('Защитные стёкла'!$F$70),"",'Защитные стёкла'!$F$70)</f>
        <v>616.5</v>
      </c>
      <c r="S836" s="292" t="str">
        <f aca="false">IF(ISBLANK('Защитные стёкла'!$H$70),"",'Защитные стёкла'!$H$70)</f>
        <v/>
      </c>
    </row>
    <row r="837" customFormat="false" ht="66" hidden="false" customHeight="true" outlineLevel="0" collapsed="false">
      <c r="A837" s="291" t="str">
        <f aca="true">IF(ISNUMBER($J837),INDIRECT("L"&amp;($J837+4)),"")</f>
        <v/>
      </c>
      <c r="B837" s="291" t="str">
        <f aca="true">IF(ISNUMBER($J837),INDIRECT("M"&amp;($J837+4)),"")</f>
        <v/>
      </c>
      <c r="C837" s="296" t="str">
        <f aca="true">IF(ISNUMBER($J837),INDIRECT("N"&amp;($J837+4)),"")</f>
        <v/>
      </c>
      <c r="D837" s="291" t="str">
        <f aca="true">IF(ISNUMBER($J837),INDIRECT("O"&amp;($J837+4)),"")</f>
        <v/>
      </c>
      <c r="E837" s="291" t="str">
        <f aca="true">IF(ISNUMBER($J837),INDIRECT("P"&amp;($J837+4)),"")</f>
        <v/>
      </c>
      <c r="F837" s="300" t="str">
        <f aca="true">IF(ISNUMBER($J837),INDIRECT("Q"&amp;($J837+4)),"")</f>
        <v/>
      </c>
      <c r="G837" s="298" t="str">
        <f aca="true">IF(ISNUMBER($J837),INDIRECT("R"&amp;($J837+4)),"")</f>
        <v/>
      </c>
      <c r="H837" s="298" t="str">
        <f aca="true">IF(ISNUMBER($J837),INDIRECT("S"&amp;($J837+4)),"")</f>
        <v/>
      </c>
      <c r="J837" s="292" t="str">
        <f aca="true">IF(833&lt;=$K$1,MATCH(832.5,INDIRECT("$K$4:$K$1374"),1),"")</f>
        <v/>
      </c>
      <c r="K837" s="292" t="n">
        <f aca="false">$K$772+COUNTIF($Q$773:Q837,"&gt;0")</f>
        <v>0</v>
      </c>
      <c r="L837" s="292" t="str">
        <f aca="false">"Защитные стёкла"</f>
        <v>Защитные стёкла</v>
      </c>
      <c r="M837" s="292" t="str">
        <f aca="false">IF(ISBLANK('Защитные стёкла'!$A$71),"",'Защитные стёкла'!$A$71)</f>
        <v>Diamond armor полноэкранное HD закаленное стекло набор для iP15(10шт)(BF6)</v>
      </c>
      <c r="N837" s="292" t="str">
        <f aca="false">IF(ISBLANK('Защитные стёкла'!$D$71),"",'Защитные стёкла'!$D$71)</f>
        <v>6941991106002</v>
      </c>
      <c r="O837" s="292" t="str">
        <f aca="false">IF(ISBLANK('Защитные стёкла'!$E$71),"",'Защитные стёкла'!$E$71)</f>
        <v>черный</v>
      </c>
      <c r="P837" s="292" t="str">
        <f aca="false">"ед."</f>
        <v>ед.</v>
      </c>
      <c r="Q837" s="292" t="n">
        <f aca="false">N('Защитные стёкла'!$G$71)</f>
        <v>0</v>
      </c>
      <c r="R837" s="299" t="n">
        <f aca="false">IF(ISBLANK('Защитные стёкла'!$F$71),"",'Защитные стёкла'!$F$71)</f>
        <v>383.27</v>
      </c>
      <c r="S837" s="292" t="str">
        <f aca="false">IF(ISBLANK('Защитные стёкла'!$H$71),"",'Защитные стёкла'!$H$71)</f>
        <v/>
      </c>
    </row>
    <row r="838" customFormat="false" ht="66" hidden="false" customHeight="true" outlineLevel="0" collapsed="false">
      <c r="A838" s="291" t="str">
        <f aca="true">IF(ISNUMBER($J838),INDIRECT("L"&amp;($J838+4)),"")</f>
        <v/>
      </c>
      <c r="B838" s="291" t="str">
        <f aca="true">IF(ISNUMBER($J838),INDIRECT("M"&amp;($J838+4)),"")</f>
        <v/>
      </c>
      <c r="C838" s="296" t="str">
        <f aca="true">IF(ISNUMBER($J838),INDIRECT("N"&amp;($J838+4)),"")</f>
        <v/>
      </c>
      <c r="D838" s="291" t="str">
        <f aca="true">IF(ISNUMBER($J838),INDIRECT("O"&amp;($J838+4)),"")</f>
        <v/>
      </c>
      <c r="E838" s="291" t="str">
        <f aca="true">IF(ISNUMBER($J838),INDIRECT("P"&amp;($J838+4)),"")</f>
        <v/>
      </c>
      <c r="F838" s="300" t="str">
        <f aca="true">IF(ISNUMBER($J838),INDIRECT("Q"&amp;($J838+4)),"")</f>
        <v/>
      </c>
      <c r="G838" s="298" t="str">
        <f aca="true">IF(ISNUMBER($J838),INDIRECT("R"&amp;($J838+4)),"")</f>
        <v/>
      </c>
      <c r="H838" s="298" t="str">
        <f aca="true">IF(ISNUMBER($J838),INDIRECT("S"&amp;($J838+4)),"")</f>
        <v/>
      </c>
      <c r="J838" s="292" t="str">
        <f aca="true">IF(834&lt;=$K$1,MATCH(833.5,INDIRECT("$K$4:$K$1374"),1),"")</f>
        <v/>
      </c>
      <c r="K838" s="292" t="n">
        <f aca="false">$K$772+COUNTIF($Q$773:Q838,"&gt;0")</f>
        <v>0</v>
      </c>
      <c r="L838" s="292" t="str">
        <f aca="false">"Защитные стёкла"</f>
        <v>Защитные стёкла</v>
      </c>
      <c r="M838" s="292" t="str">
        <f aca="false">IF(ISBLANK('Защитные стёкла'!$A$72),"",'Защитные стёкла'!$A$72)</f>
        <v>Diamond armor полноэкранное HD закаленное стекло набор для iP15 Plus(10шт)(BF6)</v>
      </c>
      <c r="N838" s="292" t="str">
        <f aca="false">IF(ISBLANK('Защитные стёкла'!$D$72),"",'Защитные стёкла'!$D$72)</f>
        <v>6941991106019</v>
      </c>
      <c r="O838" s="292" t="str">
        <f aca="false">IF(ISBLANK('Защитные стёкла'!$E$72),"",'Защитные стёкла'!$E$72)</f>
        <v>черный</v>
      </c>
      <c r="P838" s="292" t="str">
        <f aca="false">"ед."</f>
        <v>ед.</v>
      </c>
      <c r="Q838" s="292" t="n">
        <f aca="false">N('Защитные стёкла'!$G$72)</f>
        <v>0</v>
      </c>
      <c r="R838" s="299" t="n">
        <f aca="false">IF(ISBLANK('Защитные стёкла'!$F$72),"",'Защитные стёкла'!$F$72)</f>
        <v>383.27</v>
      </c>
      <c r="S838" s="292" t="str">
        <f aca="false">IF(ISBLANK('Защитные стёкла'!$H$72),"",'Защитные стёкла'!$H$72)</f>
        <v/>
      </c>
    </row>
    <row r="839" customFormat="false" ht="66" hidden="false" customHeight="true" outlineLevel="0" collapsed="false">
      <c r="A839" s="291" t="str">
        <f aca="true">IF(ISNUMBER($J839),INDIRECT("L"&amp;($J839+4)),"")</f>
        <v/>
      </c>
      <c r="B839" s="291" t="str">
        <f aca="true">IF(ISNUMBER($J839),INDIRECT("M"&amp;($J839+4)),"")</f>
        <v/>
      </c>
      <c r="C839" s="296" t="str">
        <f aca="true">IF(ISNUMBER($J839),INDIRECT("N"&amp;($J839+4)),"")</f>
        <v/>
      </c>
      <c r="D839" s="291" t="str">
        <f aca="true">IF(ISNUMBER($J839),INDIRECT("O"&amp;($J839+4)),"")</f>
        <v/>
      </c>
      <c r="E839" s="291" t="str">
        <f aca="true">IF(ISNUMBER($J839),INDIRECT("P"&amp;($J839+4)),"")</f>
        <v/>
      </c>
      <c r="F839" s="300" t="str">
        <f aca="true">IF(ISNUMBER($J839),INDIRECT("Q"&amp;($J839+4)),"")</f>
        <v/>
      </c>
      <c r="G839" s="298" t="str">
        <f aca="true">IF(ISNUMBER($J839),INDIRECT("R"&amp;($J839+4)),"")</f>
        <v/>
      </c>
      <c r="H839" s="298" t="str">
        <f aca="true">IF(ISNUMBER($J839),INDIRECT("S"&amp;($J839+4)),"")</f>
        <v/>
      </c>
      <c r="J839" s="292" t="str">
        <f aca="true">IF(835&lt;=$K$1,MATCH(834.5,INDIRECT("$K$4:$K$1374"),1),"")</f>
        <v/>
      </c>
      <c r="K839" s="292" t="n">
        <f aca="false">$K$772+COUNTIF($Q$773:Q839,"&gt;0")</f>
        <v>0</v>
      </c>
      <c r="L839" s="292" t="str">
        <f aca="false">"Защитные стёкла"</f>
        <v>Защитные стёкла</v>
      </c>
      <c r="M839" s="292" t="str">
        <f aca="false">IF(ISBLANK('Защитные стёкла'!$A$73),"",'Защитные стёкла'!$A$73)</f>
        <v>Diamond armor полноэкранное HD закаленное стекло набор для iP15 Pro(10шт)(BF6)</v>
      </c>
      <c r="N839" s="292" t="str">
        <f aca="false">IF(ISBLANK('Защитные стёкла'!$D$73),"",'Защитные стёкла'!$D$73)</f>
        <v>6941991106026</v>
      </c>
      <c r="O839" s="292" t="str">
        <f aca="false">IF(ISBLANK('Защитные стёкла'!$E$73),"",'Защитные стёкла'!$E$73)</f>
        <v>черный</v>
      </c>
      <c r="P839" s="292" t="str">
        <f aca="false">"ед."</f>
        <v>ед.</v>
      </c>
      <c r="Q839" s="292" t="n">
        <f aca="false">N('Защитные стёкла'!$G$73)</f>
        <v>0</v>
      </c>
      <c r="R839" s="299" t="n">
        <f aca="false">IF(ISBLANK('Защитные стёкла'!$F$73),"",'Защитные стёкла'!$F$73)</f>
        <v>383.27</v>
      </c>
      <c r="S839" s="292" t="str">
        <f aca="false">IF(ISBLANK('Защитные стёкла'!$H$73),"",'Защитные стёкла'!$H$73)</f>
        <v/>
      </c>
    </row>
    <row r="840" customFormat="false" ht="66" hidden="false" customHeight="true" outlineLevel="0" collapsed="false">
      <c r="A840" s="291" t="str">
        <f aca="true">IF(ISNUMBER($J840),INDIRECT("L"&amp;($J840+4)),"")</f>
        <v/>
      </c>
      <c r="B840" s="291" t="str">
        <f aca="true">IF(ISNUMBER($J840),INDIRECT("M"&amp;($J840+4)),"")</f>
        <v/>
      </c>
      <c r="C840" s="296" t="str">
        <f aca="true">IF(ISNUMBER($J840),INDIRECT("N"&amp;($J840+4)),"")</f>
        <v/>
      </c>
      <c r="D840" s="291" t="str">
        <f aca="true">IF(ISNUMBER($J840),INDIRECT("O"&amp;($J840+4)),"")</f>
        <v/>
      </c>
      <c r="E840" s="291" t="str">
        <f aca="true">IF(ISNUMBER($J840),INDIRECT("P"&amp;($J840+4)),"")</f>
        <v/>
      </c>
      <c r="F840" s="300" t="str">
        <f aca="true">IF(ISNUMBER($J840),INDIRECT("Q"&amp;($J840+4)),"")</f>
        <v/>
      </c>
      <c r="G840" s="298" t="str">
        <f aca="true">IF(ISNUMBER($J840),INDIRECT("R"&amp;($J840+4)),"")</f>
        <v/>
      </c>
      <c r="H840" s="298" t="str">
        <f aca="true">IF(ISNUMBER($J840),INDIRECT("S"&amp;($J840+4)),"")</f>
        <v/>
      </c>
      <c r="J840" s="292" t="str">
        <f aca="true">IF(836&lt;=$K$1,MATCH(835.5,INDIRECT("$K$4:$K$1374"),1),"")</f>
        <v/>
      </c>
      <c r="K840" s="292" t="n">
        <f aca="false">$K$772+COUNTIF($Q$773:Q840,"&gt;0")</f>
        <v>0</v>
      </c>
      <c r="L840" s="292" t="str">
        <f aca="false">"Защитные стёкла"</f>
        <v>Защитные стёкла</v>
      </c>
      <c r="M840" s="292" t="str">
        <f aca="false">IF(ISBLANK('Защитные стёкла'!$A$74),"",'Защитные стёкла'!$A$74)</f>
        <v>Diamond armor полноэкранное HD закаленное стекло набор для iP15 Pro Max(10шт)(BF6)</v>
      </c>
      <c r="N840" s="292" t="str">
        <f aca="false">IF(ISBLANK('Защитные стёкла'!$D$74),"",'Защитные стёкла'!$D$74)</f>
        <v>6941991106033</v>
      </c>
      <c r="O840" s="292" t="str">
        <f aca="false">IF(ISBLANK('Защитные стёкла'!$E$74),"",'Защитные стёкла'!$E$74)</f>
        <v>черный</v>
      </c>
      <c r="P840" s="292" t="str">
        <f aca="false">"ед."</f>
        <v>ед.</v>
      </c>
      <c r="Q840" s="292" t="n">
        <f aca="false">N('Защитные стёкла'!$G$74)</f>
        <v>0</v>
      </c>
      <c r="R840" s="299" t="n">
        <f aca="false">IF(ISBLANK('Защитные стёкла'!$F$74),"",'Защитные стёкла'!$F$74)</f>
        <v>383.27</v>
      </c>
      <c r="S840" s="292" t="str">
        <f aca="false">IF(ISBLANK('Защитные стёкла'!$H$74),"",'Защитные стёкла'!$H$74)</f>
        <v/>
      </c>
    </row>
    <row r="841" customFormat="false" ht="66" hidden="false" customHeight="true" outlineLevel="0" collapsed="false">
      <c r="A841" s="291" t="str">
        <f aca="true">IF(ISNUMBER($J841),INDIRECT("L"&amp;($J841+4)),"")</f>
        <v/>
      </c>
      <c r="B841" s="291" t="str">
        <f aca="true">IF(ISNUMBER($J841),INDIRECT("M"&amp;($J841+4)),"")</f>
        <v/>
      </c>
      <c r="C841" s="296" t="str">
        <f aca="true">IF(ISNUMBER($J841),INDIRECT("N"&amp;($J841+4)),"")</f>
        <v/>
      </c>
      <c r="D841" s="291" t="str">
        <f aca="true">IF(ISNUMBER($J841),INDIRECT("O"&amp;($J841+4)),"")</f>
        <v/>
      </c>
      <c r="E841" s="291" t="str">
        <f aca="true">IF(ISNUMBER($J841),INDIRECT("P"&amp;($J841+4)),"")</f>
        <v/>
      </c>
      <c r="F841" s="300" t="str">
        <f aca="true">IF(ISNUMBER($J841),INDIRECT("Q"&amp;($J841+4)),"")</f>
        <v/>
      </c>
      <c r="G841" s="298" t="str">
        <f aca="true">IF(ISNUMBER($J841),INDIRECT("R"&amp;($J841+4)),"")</f>
        <v/>
      </c>
      <c r="H841" s="298" t="str">
        <f aca="true">IF(ISNUMBER($J841),INDIRECT("S"&amp;($J841+4)),"")</f>
        <v/>
      </c>
      <c r="J841" s="292" t="str">
        <f aca="true">IF(837&lt;=$K$1,MATCH(836.5,INDIRECT("$K$4:$K$1374"),1),"")</f>
        <v/>
      </c>
      <c r="K841" s="292" t="n">
        <f aca="false">$K$772+COUNTIF($Q$773:Q841,"&gt;0")</f>
        <v>0</v>
      </c>
      <c r="L841" s="292" t="str">
        <f aca="false">"Защитные стёкла"</f>
        <v>Защитные стёкла</v>
      </c>
      <c r="M841" s="292" t="str">
        <f aca="false">IF(ISBLANK('Защитные стёкла'!$A$77),"",'Защитные стёкла'!$A$77)</f>
        <v>Diamond armor полноэкранное 5D закаленное стекло с большой дугой набор для iP17e/16e/14/13/13 Pro(BF8)(10шт)</v>
      </c>
      <c r="N841" s="292" t="str">
        <f aca="false">IF(ISBLANK('Защитные стёкла'!$D$77),"",'Защитные стёкла'!$D$77)</f>
        <v>6941991100758</v>
      </c>
      <c r="O841" s="292" t="str">
        <f aca="false">IF(ISBLANK('Защитные стёкла'!$E$77),"",'Защитные стёкла'!$E$77)</f>
        <v>черный</v>
      </c>
      <c r="P841" s="292" t="str">
        <f aca="false">"ед."</f>
        <v>ед.</v>
      </c>
      <c r="Q841" s="292" t="n">
        <f aca="false">N('Защитные стёкла'!$G$77)</f>
        <v>0</v>
      </c>
      <c r="R841" s="299" t="n">
        <f aca="false">IF(ISBLANK('Защитные стёкла'!$F$77),"",'Защитные стёкла'!$F$77)</f>
        <v>484.39</v>
      </c>
      <c r="S841" s="292" t="str">
        <f aca="false">IF(ISBLANK('Защитные стёкла'!$H$77),"",'Защитные стёкла'!$H$77)</f>
        <v/>
      </c>
    </row>
    <row r="842" customFormat="false" ht="66" hidden="false" customHeight="true" outlineLevel="0" collapsed="false">
      <c r="A842" s="291" t="str">
        <f aca="true">IF(ISNUMBER($J842),INDIRECT("L"&amp;($J842+4)),"")</f>
        <v/>
      </c>
      <c r="B842" s="291" t="str">
        <f aca="true">IF(ISNUMBER($J842),INDIRECT("M"&amp;($J842+4)),"")</f>
        <v/>
      </c>
      <c r="C842" s="296" t="str">
        <f aca="true">IF(ISNUMBER($J842),INDIRECT("N"&amp;($J842+4)),"")</f>
        <v/>
      </c>
      <c r="D842" s="291" t="str">
        <f aca="true">IF(ISNUMBER($J842),INDIRECT("O"&amp;($J842+4)),"")</f>
        <v/>
      </c>
      <c r="E842" s="291" t="str">
        <f aca="true">IF(ISNUMBER($J842),INDIRECT("P"&amp;($J842+4)),"")</f>
        <v/>
      </c>
      <c r="F842" s="300" t="str">
        <f aca="true">IF(ISNUMBER($J842),INDIRECT("Q"&amp;($J842+4)),"")</f>
        <v/>
      </c>
      <c r="G842" s="298" t="str">
        <f aca="true">IF(ISNUMBER($J842),INDIRECT("R"&amp;($J842+4)),"")</f>
        <v/>
      </c>
      <c r="H842" s="298" t="str">
        <f aca="true">IF(ISNUMBER($J842),INDIRECT("S"&amp;($J842+4)),"")</f>
        <v/>
      </c>
      <c r="J842" s="292" t="str">
        <f aca="true">IF(838&lt;=$K$1,MATCH(837.5,INDIRECT("$K$4:$K$1374"),1),"")</f>
        <v/>
      </c>
      <c r="K842" s="292" t="n">
        <f aca="false">$K$772+COUNTIF($Q$773:Q842,"&gt;0")</f>
        <v>0</v>
      </c>
      <c r="L842" s="292" t="str">
        <f aca="false">"Защитные стёкла"</f>
        <v>Защитные стёкла</v>
      </c>
      <c r="M842" s="292" t="str">
        <f aca="false">IF(ISBLANK('Защитные стёкла'!$A$78),"",'Защитные стёкла'!$A$78)</f>
        <v>Diamond armor полноэкранное 5D закаленное стекло с большой дугой набор для iP14 Plus/13 Pro Max(BF8)(10шт)</v>
      </c>
      <c r="N842" s="292" t="str">
        <f aca="false">IF(ISBLANK('Защитные стёкла'!$D$78),"",'Защитные стёкла'!$D$78)</f>
        <v>6941991100765</v>
      </c>
      <c r="O842" s="292" t="str">
        <f aca="false">IF(ISBLANK('Защитные стёкла'!$E$78),"",'Защитные стёкла'!$E$78)</f>
        <v>черный</v>
      </c>
      <c r="P842" s="292" t="str">
        <f aca="false">"ед."</f>
        <v>ед.</v>
      </c>
      <c r="Q842" s="292" t="n">
        <f aca="false">N('Защитные стёкла'!$G$78)</f>
        <v>0</v>
      </c>
      <c r="R842" s="299" t="n">
        <f aca="false">IF(ISBLANK('Защитные стёкла'!$F$78),"",'Защитные стёкла'!$F$78)</f>
        <v>484.39</v>
      </c>
      <c r="S842" s="292" t="str">
        <f aca="false">IF(ISBLANK('Защитные стёкла'!$H$78),"",'Защитные стёкла'!$H$78)</f>
        <v/>
      </c>
    </row>
    <row r="843" customFormat="false" ht="66" hidden="false" customHeight="true" outlineLevel="0" collapsed="false">
      <c r="A843" s="291" t="str">
        <f aca="true">IF(ISNUMBER($J843),INDIRECT("L"&amp;($J843+4)),"")</f>
        <v/>
      </c>
      <c r="B843" s="291" t="str">
        <f aca="true">IF(ISNUMBER($J843),INDIRECT("M"&amp;($J843+4)),"")</f>
        <v/>
      </c>
      <c r="C843" s="296" t="str">
        <f aca="true">IF(ISNUMBER($J843),INDIRECT("N"&amp;($J843+4)),"")</f>
        <v/>
      </c>
      <c r="D843" s="291" t="str">
        <f aca="true">IF(ISNUMBER($J843),INDIRECT("O"&amp;($J843+4)),"")</f>
        <v/>
      </c>
      <c r="E843" s="291" t="str">
        <f aca="true">IF(ISNUMBER($J843),INDIRECT("P"&amp;($J843+4)),"")</f>
        <v/>
      </c>
      <c r="F843" s="300" t="str">
        <f aca="true">IF(ISNUMBER($J843),INDIRECT("Q"&amp;($J843+4)),"")</f>
        <v/>
      </c>
      <c r="G843" s="298" t="str">
        <f aca="true">IF(ISNUMBER($J843),INDIRECT("R"&amp;($J843+4)),"")</f>
        <v/>
      </c>
      <c r="H843" s="298" t="str">
        <f aca="true">IF(ISNUMBER($J843),INDIRECT("S"&amp;($J843+4)),"")</f>
        <v/>
      </c>
      <c r="J843" s="292" t="str">
        <f aca="true">IF(839&lt;=$K$1,MATCH(838.5,INDIRECT("$K$4:$K$1374"),1),"")</f>
        <v/>
      </c>
      <c r="K843" s="292" t="n">
        <f aca="false">$K$772+COUNTIF($Q$773:Q843,"&gt;0")</f>
        <v>0</v>
      </c>
      <c r="L843" s="292" t="str">
        <f aca="false">"Защитные стёкла"</f>
        <v>Защитные стёкла</v>
      </c>
      <c r="M843" s="292" t="str">
        <f aca="false">IF(ISBLANK('Защитные стёкла'!$A$79),"",'Защитные стёкла'!$A$79)</f>
        <v>Diamond armor полноэкранное 5D закаленное стекло с большой дугой набор для iP14 Pro(BF8)(10шт)</v>
      </c>
      <c r="N843" s="292" t="str">
        <f aca="false">IF(ISBLANK('Защитные стёкла'!$D$79),"",'Защитные стёкла'!$D$79)</f>
        <v>6941991100772</v>
      </c>
      <c r="O843" s="292" t="str">
        <f aca="false">IF(ISBLANK('Защитные стёкла'!$E$79),"",'Защитные стёкла'!$E$79)</f>
        <v>черный</v>
      </c>
      <c r="P843" s="292" t="str">
        <f aca="false">"ед."</f>
        <v>ед.</v>
      </c>
      <c r="Q843" s="292" t="n">
        <f aca="false">N('Защитные стёкла'!$G$79)</f>
        <v>0</v>
      </c>
      <c r="R843" s="299" t="n">
        <f aca="false">IF(ISBLANK('Защитные стёкла'!$F$79),"",'Защитные стёкла'!$F$79)</f>
        <v>484.39</v>
      </c>
      <c r="S843" s="292" t="str">
        <f aca="false">IF(ISBLANK('Защитные стёкла'!$H$79),"",'Защитные стёкла'!$H$79)</f>
        <v/>
      </c>
    </row>
    <row r="844" customFormat="false" ht="66" hidden="false" customHeight="true" outlineLevel="0" collapsed="false">
      <c r="A844" s="291" t="str">
        <f aca="true">IF(ISNUMBER($J844),INDIRECT("L"&amp;($J844+4)),"")</f>
        <v/>
      </c>
      <c r="B844" s="291" t="str">
        <f aca="true">IF(ISNUMBER($J844),INDIRECT("M"&amp;($J844+4)),"")</f>
        <v/>
      </c>
      <c r="C844" s="296" t="str">
        <f aca="true">IF(ISNUMBER($J844),INDIRECT("N"&amp;($J844+4)),"")</f>
        <v/>
      </c>
      <c r="D844" s="291" t="str">
        <f aca="true">IF(ISNUMBER($J844),INDIRECT("O"&amp;($J844+4)),"")</f>
        <v/>
      </c>
      <c r="E844" s="291" t="str">
        <f aca="true">IF(ISNUMBER($J844),INDIRECT("P"&amp;($J844+4)),"")</f>
        <v/>
      </c>
      <c r="F844" s="300" t="str">
        <f aca="true">IF(ISNUMBER($J844),INDIRECT("Q"&amp;($J844+4)),"")</f>
        <v/>
      </c>
      <c r="G844" s="298" t="str">
        <f aca="true">IF(ISNUMBER($J844),INDIRECT("R"&amp;($J844+4)),"")</f>
        <v/>
      </c>
      <c r="H844" s="298" t="str">
        <f aca="true">IF(ISNUMBER($J844),INDIRECT("S"&amp;($J844+4)),"")</f>
        <v/>
      </c>
      <c r="J844" s="292" t="str">
        <f aca="true">IF(840&lt;=$K$1,MATCH(839.5,INDIRECT("$K$4:$K$1374"),1),"")</f>
        <v/>
      </c>
      <c r="K844" s="292" t="n">
        <f aca="false">$K$772+COUNTIF($Q$773:Q844,"&gt;0")</f>
        <v>0</v>
      </c>
      <c r="L844" s="292" t="str">
        <f aca="false">"Защитные стёкла"</f>
        <v>Защитные стёкла</v>
      </c>
      <c r="M844" s="292" t="str">
        <f aca="false">IF(ISBLANK('Защитные стёкла'!$A$80),"",'Защитные стёкла'!$A$80)</f>
        <v>Diamond armor полноэкранное 5D закаленное стекло с большой дугой набор для iP14 Pro Max(BF8)(10шт)</v>
      </c>
      <c r="N844" s="292" t="str">
        <f aca="false">IF(ISBLANK('Защитные стёкла'!$D$80),"",'Защитные стёкла'!$D$80)</f>
        <v>6941991100789</v>
      </c>
      <c r="O844" s="292" t="str">
        <f aca="false">IF(ISBLANK('Защитные стёкла'!$E$80),"",'Защитные стёкла'!$E$80)</f>
        <v>черный</v>
      </c>
      <c r="P844" s="292" t="str">
        <f aca="false">"ед."</f>
        <v>ед.</v>
      </c>
      <c r="Q844" s="292" t="n">
        <f aca="false">N('Защитные стёкла'!$G$80)</f>
        <v>0</v>
      </c>
      <c r="R844" s="299" t="n">
        <f aca="false">IF(ISBLANK('Защитные стёкла'!$F$80),"",'Защитные стёкла'!$F$80)</f>
        <v>484.39</v>
      </c>
      <c r="S844" s="292" t="str">
        <f aca="false">IF(ISBLANK('Защитные стёкла'!$H$80),"",'Защитные стёкла'!$H$80)</f>
        <v/>
      </c>
    </row>
    <row r="845" customFormat="false" ht="66" hidden="false" customHeight="true" outlineLevel="0" collapsed="false">
      <c r="A845" s="291" t="str">
        <f aca="true">IF(ISNUMBER($J845),INDIRECT("L"&amp;($J845+4)),"")</f>
        <v/>
      </c>
      <c r="B845" s="291" t="str">
        <f aca="true">IF(ISNUMBER($J845),INDIRECT("M"&amp;($J845+4)),"")</f>
        <v/>
      </c>
      <c r="C845" s="296" t="str">
        <f aca="true">IF(ISNUMBER($J845),INDIRECT("N"&amp;($J845+4)),"")</f>
        <v/>
      </c>
      <c r="D845" s="291" t="str">
        <f aca="true">IF(ISNUMBER($J845),INDIRECT("O"&amp;($J845+4)),"")</f>
        <v/>
      </c>
      <c r="E845" s="291" t="str">
        <f aca="true">IF(ISNUMBER($J845),INDIRECT("P"&amp;($J845+4)),"")</f>
        <v/>
      </c>
      <c r="F845" s="300" t="str">
        <f aca="true">IF(ISNUMBER($J845),INDIRECT("Q"&amp;($J845+4)),"")</f>
        <v/>
      </c>
      <c r="G845" s="298" t="str">
        <f aca="true">IF(ISNUMBER($J845),INDIRECT("R"&amp;($J845+4)),"")</f>
        <v/>
      </c>
      <c r="H845" s="298" t="str">
        <f aca="true">IF(ISNUMBER($J845),INDIRECT("S"&amp;($J845+4)),"")</f>
        <v/>
      </c>
      <c r="J845" s="292" t="str">
        <f aca="true">IF(841&lt;=$K$1,MATCH(840.5,INDIRECT("$K$4:$K$1374"),1),"")</f>
        <v/>
      </c>
      <c r="K845" s="292" t="n">
        <f aca="false">$K$772+COUNTIF($Q$773:Q845,"&gt;0")</f>
        <v>0</v>
      </c>
      <c r="L845" s="292" t="str">
        <f aca="false">"Защитные стёкла"</f>
        <v>Защитные стёкла</v>
      </c>
      <c r="M845" s="292" t="str">
        <f aca="false">IF(ISBLANK('Защитные стёкла'!$A$81),"",'Защитные стёкла'!$A$81)</f>
        <v>Diamond armor полноэкранное закаленное стекло с защитой от подглядывания набор для  iP17e/16e/14/13/13 Pro(BF7)(10шт)</v>
      </c>
      <c r="N845" s="292" t="str">
        <f aca="false">IF(ISBLANK('Защитные стёкла'!$D$81),"",'Защитные стёкла'!$D$81)</f>
        <v>6941991100659</v>
      </c>
      <c r="O845" s="292" t="str">
        <f aca="false">IF(ISBLANK('Защитные стёкла'!$E$81),"",'Защитные стёкла'!$E$81)</f>
        <v>черный</v>
      </c>
      <c r="P845" s="292" t="str">
        <f aca="false">"ед."</f>
        <v>ед.</v>
      </c>
      <c r="Q845" s="292" t="n">
        <f aca="false">N('Защитные стёкла'!$G$81)</f>
        <v>0</v>
      </c>
      <c r="R845" s="299" t="n">
        <f aca="false">IF(ISBLANK('Защитные стёкла'!$F$81),"",'Защитные стёкла'!$F$81)</f>
        <v>616.5</v>
      </c>
      <c r="S845" s="292" t="str">
        <f aca="false">IF(ISBLANK('Защитные стёкла'!$H$81),"",'Защитные стёкла'!$H$81)</f>
        <v/>
      </c>
    </row>
    <row r="846" customFormat="false" ht="66" hidden="false" customHeight="true" outlineLevel="0" collapsed="false">
      <c r="A846" s="291" t="str">
        <f aca="true">IF(ISNUMBER($J846),INDIRECT("L"&amp;($J846+4)),"")</f>
        <v/>
      </c>
      <c r="B846" s="291" t="str">
        <f aca="true">IF(ISNUMBER($J846),INDIRECT("M"&amp;($J846+4)),"")</f>
        <v/>
      </c>
      <c r="C846" s="296" t="str">
        <f aca="true">IF(ISNUMBER($J846),INDIRECT("N"&amp;($J846+4)),"")</f>
        <v/>
      </c>
      <c r="D846" s="291" t="str">
        <f aca="true">IF(ISNUMBER($J846),INDIRECT("O"&amp;($J846+4)),"")</f>
        <v/>
      </c>
      <c r="E846" s="291" t="str">
        <f aca="true">IF(ISNUMBER($J846),INDIRECT("P"&amp;($J846+4)),"")</f>
        <v/>
      </c>
      <c r="F846" s="300" t="str">
        <f aca="true">IF(ISNUMBER($J846),INDIRECT("Q"&amp;($J846+4)),"")</f>
        <v/>
      </c>
      <c r="G846" s="298" t="str">
        <f aca="true">IF(ISNUMBER($J846),INDIRECT("R"&amp;($J846+4)),"")</f>
        <v/>
      </c>
      <c r="H846" s="298" t="str">
        <f aca="true">IF(ISNUMBER($J846),INDIRECT("S"&amp;($J846+4)),"")</f>
        <v/>
      </c>
      <c r="J846" s="292" t="str">
        <f aca="true">IF(842&lt;=$K$1,MATCH(841.5,INDIRECT("$K$4:$K$1374"),1),"")</f>
        <v/>
      </c>
      <c r="K846" s="292" t="n">
        <f aca="false">$K$772+COUNTIF($Q$773:Q846,"&gt;0")</f>
        <v>0</v>
      </c>
      <c r="L846" s="292" t="str">
        <f aca="false">"Защитные стёкла"</f>
        <v>Защитные стёкла</v>
      </c>
      <c r="M846" s="292" t="str">
        <f aca="false">IF(ISBLANK('Защитные стёкла'!$A$82),"",'Защитные стёкла'!$A$82)</f>
        <v>Diamond armor полноэкранное закаленное стекло с защитой от подглядывания набор для  iP14 Plus/13 Pro Max(BF7)(10шт)</v>
      </c>
      <c r="N846" s="292" t="str">
        <f aca="false">IF(ISBLANK('Защитные стёкла'!$D$82),"",'Защитные стёкла'!$D$82)</f>
        <v>6941991100666</v>
      </c>
      <c r="O846" s="292" t="str">
        <f aca="false">IF(ISBLANK('Защитные стёкла'!$E$82),"",'Защитные стёкла'!$E$82)</f>
        <v>черный</v>
      </c>
      <c r="P846" s="292" t="str">
        <f aca="false">"ед."</f>
        <v>ед.</v>
      </c>
      <c r="Q846" s="292" t="n">
        <f aca="false">N('Защитные стёкла'!$G$82)</f>
        <v>0</v>
      </c>
      <c r="R846" s="299" t="n">
        <f aca="false">IF(ISBLANK('Защитные стёкла'!$F$82),"",'Защитные стёкла'!$F$82)</f>
        <v>616.5</v>
      </c>
      <c r="S846" s="292" t="str">
        <f aca="false">IF(ISBLANK('Защитные стёкла'!$H$82),"",'Защитные стёкла'!$H$82)</f>
        <v/>
      </c>
    </row>
    <row r="847" customFormat="false" ht="66" hidden="false" customHeight="true" outlineLevel="0" collapsed="false">
      <c r="A847" s="291" t="str">
        <f aca="true">IF(ISNUMBER($J847),INDIRECT("L"&amp;($J847+4)),"")</f>
        <v/>
      </c>
      <c r="B847" s="291" t="str">
        <f aca="true">IF(ISNUMBER($J847),INDIRECT("M"&amp;($J847+4)),"")</f>
        <v/>
      </c>
      <c r="C847" s="296" t="str">
        <f aca="true">IF(ISNUMBER($J847),INDIRECT("N"&amp;($J847+4)),"")</f>
        <v/>
      </c>
      <c r="D847" s="291" t="str">
        <f aca="true">IF(ISNUMBER($J847),INDIRECT("O"&amp;($J847+4)),"")</f>
        <v/>
      </c>
      <c r="E847" s="291" t="str">
        <f aca="true">IF(ISNUMBER($J847),INDIRECT("P"&amp;($J847+4)),"")</f>
        <v/>
      </c>
      <c r="F847" s="300" t="str">
        <f aca="true">IF(ISNUMBER($J847),INDIRECT("Q"&amp;($J847+4)),"")</f>
        <v/>
      </c>
      <c r="G847" s="298" t="str">
        <f aca="true">IF(ISNUMBER($J847),INDIRECT("R"&amp;($J847+4)),"")</f>
        <v/>
      </c>
      <c r="H847" s="298" t="str">
        <f aca="true">IF(ISNUMBER($J847),INDIRECT("S"&amp;($J847+4)),"")</f>
        <v/>
      </c>
      <c r="J847" s="292" t="str">
        <f aca="true">IF(843&lt;=$K$1,MATCH(842.5,INDIRECT("$K$4:$K$1374"),1),"")</f>
        <v/>
      </c>
      <c r="K847" s="292" t="n">
        <f aca="false">$K$772+COUNTIF($Q$773:Q847,"&gt;0")</f>
        <v>0</v>
      </c>
      <c r="L847" s="292" t="str">
        <f aca="false">"Защитные стёкла"</f>
        <v>Защитные стёкла</v>
      </c>
      <c r="M847" s="292" t="str">
        <f aca="false">IF(ISBLANK('Защитные стёкла'!$A$83),"",'Защитные стёкла'!$A$83)</f>
        <v>Diamond armor полноэкранное закаленное стекло с защитой от подглядывания набор для  iP14 Pro(BF7)(10шт)</v>
      </c>
      <c r="N847" s="292" t="str">
        <f aca="false">IF(ISBLANK('Защитные стёкла'!$D$83),"",'Защитные стёкла'!$D$83)</f>
        <v>6941991100673</v>
      </c>
      <c r="O847" s="292" t="str">
        <f aca="false">IF(ISBLANK('Защитные стёкла'!$E$83),"",'Защитные стёкла'!$E$83)</f>
        <v>черный</v>
      </c>
      <c r="P847" s="292" t="str">
        <f aca="false">"ед."</f>
        <v>ед.</v>
      </c>
      <c r="Q847" s="292" t="n">
        <f aca="false">N('Защитные стёкла'!$G$83)</f>
        <v>0</v>
      </c>
      <c r="R847" s="299" t="n">
        <f aca="false">IF(ISBLANK('Защитные стёкла'!$F$83),"",'Защитные стёкла'!$F$83)</f>
        <v>616.5</v>
      </c>
      <c r="S847" s="292" t="str">
        <f aca="false">IF(ISBLANK('Защитные стёкла'!$H$83),"",'Защитные стёкла'!$H$83)</f>
        <v/>
      </c>
    </row>
    <row r="848" customFormat="false" ht="66" hidden="false" customHeight="true" outlineLevel="0" collapsed="false">
      <c r="A848" s="291" t="str">
        <f aca="true">IF(ISNUMBER($J848),INDIRECT("L"&amp;($J848+4)),"")</f>
        <v/>
      </c>
      <c r="B848" s="291" t="str">
        <f aca="true">IF(ISNUMBER($J848),INDIRECT("M"&amp;($J848+4)),"")</f>
        <v/>
      </c>
      <c r="C848" s="296" t="str">
        <f aca="true">IF(ISNUMBER($J848),INDIRECT("N"&amp;($J848+4)),"")</f>
        <v/>
      </c>
      <c r="D848" s="291" t="str">
        <f aca="true">IF(ISNUMBER($J848),INDIRECT("O"&amp;($J848+4)),"")</f>
        <v/>
      </c>
      <c r="E848" s="291" t="str">
        <f aca="true">IF(ISNUMBER($J848),INDIRECT("P"&amp;($J848+4)),"")</f>
        <v/>
      </c>
      <c r="F848" s="300" t="str">
        <f aca="true">IF(ISNUMBER($J848),INDIRECT("Q"&amp;($J848+4)),"")</f>
        <v/>
      </c>
      <c r="G848" s="298" t="str">
        <f aca="true">IF(ISNUMBER($J848),INDIRECT("R"&amp;($J848+4)),"")</f>
        <v/>
      </c>
      <c r="H848" s="298" t="str">
        <f aca="true">IF(ISNUMBER($J848),INDIRECT("S"&amp;($J848+4)),"")</f>
        <v/>
      </c>
      <c r="J848" s="292" t="str">
        <f aca="true">IF(844&lt;=$K$1,MATCH(843.5,INDIRECT("$K$4:$K$1374"),1),"")</f>
        <v/>
      </c>
      <c r="K848" s="292" t="n">
        <f aca="false">$K$772+COUNTIF($Q$773:Q848,"&gt;0")</f>
        <v>0</v>
      </c>
      <c r="L848" s="292" t="str">
        <f aca="false">"Защитные стёкла"</f>
        <v>Защитные стёкла</v>
      </c>
      <c r="M848" s="292" t="str">
        <f aca="false">IF(ISBLANK('Защитные стёкла'!$A$84),"",'Защитные стёкла'!$A$84)</f>
        <v>Diamond armor полноэкранное закаленное стекло с защитой от подглядывания набор для  iP14 Pro Max(BF7)(10шт)</v>
      </c>
      <c r="N848" s="292" t="str">
        <f aca="false">IF(ISBLANK('Защитные стёкла'!$D$84),"",'Защитные стёкла'!$D$84)</f>
        <v>6941991100680</v>
      </c>
      <c r="O848" s="292" t="str">
        <f aca="false">IF(ISBLANK('Защитные стёкла'!$E$84),"",'Защитные стёкла'!$E$84)</f>
        <v>черный</v>
      </c>
      <c r="P848" s="292" t="str">
        <f aca="false">"ед."</f>
        <v>ед.</v>
      </c>
      <c r="Q848" s="292" t="n">
        <f aca="false">N('Защитные стёкла'!$G$84)</f>
        <v>0</v>
      </c>
      <c r="R848" s="299" t="n">
        <f aca="false">IF(ISBLANK('Защитные стёкла'!$F$84),"",'Защитные стёкла'!$F$84)</f>
        <v>616.5</v>
      </c>
      <c r="S848" s="292" t="str">
        <f aca="false">IF(ISBLANK('Защитные стёкла'!$H$84),"",'Защитные стёкла'!$H$84)</f>
        <v/>
      </c>
    </row>
    <row r="849" customFormat="false" ht="66" hidden="false" customHeight="true" outlineLevel="0" collapsed="false">
      <c r="A849" s="291" t="str">
        <f aca="true">IF(ISNUMBER($J849),INDIRECT("L"&amp;($J849+4)),"")</f>
        <v/>
      </c>
      <c r="B849" s="291" t="str">
        <f aca="true">IF(ISNUMBER($J849),INDIRECT("M"&amp;($J849+4)),"")</f>
        <v/>
      </c>
      <c r="C849" s="296" t="str">
        <f aca="true">IF(ISNUMBER($J849),INDIRECT("N"&amp;($J849+4)),"")</f>
        <v/>
      </c>
      <c r="D849" s="291" t="str">
        <f aca="true">IF(ISNUMBER($J849),INDIRECT("O"&amp;($J849+4)),"")</f>
        <v/>
      </c>
      <c r="E849" s="291" t="str">
        <f aca="true">IF(ISNUMBER($J849),INDIRECT("P"&amp;($J849+4)),"")</f>
        <v/>
      </c>
      <c r="F849" s="300" t="str">
        <f aca="true">IF(ISNUMBER($J849),INDIRECT("Q"&amp;($J849+4)),"")</f>
        <v/>
      </c>
      <c r="G849" s="298" t="str">
        <f aca="true">IF(ISNUMBER($J849),INDIRECT("R"&amp;($J849+4)),"")</f>
        <v/>
      </c>
      <c r="H849" s="298" t="str">
        <f aca="true">IF(ISNUMBER($J849),INDIRECT("S"&amp;($J849+4)),"")</f>
        <v/>
      </c>
      <c r="J849" s="292" t="str">
        <f aca="true">IF(845&lt;=$K$1,MATCH(844.5,INDIRECT("$K$4:$K$1374"),1),"")</f>
        <v/>
      </c>
      <c r="K849" s="292" t="n">
        <f aca="false">$K$772+COUNTIF($Q$773:Q849,"&gt;0")</f>
        <v>0</v>
      </c>
      <c r="L849" s="292" t="str">
        <f aca="false">"Защитные стёкла"</f>
        <v>Защитные стёкла</v>
      </c>
      <c r="M849" s="292" t="str">
        <f aca="false">IF(ISBLANK('Защитные стёкла'!$A$85),"",'Защитные стёкла'!$A$85)</f>
        <v>Diamond armor полноэкранное HD закаленное стекло набор для iP17e/16e/14/13/13 Pro(BF6)(10шт)</v>
      </c>
      <c r="N849" s="292" t="str">
        <f aca="false">IF(ISBLANK('Защитные стёкла'!$D$85),"",'Защитные стёкла'!$D$85)</f>
        <v>6941991100550</v>
      </c>
      <c r="O849" s="292" t="str">
        <f aca="false">IF(ISBLANK('Защитные стёкла'!$E$85),"",'Защитные стёкла'!$E$85)</f>
        <v>черный</v>
      </c>
      <c r="P849" s="292" t="str">
        <f aca="false">"ед."</f>
        <v>ед.</v>
      </c>
      <c r="Q849" s="292" t="n">
        <f aca="false">N('Защитные стёкла'!$G$85)</f>
        <v>0</v>
      </c>
      <c r="R849" s="299" t="n">
        <f aca="false">IF(ISBLANK('Защитные стёкла'!$F$85),"",'Защитные стёкла'!$F$85)</f>
        <v>375.12</v>
      </c>
      <c r="S849" s="292" t="str">
        <f aca="false">IF(ISBLANK('Защитные стёкла'!$H$85),"",'Защитные стёкла'!$H$85)</f>
        <v/>
      </c>
    </row>
    <row r="850" customFormat="false" ht="66" hidden="false" customHeight="true" outlineLevel="0" collapsed="false">
      <c r="A850" s="291" t="str">
        <f aca="true">IF(ISNUMBER($J850),INDIRECT("L"&amp;($J850+4)),"")</f>
        <v/>
      </c>
      <c r="B850" s="291" t="str">
        <f aca="true">IF(ISNUMBER($J850),INDIRECT("M"&amp;($J850+4)),"")</f>
        <v/>
      </c>
      <c r="C850" s="296" t="str">
        <f aca="true">IF(ISNUMBER($J850),INDIRECT("N"&amp;($J850+4)),"")</f>
        <v/>
      </c>
      <c r="D850" s="291" t="str">
        <f aca="true">IF(ISNUMBER($J850),INDIRECT("O"&amp;($J850+4)),"")</f>
        <v/>
      </c>
      <c r="E850" s="291" t="str">
        <f aca="true">IF(ISNUMBER($J850),INDIRECT("P"&amp;($J850+4)),"")</f>
        <v/>
      </c>
      <c r="F850" s="300" t="str">
        <f aca="true">IF(ISNUMBER($J850),INDIRECT("Q"&amp;($J850+4)),"")</f>
        <v/>
      </c>
      <c r="G850" s="298" t="str">
        <f aca="true">IF(ISNUMBER($J850),INDIRECT("R"&amp;($J850+4)),"")</f>
        <v/>
      </c>
      <c r="H850" s="298" t="str">
        <f aca="true">IF(ISNUMBER($J850),INDIRECT("S"&amp;($J850+4)),"")</f>
        <v/>
      </c>
      <c r="J850" s="292" t="str">
        <f aca="true">IF(846&lt;=$K$1,MATCH(845.5,INDIRECT("$K$4:$K$1374"),1),"")</f>
        <v/>
      </c>
      <c r="K850" s="292" t="n">
        <f aca="false">$K$772+COUNTIF($Q$773:Q850,"&gt;0")</f>
        <v>0</v>
      </c>
      <c r="L850" s="292" t="str">
        <f aca="false">"Защитные стёкла"</f>
        <v>Защитные стёкла</v>
      </c>
      <c r="M850" s="292" t="str">
        <f aca="false">IF(ISBLANK('Защитные стёкла'!$A$86),"",'Защитные стёкла'!$A$86)</f>
        <v>Diamond armor полноэкранное HD закаленное стекло набор для iP14 Plus/13 Pro Max(BF6)(10шт)</v>
      </c>
      <c r="N850" s="292" t="str">
        <f aca="false">IF(ISBLANK('Защитные стёкла'!$D$86),"",'Защитные стёкла'!$D$86)</f>
        <v>6941991100567</v>
      </c>
      <c r="O850" s="292" t="str">
        <f aca="false">IF(ISBLANK('Защитные стёкла'!$E$86),"",'Защитные стёкла'!$E$86)</f>
        <v>черный</v>
      </c>
      <c r="P850" s="292" t="str">
        <f aca="false">"ед."</f>
        <v>ед.</v>
      </c>
      <c r="Q850" s="292" t="n">
        <f aca="false">N('Защитные стёкла'!$G$86)</f>
        <v>0</v>
      </c>
      <c r="R850" s="299" t="n">
        <f aca="false">IF(ISBLANK('Защитные стёкла'!$F$86),"",'Защитные стёкла'!$F$86)</f>
        <v>375.12</v>
      </c>
      <c r="S850" s="292" t="str">
        <f aca="false">IF(ISBLANK('Защитные стёкла'!$H$86),"",'Защитные стёкла'!$H$86)</f>
        <v/>
      </c>
    </row>
    <row r="851" customFormat="false" ht="66" hidden="false" customHeight="true" outlineLevel="0" collapsed="false">
      <c r="A851" s="291" t="str">
        <f aca="true">IF(ISNUMBER($J851),INDIRECT("L"&amp;($J851+4)),"")</f>
        <v/>
      </c>
      <c r="B851" s="291" t="str">
        <f aca="true">IF(ISNUMBER($J851),INDIRECT("M"&amp;($J851+4)),"")</f>
        <v/>
      </c>
      <c r="C851" s="296" t="str">
        <f aca="true">IF(ISNUMBER($J851),INDIRECT("N"&amp;($J851+4)),"")</f>
        <v/>
      </c>
      <c r="D851" s="291" t="str">
        <f aca="true">IF(ISNUMBER($J851),INDIRECT("O"&amp;($J851+4)),"")</f>
        <v/>
      </c>
      <c r="E851" s="291" t="str">
        <f aca="true">IF(ISNUMBER($J851),INDIRECT("P"&amp;($J851+4)),"")</f>
        <v/>
      </c>
      <c r="F851" s="300" t="str">
        <f aca="true">IF(ISNUMBER($J851),INDIRECT("Q"&amp;($J851+4)),"")</f>
        <v/>
      </c>
      <c r="G851" s="298" t="str">
        <f aca="true">IF(ISNUMBER($J851),INDIRECT("R"&amp;($J851+4)),"")</f>
        <v/>
      </c>
      <c r="H851" s="298" t="str">
        <f aca="true">IF(ISNUMBER($J851),INDIRECT("S"&amp;($J851+4)),"")</f>
        <v/>
      </c>
      <c r="J851" s="292" t="str">
        <f aca="true">IF(847&lt;=$K$1,MATCH(846.5,INDIRECT("$K$4:$K$1374"),1),"")</f>
        <v/>
      </c>
      <c r="K851" s="292" t="n">
        <f aca="false">$K$772+COUNTIF($Q$773:Q851,"&gt;0")</f>
        <v>0</v>
      </c>
      <c r="L851" s="292" t="str">
        <f aca="false">"Защитные стёкла"</f>
        <v>Защитные стёкла</v>
      </c>
      <c r="M851" s="292" t="str">
        <f aca="false">IF(ISBLANK('Защитные стёкла'!$A$87),"",'Защитные стёкла'!$A$87)</f>
        <v>Diamond armor полноэкранное HD закаленное стекло набор для iP14 Pro(BF6)(10шт)</v>
      </c>
      <c r="N851" s="292" t="str">
        <f aca="false">IF(ISBLANK('Защитные стёкла'!$D$87),"",'Защитные стёкла'!$D$87)</f>
        <v>6941991100574</v>
      </c>
      <c r="O851" s="292" t="str">
        <f aca="false">IF(ISBLANK('Защитные стёкла'!$E$87),"",'Защитные стёкла'!$E$87)</f>
        <v>черный</v>
      </c>
      <c r="P851" s="292" t="str">
        <f aca="false">"ед."</f>
        <v>ед.</v>
      </c>
      <c r="Q851" s="292" t="n">
        <f aca="false">N('Защитные стёкла'!$G$87)</f>
        <v>0</v>
      </c>
      <c r="R851" s="299" t="n">
        <f aca="false">IF(ISBLANK('Защитные стёкла'!$F$87),"",'Защитные стёкла'!$F$87)</f>
        <v>375.12</v>
      </c>
      <c r="S851" s="292" t="str">
        <f aca="false">IF(ISBLANK('Защитные стёкла'!$H$87),"",'Защитные стёкла'!$H$87)</f>
        <v/>
      </c>
    </row>
    <row r="852" customFormat="false" ht="66" hidden="false" customHeight="true" outlineLevel="0" collapsed="false">
      <c r="A852" s="291" t="str">
        <f aca="true">IF(ISNUMBER($J852),INDIRECT("L"&amp;($J852+4)),"")</f>
        <v/>
      </c>
      <c r="B852" s="291" t="str">
        <f aca="true">IF(ISNUMBER($J852),INDIRECT("M"&amp;($J852+4)),"")</f>
        <v/>
      </c>
      <c r="C852" s="296" t="str">
        <f aca="true">IF(ISNUMBER($J852),INDIRECT("N"&amp;($J852+4)),"")</f>
        <v/>
      </c>
      <c r="D852" s="291" t="str">
        <f aca="true">IF(ISNUMBER($J852),INDIRECT("O"&amp;($J852+4)),"")</f>
        <v/>
      </c>
      <c r="E852" s="291" t="str">
        <f aca="true">IF(ISNUMBER($J852),INDIRECT("P"&amp;($J852+4)),"")</f>
        <v/>
      </c>
      <c r="F852" s="300" t="str">
        <f aca="true">IF(ISNUMBER($J852),INDIRECT("Q"&amp;($J852+4)),"")</f>
        <v/>
      </c>
      <c r="G852" s="298" t="str">
        <f aca="true">IF(ISNUMBER($J852),INDIRECT("R"&amp;($J852+4)),"")</f>
        <v/>
      </c>
      <c r="H852" s="298" t="str">
        <f aca="true">IF(ISNUMBER($J852),INDIRECT("S"&amp;($J852+4)),"")</f>
        <v/>
      </c>
      <c r="J852" s="292" t="str">
        <f aca="true">IF(848&lt;=$K$1,MATCH(847.5,INDIRECT("$K$4:$K$1374"),1),"")</f>
        <v/>
      </c>
      <c r="K852" s="292" t="n">
        <f aca="false">$K$772+COUNTIF($Q$773:Q852,"&gt;0")</f>
        <v>0</v>
      </c>
      <c r="L852" s="292" t="str">
        <f aca="false">"Защитные стёкла"</f>
        <v>Защитные стёкла</v>
      </c>
      <c r="M852" s="292" t="str">
        <f aca="false">IF(ISBLANK('Защитные стёкла'!$A$88),"",'Защитные стёкла'!$A$88)</f>
        <v>Diamond armor полноэкранное HD закаленное стекло набор для iP14 Pro Max(BF6)(10шт)</v>
      </c>
      <c r="N852" s="292" t="str">
        <f aca="false">IF(ISBLANK('Защитные стёкла'!$D$88),"",'Защитные стёкла'!$D$88)</f>
        <v>6941991100581</v>
      </c>
      <c r="O852" s="292" t="str">
        <f aca="false">IF(ISBLANK('Защитные стёкла'!$E$88),"",'Защитные стёкла'!$E$88)</f>
        <v>черный</v>
      </c>
      <c r="P852" s="292" t="str">
        <f aca="false">"ед."</f>
        <v>ед.</v>
      </c>
      <c r="Q852" s="292" t="n">
        <f aca="false">N('Защитные стёкла'!$G$88)</f>
        <v>0</v>
      </c>
      <c r="R852" s="299" t="n">
        <f aca="false">IF(ISBLANK('Защитные стёкла'!$F$88),"",'Защитные стёкла'!$F$88)</f>
        <v>375.12</v>
      </c>
      <c r="S852" s="292" t="str">
        <f aca="false">IF(ISBLANK('Защитные стёкла'!$H$88),"",'Защитные стёкла'!$H$88)</f>
        <v/>
      </c>
    </row>
    <row r="853" customFormat="false" ht="66" hidden="false" customHeight="true" outlineLevel="0" collapsed="false">
      <c r="A853" s="291" t="str">
        <f aca="true">IF(ISNUMBER($J853),INDIRECT("L"&amp;($J853+4)),"")</f>
        <v/>
      </c>
      <c r="B853" s="291" t="str">
        <f aca="true">IF(ISNUMBER($J853),INDIRECT("M"&amp;($J853+4)),"")</f>
        <v/>
      </c>
      <c r="C853" s="296" t="str">
        <f aca="true">IF(ISNUMBER($J853),INDIRECT("N"&amp;($J853+4)),"")</f>
        <v/>
      </c>
      <c r="D853" s="291" t="str">
        <f aca="true">IF(ISNUMBER($J853),INDIRECT("O"&amp;($J853+4)),"")</f>
        <v/>
      </c>
      <c r="E853" s="291" t="str">
        <f aca="true">IF(ISNUMBER($J853),INDIRECT("P"&amp;($J853+4)),"")</f>
        <v/>
      </c>
      <c r="F853" s="300" t="str">
        <f aca="true">IF(ISNUMBER($J853),INDIRECT("Q"&amp;($J853+4)),"")</f>
        <v/>
      </c>
      <c r="G853" s="298" t="str">
        <f aca="true">IF(ISNUMBER($J853),INDIRECT("R"&amp;($J853+4)),"")</f>
        <v/>
      </c>
      <c r="H853" s="298" t="str">
        <f aca="true">IF(ISNUMBER($J853),INDIRECT("S"&amp;($J853+4)),"")</f>
        <v/>
      </c>
      <c r="J853" s="292" t="str">
        <f aca="true">IF(849&lt;=$K$1,MATCH(848.5,INDIRECT("$K$4:$K$1374"),1),"")</f>
        <v/>
      </c>
      <c r="K853" s="292" t="n">
        <f aca="false">$K$772+COUNTIF($Q$773:Q853,"&gt;0")</f>
        <v>0</v>
      </c>
      <c r="L853" s="292" t="str">
        <f aca="false">"Защитные стёкла"</f>
        <v>Защитные стёкла</v>
      </c>
      <c r="M853" s="292" t="str">
        <f aca="false">IF(ISBLANK('Защитные стёкла'!$A$91),"",'Защитные стёкла'!$A$91)</f>
        <v>Diamond armor полноэкранное 5D закаленное стекло с большой дугой набор для iP12/12 Pro(BF8)(10шт)</v>
      </c>
      <c r="N853" s="292" t="str">
        <f aca="false">IF(ISBLANK('Защитные стёкла'!$D$91),"",'Защитные стёкла'!$D$91)</f>
        <v>6941991100734</v>
      </c>
      <c r="O853" s="292" t="str">
        <f aca="false">IF(ISBLANK('Защитные стёкла'!$E$91),"",'Защитные стёкла'!$E$91)</f>
        <v>черный</v>
      </c>
      <c r="P853" s="292" t="str">
        <f aca="false">"ед."</f>
        <v>ед.</v>
      </c>
      <c r="Q853" s="292" t="n">
        <f aca="false">N('Защитные стёкла'!$G$91)</f>
        <v>0</v>
      </c>
      <c r="R853" s="299" t="n">
        <f aca="false">IF(ISBLANK('Защитные стёкла'!$F$91),"",'Защитные стёкла'!$F$91)</f>
        <v>484.39</v>
      </c>
      <c r="S853" s="292" t="str">
        <f aca="false">IF(ISBLANK('Защитные стёкла'!$H$91),"",'Защитные стёкла'!$H$91)</f>
        <v/>
      </c>
    </row>
    <row r="854" customFormat="false" ht="66" hidden="false" customHeight="true" outlineLevel="0" collapsed="false">
      <c r="A854" s="291" t="str">
        <f aca="true">IF(ISNUMBER($J854),INDIRECT("L"&amp;($J854+4)),"")</f>
        <v/>
      </c>
      <c r="B854" s="291" t="str">
        <f aca="true">IF(ISNUMBER($J854),INDIRECT("M"&amp;($J854+4)),"")</f>
        <v/>
      </c>
      <c r="C854" s="296" t="str">
        <f aca="true">IF(ISNUMBER($J854),INDIRECT("N"&amp;($J854+4)),"")</f>
        <v/>
      </c>
      <c r="D854" s="291" t="str">
        <f aca="true">IF(ISNUMBER($J854),INDIRECT("O"&amp;($J854+4)),"")</f>
        <v/>
      </c>
      <c r="E854" s="291" t="str">
        <f aca="true">IF(ISNUMBER($J854),INDIRECT("P"&amp;($J854+4)),"")</f>
        <v/>
      </c>
      <c r="F854" s="300" t="str">
        <f aca="true">IF(ISNUMBER($J854),INDIRECT("Q"&amp;($J854+4)),"")</f>
        <v/>
      </c>
      <c r="G854" s="298" t="str">
        <f aca="true">IF(ISNUMBER($J854),INDIRECT("R"&amp;($J854+4)),"")</f>
        <v/>
      </c>
      <c r="H854" s="298" t="str">
        <f aca="true">IF(ISNUMBER($J854),INDIRECT("S"&amp;($J854+4)),"")</f>
        <v/>
      </c>
      <c r="J854" s="292" t="str">
        <f aca="true">IF(850&lt;=$K$1,MATCH(849.5,INDIRECT("$K$4:$K$1374"),1),"")</f>
        <v/>
      </c>
      <c r="K854" s="292" t="n">
        <f aca="false">$K$772+COUNTIF($Q$773:Q854,"&gt;0")</f>
        <v>0</v>
      </c>
      <c r="L854" s="292" t="str">
        <f aca="false">"Защитные стёкла"</f>
        <v>Защитные стёкла</v>
      </c>
      <c r="M854" s="292" t="str">
        <f aca="false">IF(ISBLANK('Защитные стёкла'!$A$92),"",'Защитные стёкла'!$A$92)</f>
        <v>Diamond armor полноэкранное 5D закаленное стекло с большой дугой набор для iP12 Pro Max(BF8)(10шт)</v>
      </c>
      <c r="N854" s="292" t="str">
        <f aca="false">IF(ISBLANK('Защитные стёкла'!$D$92),"",'Защитные стёкла'!$D$92)</f>
        <v>6941991100741</v>
      </c>
      <c r="O854" s="292" t="str">
        <f aca="false">IF(ISBLANK('Защитные стёкла'!$E$92),"",'Защитные стёкла'!$E$92)</f>
        <v>черный</v>
      </c>
      <c r="P854" s="292" t="str">
        <f aca="false">"ед."</f>
        <v>ед.</v>
      </c>
      <c r="Q854" s="292" t="n">
        <f aca="false">N('Защитные стёкла'!$G$92)</f>
        <v>0</v>
      </c>
      <c r="R854" s="299" t="n">
        <f aca="false">IF(ISBLANK('Защитные стёкла'!$F$92),"",'Защитные стёкла'!$F$92)</f>
        <v>484.39</v>
      </c>
      <c r="S854" s="292" t="str">
        <f aca="false">IF(ISBLANK('Защитные стёкла'!$H$92),"",'Защитные стёкла'!$H$92)</f>
        <v/>
      </c>
    </row>
    <row r="855" customFormat="false" ht="66" hidden="false" customHeight="true" outlineLevel="0" collapsed="false">
      <c r="A855" s="291" t="str">
        <f aca="true">IF(ISNUMBER($J855),INDIRECT("L"&amp;($J855+4)),"")</f>
        <v/>
      </c>
      <c r="B855" s="291" t="str">
        <f aca="true">IF(ISNUMBER($J855),INDIRECT("M"&amp;($J855+4)),"")</f>
        <v/>
      </c>
      <c r="C855" s="296" t="str">
        <f aca="true">IF(ISNUMBER($J855),INDIRECT("N"&amp;($J855+4)),"")</f>
        <v/>
      </c>
      <c r="D855" s="291" t="str">
        <f aca="true">IF(ISNUMBER($J855),INDIRECT("O"&amp;($J855+4)),"")</f>
        <v/>
      </c>
      <c r="E855" s="291" t="str">
        <f aca="true">IF(ISNUMBER($J855),INDIRECT("P"&amp;($J855+4)),"")</f>
        <v/>
      </c>
      <c r="F855" s="300" t="str">
        <f aca="true">IF(ISNUMBER($J855),INDIRECT("Q"&amp;($J855+4)),"")</f>
        <v/>
      </c>
      <c r="G855" s="298" t="str">
        <f aca="true">IF(ISNUMBER($J855),INDIRECT("R"&amp;($J855+4)),"")</f>
        <v/>
      </c>
      <c r="H855" s="298" t="str">
        <f aca="true">IF(ISNUMBER($J855),INDIRECT("S"&amp;($J855+4)),"")</f>
        <v/>
      </c>
      <c r="J855" s="292" t="str">
        <f aca="true">IF(851&lt;=$K$1,MATCH(850.5,INDIRECT("$K$4:$K$1374"),1),"")</f>
        <v/>
      </c>
      <c r="K855" s="292" t="n">
        <f aca="false">$K$772+COUNTIF($Q$773:Q855,"&gt;0")</f>
        <v>0</v>
      </c>
      <c r="L855" s="292" t="str">
        <f aca="false">"Защитные стёкла"</f>
        <v>Защитные стёкла</v>
      </c>
      <c r="M855" s="292" t="str">
        <f aca="false">IF(ISBLANK('Защитные стёкла'!$A$93),"",'Защитные стёкла'!$A$93)</f>
        <v>Diamond armor полноэкранное закаленное стекло с защитой от подглядывания набор для  iP12/12 Pro(BF7)(10шт)</v>
      </c>
      <c r="N855" s="292" t="str">
        <f aca="false">IF(ISBLANK('Защитные стёкла'!$D$93),"",'Защитные стёкла'!$D$93)</f>
        <v>6941991100635</v>
      </c>
      <c r="O855" s="292" t="str">
        <f aca="false">IF(ISBLANK('Защитные стёкла'!$E$93),"",'Защитные стёкла'!$E$93)</f>
        <v>черный</v>
      </c>
      <c r="P855" s="292" t="str">
        <f aca="false">"ед."</f>
        <v>ед.</v>
      </c>
      <c r="Q855" s="292" t="n">
        <f aca="false">N('Защитные стёкла'!$G$93)</f>
        <v>0</v>
      </c>
      <c r="R855" s="299" t="n">
        <f aca="false">IF(ISBLANK('Защитные стёкла'!$F$93),"",'Защитные стёкла'!$F$93)</f>
        <v>616.5</v>
      </c>
      <c r="S855" s="292" t="str">
        <f aca="false">IF(ISBLANK('Защитные стёкла'!$H$93),"",'Защитные стёкла'!$H$93)</f>
        <v/>
      </c>
    </row>
    <row r="856" customFormat="false" ht="66" hidden="false" customHeight="true" outlineLevel="0" collapsed="false">
      <c r="A856" s="291" t="str">
        <f aca="true">IF(ISNUMBER($J856),INDIRECT("L"&amp;($J856+4)),"")</f>
        <v/>
      </c>
      <c r="B856" s="291" t="str">
        <f aca="true">IF(ISNUMBER($J856),INDIRECT("M"&amp;($J856+4)),"")</f>
        <v/>
      </c>
      <c r="C856" s="296" t="str">
        <f aca="true">IF(ISNUMBER($J856),INDIRECT("N"&amp;($J856+4)),"")</f>
        <v/>
      </c>
      <c r="D856" s="291" t="str">
        <f aca="true">IF(ISNUMBER($J856),INDIRECT("O"&amp;($J856+4)),"")</f>
        <v/>
      </c>
      <c r="E856" s="291" t="str">
        <f aca="true">IF(ISNUMBER($J856),INDIRECT("P"&amp;($J856+4)),"")</f>
        <v/>
      </c>
      <c r="F856" s="300" t="str">
        <f aca="true">IF(ISNUMBER($J856),INDIRECT("Q"&amp;($J856+4)),"")</f>
        <v/>
      </c>
      <c r="G856" s="298" t="str">
        <f aca="true">IF(ISNUMBER($J856),INDIRECT("R"&amp;($J856+4)),"")</f>
        <v/>
      </c>
      <c r="H856" s="298" t="str">
        <f aca="true">IF(ISNUMBER($J856),INDIRECT("S"&amp;($J856+4)),"")</f>
        <v/>
      </c>
      <c r="J856" s="292" t="str">
        <f aca="true">IF(852&lt;=$K$1,MATCH(851.5,INDIRECT("$K$4:$K$1374"),1),"")</f>
        <v/>
      </c>
      <c r="K856" s="292" t="n">
        <f aca="false">$K$772+COUNTIF($Q$773:Q856,"&gt;0")</f>
        <v>0</v>
      </c>
      <c r="L856" s="292" t="str">
        <f aca="false">"Защитные стёкла"</f>
        <v>Защитные стёкла</v>
      </c>
      <c r="M856" s="292" t="str">
        <f aca="false">IF(ISBLANK('Защитные стёкла'!$A$94),"",'Защитные стёкла'!$A$94)</f>
        <v>Diamond armor полноэкранное закаленное стекло с защитой от подглядывания набор для  iP12 Pro Max(BF7)(10шт)</v>
      </c>
      <c r="N856" s="292" t="str">
        <f aca="false">IF(ISBLANK('Защитные стёкла'!$D$94),"",'Защитные стёкла'!$D$94)</f>
        <v>6941991100642</v>
      </c>
      <c r="O856" s="292" t="str">
        <f aca="false">IF(ISBLANK('Защитные стёкла'!$E$94),"",'Защитные стёкла'!$E$94)</f>
        <v>черный</v>
      </c>
      <c r="P856" s="292" t="str">
        <f aca="false">"ед."</f>
        <v>ед.</v>
      </c>
      <c r="Q856" s="292" t="n">
        <f aca="false">N('Защитные стёкла'!$G$94)</f>
        <v>0</v>
      </c>
      <c r="R856" s="299" t="n">
        <f aca="false">IF(ISBLANK('Защитные стёкла'!$F$94),"",'Защитные стёкла'!$F$94)</f>
        <v>616.5</v>
      </c>
      <c r="S856" s="292" t="str">
        <f aca="false">IF(ISBLANK('Защитные стёкла'!$H$94),"",'Защитные стёкла'!$H$94)</f>
        <v/>
      </c>
    </row>
    <row r="857" customFormat="false" ht="66" hidden="false" customHeight="true" outlineLevel="0" collapsed="false">
      <c r="A857" s="291" t="str">
        <f aca="true">IF(ISNUMBER($J857),INDIRECT("L"&amp;($J857+4)),"")</f>
        <v/>
      </c>
      <c r="B857" s="291" t="str">
        <f aca="true">IF(ISNUMBER($J857),INDIRECT("M"&amp;($J857+4)),"")</f>
        <v/>
      </c>
      <c r="C857" s="296" t="str">
        <f aca="true">IF(ISNUMBER($J857),INDIRECT("N"&amp;($J857+4)),"")</f>
        <v/>
      </c>
      <c r="D857" s="291" t="str">
        <f aca="true">IF(ISNUMBER($J857),INDIRECT("O"&amp;($J857+4)),"")</f>
        <v/>
      </c>
      <c r="E857" s="291" t="str">
        <f aca="true">IF(ISNUMBER($J857),INDIRECT("P"&amp;($J857+4)),"")</f>
        <v/>
      </c>
      <c r="F857" s="300" t="str">
        <f aca="true">IF(ISNUMBER($J857),INDIRECT("Q"&amp;($J857+4)),"")</f>
        <v/>
      </c>
      <c r="G857" s="298" t="str">
        <f aca="true">IF(ISNUMBER($J857),INDIRECT("R"&amp;($J857+4)),"")</f>
        <v/>
      </c>
      <c r="H857" s="298" t="str">
        <f aca="true">IF(ISNUMBER($J857),INDIRECT("S"&amp;($J857+4)),"")</f>
        <v/>
      </c>
      <c r="J857" s="292" t="str">
        <f aca="true">IF(853&lt;=$K$1,MATCH(852.5,INDIRECT("$K$4:$K$1374"),1),"")</f>
        <v/>
      </c>
      <c r="K857" s="292" t="n">
        <f aca="false">$K$772+COUNTIF($Q$773:Q857,"&gt;0")</f>
        <v>0</v>
      </c>
      <c r="L857" s="292" t="str">
        <f aca="false">"Защитные стёкла"</f>
        <v>Защитные стёкла</v>
      </c>
      <c r="M857" s="292" t="str">
        <f aca="false">IF(ISBLANK('Защитные стёкла'!$A$95),"",'Защитные стёкла'!$A$95)</f>
        <v>Diamond armor полноэкранное HD закаленное стекло набор для iP12/12 Pro(BF6)(10шт)</v>
      </c>
      <c r="N857" s="292" t="str">
        <f aca="false">IF(ISBLANK('Защитные стёкла'!$D$95),"",'Защитные стёкла'!$D$95)</f>
        <v>6941991100536</v>
      </c>
      <c r="O857" s="292" t="str">
        <f aca="false">IF(ISBLANK('Защитные стёкла'!$E$95),"",'Защитные стёкла'!$E$95)</f>
        <v>черный</v>
      </c>
      <c r="P857" s="292" t="str">
        <f aca="false">"ед."</f>
        <v>ед.</v>
      </c>
      <c r="Q857" s="292" t="n">
        <f aca="false">N('Защитные стёкла'!$G$95)</f>
        <v>0</v>
      </c>
      <c r="R857" s="299" t="n">
        <f aca="false">IF(ISBLANK('Защитные стёкла'!$F$95),"",'Защитные стёкла'!$F$95)</f>
        <v>375.12</v>
      </c>
      <c r="S857" s="292" t="str">
        <f aca="false">IF(ISBLANK('Защитные стёкла'!$H$95),"",'Защитные стёкла'!$H$95)</f>
        <v/>
      </c>
    </row>
    <row r="858" customFormat="false" ht="66" hidden="false" customHeight="true" outlineLevel="0" collapsed="false">
      <c r="A858" s="291" t="str">
        <f aca="true">IF(ISNUMBER($J858),INDIRECT("L"&amp;($J858+4)),"")</f>
        <v/>
      </c>
      <c r="B858" s="291" t="str">
        <f aca="true">IF(ISNUMBER($J858),INDIRECT("M"&amp;($J858+4)),"")</f>
        <v/>
      </c>
      <c r="C858" s="296" t="str">
        <f aca="true">IF(ISNUMBER($J858),INDIRECT("N"&amp;($J858+4)),"")</f>
        <v/>
      </c>
      <c r="D858" s="291" t="str">
        <f aca="true">IF(ISNUMBER($J858),INDIRECT("O"&amp;($J858+4)),"")</f>
        <v/>
      </c>
      <c r="E858" s="291" t="str">
        <f aca="true">IF(ISNUMBER($J858),INDIRECT("P"&amp;($J858+4)),"")</f>
        <v/>
      </c>
      <c r="F858" s="300" t="str">
        <f aca="true">IF(ISNUMBER($J858),INDIRECT("Q"&amp;($J858+4)),"")</f>
        <v/>
      </c>
      <c r="G858" s="298" t="str">
        <f aca="true">IF(ISNUMBER($J858),INDIRECT("R"&amp;($J858+4)),"")</f>
        <v/>
      </c>
      <c r="H858" s="298" t="str">
        <f aca="true">IF(ISNUMBER($J858),INDIRECT("S"&amp;($J858+4)),"")</f>
        <v/>
      </c>
      <c r="J858" s="292" t="str">
        <f aca="true">IF(854&lt;=$K$1,MATCH(853.5,INDIRECT("$K$4:$K$1374"),1),"")</f>
        <v/>
      </c>
      <c r="K858" s="292" t="n">
        <f aca="false">$K$772+COUNTIF($Q$773:Q858,"&gt;0")</f>
        <v>0</v>
      </c>
      <c r="L858" s="292" t="str">
        <f aca="false">"Защитные стёкла"</f>
        <v>Защитные стёкла</v>
      </c>
      <c r="M858" s="292" t="str">
        <f aca="false">IF(ISBLANK('Защитные стёкла'!$A$96),"",'Защитные стёкла'!$A$96)</f>
        <v>Diamond armor полноэкранное HD закаленное стекло набор для iP12 Pro Max(BF6)(10шт)</v>
      </c>
      <c r="N858" s="292" t="str">
        <f aca="false">IF(ISBLANK('Защитные стёкла'!$D$96),"",'Защитные стёкла'!$D$96)</f>
        <v>6941991100543</v>
      </c>
      <c r="O858" s="292" t="str">
        <f aca="false">IF(ISBLANK('Защитные стёкла'!$E$96),"",'Защитные стёкла'!$E$96)</f>
        <v>черный</v>
      </c>
      <c r="P858" s="292" t="str">
        <f aca="false">"ед."</f>
        <v>ед.</v>
      </c>
      <c r="Q858" s="292" t="n">
        <f aca="false">N('Защитные стёкла'!$G$96)</f>
        <v>0</v>
      </c>
      <c r="R858" s="299" t="n">
        <f aca="false">IF(ISBLANK('Защитные стёкла'!$F$96),"",'Защитные стёкла'!$F$96)</f>
        <v>375.12</v>
      </c>
      <c r="S858" s="292" t="str">
        <f aca="false">IF(ISBLANK('Защитные стёкла'!$H$96),"",'Защитные стёкла'!$H$96)</f>
        <v/>
      </c>
    </row>
    <row r="859" customFormat="false" ht="66" hidden="false" customHeight="true" outlineLevel="0" collapsed="false">
      <c r="A859" s="291" t="str">
        <f aca="true">IF(ISNUMBER($J859),INDIRECT("L"&amp;($J859+4)),"")</f>
        <v/>
      </c>
      <c r="B859" s="291" t="str">
        <f aca="true">IF(ISNUMBER($J859),INDIRECT("M"&amp;($J859+4)),"")</f>
        <v/>
      </c>
      <c r="C859" s="296" t="str">
        <f aca="true">IF(ISNUMBER($J859),INDIRECT("N"&amp;($J859+4)),"")</f>
        <v/>
      </c>
      <c r="D859" s="291" t="str">
        <f aca="true">IF(ISNUMBER($J859),INDIRECT("O"&amp;($J859+4)),"")</f>
        <v/>
      </c>
      <c r="E859" s="291" t="str">
        <f aca="true">IF(ISNUMBER($J859),INDIRECT("P"&amp;($J859+4)),"")</f>
        <v/>
      </c>
      <c r="F859" s="300" t="str">
        <f aca="true">IF(ISNUMBER($J859),INDIRECT("Q"&amp;($J859+4)),"")</f>
        <v/>
      </c>
      <c r="G859" s="298" t="str">
        <f aca="true">IF(ISNUMBER($J859),INDIRECT("R"&amp;($J859+4)),"")</f>
        <v/>
      </c>
      <c r="H859" s="298" t="str">
        <f aca="true">IF(ISNUMBER($J859),INDIRECT("S"&amp;($J859+4)),"")</f>
        <v/>
      </c>
      <c r="J859" s="292" t="str">
        <f aca="true">IF(855&lt;=$K$1,MATCH(854.5,INDIRECT("$K$4:$K$1374"),1),"")</f>
        <v/>
      </c>
      <c r="K859" s="292" t="n">
        <f aca="false">$K$772+COUNTIF($Q$773:Q859,"&gt;0")</f>
        <v>0</v>
      </c>
      <c r="L859" s="292" t="str">
        <f aca="false">"Защитные стёкла"</f>
        <v>Защитные стёкла</v>
      </c>
      <c r="M859" s="292" t="str">
        <f aca="false">IF(ISBLANK('Защитные стёкла'!$A$99),"",'Защитные стёкла'!$A$99)</f>
        <v>Diamond armor полноэкранное 5D закаленное стекло с большой дугой набор для iPX/XS/11 Pro(BF8)(10шт)</v>
      </c>
      <c r="N859" s="292" t="str">
        <f aca="false">IF(ISBLANK('Защитные стёкла'!$D$99),"",'Защитные стёкла'!$D$99)</f>
        <v>6941991100703</v>
      </c>
      <c r="O859" s="292" t="str">
        <f aca="false">IF(ISBLANK('Защитные стёкла'!$E$99),"",'Защитные стёкла'!$E$99)</f>
        <v>черный</v>
      </c>
      <c r="P859" s="292" t="str">
        <f aca="false">"ед."</f>
        <v>ед.</v>
      </c>
      <c r="Q859" s="292" t="n">
        <f aca="false">N('Защитные стёкла'!$G$99)</f>
        <v>0</v>
      </c>
      <c r="R859" s="299" t="n">
        <f aca="false">IF(ISBLANK('Защитные стёкла'!$F$99),"",'Защитные стёкла'!$F$99)</f>
        <v>484.39</v>
      </c>
      <c r="S859" s="292" t="str">
        <f aca="false">IF(ISBLANK('Защитные стёкла'!$H$99),"",'Защитные стёкла'!$H$99)</f>
        <v/>
      </c>
    </row>
    <row r="860" customFormat="false" ht="66" hidden="false" customHeight="true" outlineLevel="0" collapsed="false">
      <c r="A860" s="291" t="str">
        <f aca="true">IF(ISNUMBER($J860),INDIRECT("L"&amp;($J860+4)),"")</f>
        <v/>
      </c>
      <c r="B860" s="291" t="str">
        <f aca="true">IF(ISNUMBER($J860),INDIRECT("M"&amp;($J860+4)),"")</f>
        <v/>
      </c>
      <c r="C860" s="296" t="str">
        <f aca="true">IF(ISNUMBER($J860),INDIRECT("N"&amp;($J860+4)),"")</f>
        <v/>
      </c>
      <c r="D860" s="291" t="str">
        <f aca="true">IF(ISNUMBER($J860),INDIRECT("O"&amp;($J860+4)),"")</f>
        <v/>
      </c>
      <c r="E860" s="291" t="str">
        <f aca="true">IF(ISNUMBER($J860),INDIRECT("P"&amp;($J860+4)),"")</f>
        <v/>
      </c>
      <c r="F860" s="300" t="str">
        <f aca="true">IF(ISNUMBER($J860),INDIRECT("Q"&amp;($J860+4)),"")</f>
        <v/>
      </c>
      <c r="G860" s="298" t="str">
        <f aca="true">IF(ISNUMBER($J860),INDIRECT("R"&amp;($J860+4)),"")</f>
        <v/>
      </c>
      <c r="H860" s="298" t="str">
        <f aca="true">IF(ISNUMBER($J860),INDIRECT("S"&amp;($J860+4)),"")</f>
        <v/>
      </c>
      <c r="J860" s="292" t="str">
        <f aca="true">IF(856&lt;=$K$1,MATCH(855.5,INDIRECT("$K$4:$K$1374"),1),"")</f>
        <v/>
      </c>
      <c r="K860" s="292" t="n">
        <f aca="false">$K$772+COUNTIF($Q$773:Q860,"&gt;0")</f>
        <v>0</v>
      </c>
      <c r="L860" s="292" t="str">
        <f aca="false">"Защитные стёкла"</f>
        <v>Защитные стёкла</v>
      </c>
      <c r="M860" s="292" t="str">
        <f aca="false">IF(ISBLANK('Защитные стёкла'!$A$100),"",'Защитные стёкла'!$A$100)</f>
        <v>Diamond armor полноэкранное 5D закаленное стекло с большой дугой набор для iPXR/11(BF8)(10шт)</v>
      </c>
      <c r="N860" s="292" t="str">
        <f aca="false">IF(ISBLANK('Защитные стёкла'!$D$100),"",'Защитные стёкла'!$D$100)</f>
        <v>6941991100710</v>
      </c>
      <c r="O860" s="292" t="str">
        <f aca="false">IF(ISBLANK('Защитные стёкла'!$E$100),"",'Защитные стёкла'!$E$100)</f>
        <v>черный</v>
      </c>
      <c r="P860" s="292" t="str">
        <f aca="false">"ед."</f>
        <v>ед.</v>
      </c>
      <c r="Q860" s="292" t="n">
        <f aca="false">N('Защитные стёкла'!$G$100)</f>
        <v>0</v>
      </c>
      <c r="R860" s="299" t="n">
        <f aca="false">IF(ISBLANK('Защитные стёкла'!$F$100),"",'Защитные стёкла'!$F$100)</f>
        <v>484.39</v>
      </c>
      <c r="S860" s="292" t="str">
        <f aca="false">IF(ISBLANK('Защитные стёкла'!$H$100),"",'Защитные стёкла'!$H$100)</f>
        <v/>
      </c>
    </row>
    <row r="861" customFormat="false" ht="66" hidden="false" customHeight="true" outlineLevel="0" collapsed="false">
      <c r="A861" s="291" t="str">
        <f aca="true">IF(ISNUMBER($J861),INDIRECT("L"&amp;($J861+4)),"")</f>
        <v/>
      </c>
      <c r="B861" s="291" t="str">
        <f aca="true">IF(ISNUMBER($J861),INDIRECT("M"&amp;($J861+4)),"")</f>
        <v/>
      </c>
      <c r="C861" s="296" t="str">
        <f aca="true">IF(ISNUMBER($J861),INDIRECT("N"&amp;($J861+4)),"")</f>
        <v/>
      </c>
      <c r="D861" s="291" t="str">
        <f aca="true">IF(ISNUMBER($J861),INDIRECT("O"&amp;($J861+4)),"")</f>
        <v/>
      </c>
      <c r="E861" s="291" t="str">
        <f aca="true">IF(ISNUMBER($J861),INDIRECT("P"&amp;($J861+4)),"")</f>
        <v/>
      </c>
      <c r="F861" s="300" t="str">
        <f aca="true">IF(ISNUMBER($J861),INDIRECT("Q"&amp;($J861+4)),"")</f>
        <v/>
      </c>
      <c r="G861" s="298" t="str">
        <f aca="true">IF(ISNUMBER($J861),INDIRECT("R"&amp;($J861+4)),"")</f>
        <v/>
      </c>
      <c r="H861" s="298" t="str">
        <f aca="true">IF(ISNUMBER($J861),INDIRECT("S"&amp;($J861+4)),"")</f>
        <v/>
      </c>
      <c r="J861" s="292" t="str">
        <f aca="true">IF(857&lt;=$K$1,MATCH(856.5,INDIRECT("$K$4:$K$1374"),1),"")</f>
        <v/>
      </c>
      <c r="K861" s="292" t="n">
        <f aca="false">$K$772+COUNTIF($Q$773:Q861,"&gt;0")</f>
        <v>0</v>
      </c>
      <c r="L861" s="292" t="str">
        <f aca="false">"Защитные стёкла"</f>
        <v>Защитные стёкла</v>
      </c>
      <c r="M861" s="292" t="str">
        <f aca="false">IF(ISBLANK('Защитные стёкла'!$A$101),"",'Защитные стёкла'!$A$101)</f>
        <v>Diamond armor полноэкранное 5D закаленное стекло с большой дугой набор для iPXS Max/11 Pro Max(BF8)(10шт)</v>
      </c>
      <c r="N861" s="292" t="str">
        <f aca="false">IF(ISBLANK('Защитные стёкла'!$D$101),"",'Защитные стёкла'!$D$101)</f>
        <v>6941991100727</v>
      </c>
      <c r="O861" s="292" t="str">
        <f aca="false">IF(ISBLANK('Защитные стёкла'!$E$101),"",'Защитные стёкла'!$E$101)</f>
        <v>черный</v>
      </c>
      <c r="P861" s="292" t="str">
        <f aca="false">"ед."</f>
        <v>ед.</v>
      </c>
      <c r="Q861" s="292" t="n">
        <f aca="false">N('Защитные стёкла'!$G$101)</f>
        <v>0</v>
      </c>
      <c r="R861" s="299" t="n">
        <f aca="false">IF(ISBLANK('Защитные стёкла'!$F$101),"",'Защитные стёкла'!$F$101)</f>
        <v>484.39</v>
      </c>
      <c r="S861" s="292" t="str">
        <f aca="false">IF(ISBLANK('Защитные стёкла'!$H$101),"",'Защитные стёкла'!$H$101)</f>
        <v/>
      </c>
    </row>
    <row r="862" customFormat="false" ht="66" hidden="false" customHeight="true" outlineLevel="0" collapsed="false">
      <c r="A862" s="291" t="str">
        <f aca="true">IF(ISNUMBER($J862),INDIRECT("L"&amp;($J862+4)),"")</f>
        <v/>
      </c>
      <c r="B862" s="291" t="str">
        <f aca="true">IF(ISNUMBER($J862),INDIRECT("M"&amp;($J862+4)),"")</f>
        <v/>
      </c>
      <c r="C862" s="296" t="str">
        <f aca="true">IF(ISNUMBER($J862),INDIRECT("N"&amp;($J862+4)),"")</f>
        <v/>
      </c>
      <c r="D862" s="291" t="str">
        <f aca="true">IF(ISNUMBER($J862),INDIRECT("O"&amp;($J862+4)),"")</f>
        <v/>
      </c>
      <c r="E862" s="291" t="str">
        <f aca="true">IF(ISNUMBER($J862),INDIRECT("P"&amp;($J862+4)),"")</f>
        <v/>
      </c>
      <c r="F862" s="300" t="str">
        <f aca="true">IF(ISNUMBER($J862),INDIRECT("Q"&amp;($J862+4)),"")</f>
        <v/>
      </c>
      <c r="G862" s="298" t="str">
        <f aca="true">IF(ISNUMBER($J862),INDIRECT("R"&amp;($J862+4)),"")</f>
        <v/>
      </c>
      <c r="H862" s="298" t="str">
        <f aca="true">IF(ISNUMBER($J862),INDIRECT("S"&amp;($J862+4)),"")</f>
        <v/>
      </c>
      <c r="J862" s="292" t="str">
        <f aca="true">IF(858&lt;=$K$1,MATCH(857.5,INDIRECT("$K$4:$K$1374"),1),"")</f>
        <v/>
      </c>
      <c r="K862" s="292" t="n">
        <f aca="false">$K$772+COUNTIF($Q$773:Q862,"&gt;0")</f>
        <v>0</v>
      </c>
      <c r="L862" s="292" t="str">
        <f aca="false">"Защитные стёкла"</f>
        <v>Защитные стёкла</v>
      </c>
      <c r="M862" s="292" t="str">
        <f aca="false">IF(ISBLANK('Защитные стёкла'!$A$102),"",'Защитные стёкла'!$A$102)</f>
        <v>Diamond armor полноэкранное закаленное стекло с защитой от подглядывания набор для  iPX/XS/11 Pro(BF7)(10шт)</v>
      </c>
      <c r="N862" s="292" t="str">
        <f aca="false">IF(ISBLANK('Защитные стёкла'!$D$102),"",'Защитные стёкла'!$D$102)</f>
        <v>6941991100604</v>
      </c>
      <c r="O862" s="292" t="str">
        <f aca="false">IF(ISBLANK('Защитные стёкла'!$E$102),"",'Защитные стёкла'!$E$102)</f>
        <v>черный</v>
      </c>
      <c r="P862" s="292" t="str">
        <f aca="false">"ед."</f>
        <v>ед.</v>
      </c>
      <c r="Q862" s="292" t="n">
        <f aca="false">N('Защитные стёкла'!$G$102)</f>
        <v>0</v>
      </c>
      <c r="R862" s="299" t="n">
        <f aca="false">IF(ISBLANK('Защитные стёкла'!$F$102),"",'Защитные стёкла'!$F$102)</f>
        <v>616.5</v>
      </c>
      <c r="S862" s="292" t="str">
        <f aca="false">IF(ISBLANK('Защитные стёкла'!$H$102),"",'Защитные стёкла'!$H$102)</f>
        <v/>
      </c>
    </row>
    <row r="863" customFormat="false" ht="66" hidden="false" customHeight="true" outlineLevel="0" collapsed="false">
      <c r="A863" s="291" t="str">
        <f aca="true">IF(ISNUMBER($J863),INDIRECT("L"&amp;($J863+4)),"")</f>
        <v/>
      </c>
      <c r="B863" s="291" t="str">
        <f aca="true">IF(ISNUMBER($J863),INDIRECT("M"&amp;($J863+4)),"")</f>
        <v/>
      </c>
      <c r="C863" s="296" t="str">
        <f aca="true">IF(ISNUMBER($J863),INDIRECT("N"&amp;($J863+4)),"")</f>
        <v/>
      </c>
      <c r="D863" s="291" t="str">
        <f aca="true">IF(ISNUMBER($J863),INDIRECT("O"&amp;($J863+4)),"")</f>
        <v/>
      </c>
      <c r="E863" s="291" t="str">
        <f aca="true">IF(ISNUMBER($J863),INDIRECT("P"&amp;($J863+4)),"")</f>
        <v/>
      </c>
      <c r="F863" s="300" t="str">
        <f aca="true">IF(ISNUMBER($J863),INDIRECT("Q"&amp;($J863+4)),"")</f>
        <v/>
      </c>
      <c r="G863" s="298" t="str">
        <f aca="true">IF(ISNUMBER($J863),INDIRECT("R"&amp;($J863+4)),"")</f>
        <v/>
      </c>
      <c r="H863" s="298" t="str">
        <f aca="true">IF(ISNUMBER($J863),INDIRECT("S"&amp;($J863+4)),"")</f>
        <v/>
      </c>
      <c r="J863" s="292" t="str">
        <f aca="true">IF(859&lt;=$K$1,MATCH(858.5,INDIRECT("$K$4:$K$1374"),1),"")</f>
        <v/>
      </c>
      <c r="K863" s="292" t="n">
        <f aca="false">$K$772+COUNTIF($Q$773:Q863,"&gt;0")</f>
        <v>0</v>
      </c>
      <c r="L863" s="292" t="str">
        <f aca="false">"Защитные стёкла"</f>
        <v>Защитные стёкла</v>
      </c>
      <c r="M863" s="292" t="str">
        <f aca="false">IF(ISBLANK('Защитные стёкла'!$A$103),"",'Защитные стёкла'!$A$103)</f>
        <v>Diamond armor полноэкранное закаленное стекло с защитой от подглядывания набор для  iPXR/11(BF7)(10шт)</v>
      </c>
      <c r="N863" s="292" t="str">
        <f aca="false">IF(ISBLANK('Защитные стёкла'!$D$103),"",'Защитные стёкла'!$D$103)</f>
        <v>6941991100611</v>
      </c>
      <c r="O863" s="292" t="str">
        <f aca="false">IF(ISBLANK('Защитные стёкла'!$E$103),"",'Защитные стёкла'!$E$103)</f>
        <v>черный</v>
      </c>
      <c r="P863" s="292" t="str">
        <f aca="false">"ед."</f>
        <v>ед.</v>
      </c>
      <c r="Q863" s="292" t="n">
        <f aca="false">N('Защитные стёкла'!$G$103)</f>
        <v>0</v>
      </c>
      <c r="R863" s="299" t="n">
        <f aca="false">IF(ISBLANK('Защитные стёкла'!$F$103),"",'Защитные стёкла'!$F$103)</f>
        <v>616.5</v>
      </c>
      <c r="S863" s="292" t="str">
        <f aca="false">IF(ISBLANK('Защитные стёкла'!$H$103),"",'Защитные стёкла'!$H$103)</f>
        <v/>
      </c>
    </row>
    <row r="864" customFormat="false" ht="66" hidden="false" customHeight="true" outlineLevel="0" collapsed="false">
      <c r="A864" s="291" t="str">
        <f aca="true">IF(ISNUMBER($J864),INDIRECT("L"&amp;($J864+4)),"")</f>
        <v/>
      </c>
      <c r="B864" s="291" t="str">
        <f aca="true">IF(ISNUMBER($J864),INDIRECT("M"&amp;($J864+4)),"")</f>
        <v/>
      </c>
      <c r="C864" s="296" t="str">
        <f aca="true">IF(ISNUMBER($J864),INDIRECT("N"&amp;($J864+4)),"")</f>
        <v/>
      </c>
      <c r="D864" s="291" t="str">
        <f aca="true">IF(ISNUMBER($J864),INDIRECT("O"&amp;($J864+4)),"")</f>
        <v/>
      </c>
      <c r="E864" s="291" t="str">
        <f aca="true">IF(ISNUMBER($J864),INDIRECT("P"&amp;($J864+4)),"")</f>
        <v/>
      </c>
      <c r="F864" s="300" t="str">
        <f aca="true">IF(ISNUMBER($J864),INDIRECT("Q"&amp;($J864+4)),"")</f>
        <v/>
      </c>
      <c r="G864" s="298" t="str">
        <f aca="true">IF(ISNUMBER($J864),INDIRECT("R"&amp;($J864+4)),"")</f>
        <v/>
      </c>
      <c r="H864" s="298" t="str">
        <f aca="true">IF(ISNUMBER($J864),INDIRECT("S"&amp;($J864+4)),"")</f>
        <v/>
      </c>
      <c r="J864" s="292" t="str">
        <f aca="true">IF(860&lt;=$K$1,MATCH(859.5,INDIRECT("$K$4:$K$1374"),1),"")</f>
        <v/>
      </c>
      <c r="K864" s="292" t="n">
        <f aca="false">$K$772+COUNTIF($Q$773:Q864,"&gt;0")</f>
        <v>0</v>
      </c>
      <c r="L864" s="292" t="str">
        <f aca="false">"Защитные стёкла"</f>
        <v>Защитные стёкла</v>
      </c>
      <c r="M864" s="292" t="str">
        <f aca="false">IF(ISBLANK('Защитные стёкла'!$A$104),"",'Защитные стёкла'!$A$104)</f>
        <v>Diamond armor полноэкранное закаленное стекло с защитой от подглядывания набор для  iPXS Max/11 Pro Max(BF7)(10шт)</v>
      </c>
      <c r="N864" s="292" t="str">
        <f aca="false">IF(ISBLANK('Защитные стёкла'!$D$104),"",'Защитные стёкла'!$D$104)</f>
        <v>6941991100628</v>
      </c>
      <c r="O864" s="292" t="str">
        <f aca="false">IF(ISBLANK('Защитные стёкла'!$E$104),"",'Защитные стёкла'!$E$104)</f>
        <v>черный</v>
      </c>
      <c r="P864" s="292" t="str">
        <f aca="false">"ед."</f>
        <v>ед.</v>
      </c>
      <c r="Q864" s="292" t="n">
        <f aca="false">N('Защитные стёкла'!$G$104)</f>
        <v>0</v>
      </c>
      <c r="R864" s="299" t="n">
        <f aca="false">IF(ISBLANK('Защитные стёкла'!$F$104),"",'Защитные стёкла'!$F$104)</f>
        <v>616.5</v>
      </c>
      <c r="S864" s="292" t="str">
        <f aca="false">IF(ISBLANK('Защитные стёкла'!$H$104),"",'Защитные стёкла'!$H$104)</f>
        <v/>
      </c>
    </row>
    <row r="865" customFormat="false" ht="66" hidden="false" customHeight="true" outlineLevel="0" collapsed="false">
      <c r="A865" s="291" t="str">
        <f aca="true">IF(ISNUMBER($J865),INDIRECT("L"&amp;($J865+4)),"")</f>
        <v/>
      </c>
      <c r="B865" s="291" t="str">
        <f aca="true">IF(ISNUMBER($J865),INDIRECT("M"&amp;($J865+4)),"")</f>
        <v/>
      </c>
      <c r="C865" s="296" t="str">
        <f aca="true">IF(ISNUMBER($J865),INDIRECT("N"&amp;($J865+4)),"")</f>
        <v/>
      </c>
      <c r="D865" s="291" t="str">
        <f aca="true">IF(ISNUMBER($J865),INDIRECT("O"&amp;($J865+4)),"")</f>
        <v/>
      </c>
      <c r="E865" s="291" t="str">
        <f aca="true">IF(ISNUMBER($J865),INDIRECT("P"&amp;($J865+4)),"")</f>
        <v/>
      </c>
      <c r="F865" s="300" t="str">
        <f aca="true">IF(ISNUMBER($J865),INDIRECT("Q"&amp;($J865+4)),"")</f>
        <v/>
      </c>
      <c r="G865" s="298" t="str">
        <f aca="true">IF(ISNUMBER($J865),INDIRECT("R"&amp;($J865+4)),"")</f>
        <v/>
      </c>
      <c r="H865" s="298" t="str">
        <f aca="true">IF(ISNUMBER($J865),INDIRECT("S"&amp;($J865+4)),"")</f>
        <v/>
      </c>
      <c r="J865" s="292" t="str">
        <f aca="true">IF(861&lt;=$K$1,MATCH(860.5,INDIRECT("$K$4:$K$1374"),1),"")</f>
        <v/>
      </c>
      <c r="K865" s="292" t="n">
        <f aca="false">$K$772+COUNTIF($Q$773:Q865,"&gt;0")</f>
        <v>0</v>
      </c>
      <c r="L865" s="292" t="str">
        <f aca="false">"Защитные стёкла"</f>
        <v>Защитные стёкла</v>
      </c>
      <c r="M865" s="292" t="str">
        <f aca="false">IF(ISBLANK('Защитные стёкла'!$A$105),"",'Защитные стёкла'!$A$105)</f>
        <v>Diamond armor полноэкранное HD закаленное стекло набор для iPX/XS/11 Pro(BF6)(10шт)</v>
      </c>
      <c r="N865" s="292" t="str">
        <f aca="false">IF(ISBLANK('Защитные стёкла'!$D$105),"",'Защитные стёкла'!$D$105)</f>
        <v>6941991100505</v>
      </c>
      <c r="O865" s="292" t="str">
        <f aca="false">IF(ISBLANK('Защитные стёкла'!$E$105),"",'Защитные стёкла'!$E$105)</f>
        <v>черный</v>
      </c>
      <c r="P865" s="292" t="str">
        <f aca="false">"ед."</f>
        <v>ед.</v>
      </c>
      <c r="Q865" s="292" t="n">
        <f aca="false">N('Защитные стёкла'!$G$105)</f>
        <v>0</v>
      </c>
      <c r="R865" s="299" t="n">
        <f aca="false">IF(ISBLANK('Защитные стёкла'!$F$105),"",'Защитные стёкла'!$F$105)</f>
        <v>375.12</v>
      </c>
      <c r="S865" s="292" t="str">
        <f aca="false">IF(ISBLANK('Защитные стёкла'!$H$105),"",'Защитные стёкла'!$H$105)</f>
        <v/>
      </c>
    </row>
    <row r="866" customFormat="false" ht="66" hidden="false" customHeight="true" outlineLevel="0" collapsed="false">
      <c r="A866" s="291" t="str">
        <f aca="true">IF(ISNUMBER($J866),INDIRECT("L"&amp;($J866+4)),"")</f>
        <v/>
      </c>
      <c r="B866" s="291" t="str">
        <f aca="true">IF(ISNUMBER($J866),INDIRECT("M"&amp;($J866+4)),"")</f>
        <v/>
      </c>
      <c r="C866" s="296" t="str">
        <f aca="true">IF(ISNUMBER($J866),INDIRECT("N"&amp;($J866+4)),"")</f>
        <v/>
      </c>
      <c r="D866" s="291" t="str">
        <f aca="true">IF(ISNUMBER($J866),INDIRECT("O"&amp;($J866+4)),"")</f>
        <v/>
      </c>
      <c r="E866" s="291" t="str">
        <f aca="true">IF(ISNUMBER($J866),INDIRECT("P"&amp;($J866+4)),"")</f>
        <v/>
      </c>
      <c r="F866" s="300" t="str">
        <f aca="true">IF(ISNUMBER($J866),INDIRECT("Q"&amp;($J866+4)),"")</f>
        <v/>
      </c>
      <c r="G866" s="298" t="str">
        <f aca="true">IF(ISNUMBER($J866),INDIRECT("R"&amp;($J866+4)),"")</f>
        <v/>
      </c>
      <c r="H866" s="298" t="str">
        <f aca="true">IF(ISNUMBER($J866),INDIRECT("S"&amp;($J866+4)),"")</f>
        <v/>
      </c>
      <c r="J866" s="292" t="str">
        <f aca="true">IF(862&lt;=$K$1,MATCH(861.5,INDIRECT("$K$4:$K$1374"),1),"")</f>
        <v/>
      </c>
      <c r="K866" s="292" t="n">
        <f aca="false">$K$772+COUNTIF($Q$773:Q866,"&gt;0")</f>
        <v>0</v>
      </c>
      <c r="L866" s="292" t="str">
        <f aca="false">"Защитные стёкла"</f>
        <v>Защитные стёкла</v>
      </c>
      <c r="M866" s="292" t="str">
        <f aca="false">IF(ISBLANK('Защитные стёкла'!$A$106),"",'Защитные стёкла'!$A$106)</f>
        <v>Diamond armor полноэкранное HD закаленное стекло набор для iPXR/11(BF6)(10шт)</v>
      </c>
      <c r="N866" s="292" t="str">
        <f aca="false">IF(ISBLANK('Защитные стёкла'!$D$106),"",'Защитные стёкла'!$D$106)</f>
        <v>6941991100512</v>
      </c>
      <c r="O866" s="292" t="str">
        <f aca="false">IF(ISBLANK('Защитные стёкла'!$E$106),"",'Защитные стёкла'!$E$106)</f>
        <v>черный</v>
      </c>
      <c r="P866" s="292" t="str">
        <f aca="false">"ед."</f>
        <v>ед.</v>
      </c>
      <c r="Q866" s="292" t="n">
        <f aca="false">N('Защитные стёкла'!$G$106)</f>
        <v>0</v>
      </c>
      <c r="R866" s="299" t="n">
        <f aca="false">IF(ISBLANK('Защитные стёкла'!$F$106),"",'Защитные стёкла'!$F$106)</f>
        <v>375.12</v>
      </c>
      <c r="S866" s="292" t="str">
        <f aca="false">IF(ISBLANK('Защитные стёкла'!$H$106),"",'Защитные стёкла'!$H$106)</f>
        <v/>
      </c>
    </row>
    <row r="867" customFormat="false" ht="66" hidden="false" customHeight="true" outlineLevel="0" collapsed="false">
      <c r="A867" s="291" t="str">
        <f aca="true">IF(ISNUMBER($J867),INDIRECT("L"&amp;($J867+4)),"")</f>
        <v/>
      </c>
      <c r="B867" s="291" t="str">
        <f aca="true">IF(ISNUMBER($J867),INDIRECT("M"&amp;($J867+4)),"")</f>
        <v/>
      </c>
      <c r="C867" s="296" t="str">
        <f aca="true">IF(ISNUMBER($J867),INDIRECT("N"&amp;($J867+4)),"")</f>
        <v/>
      </c>
      <c r="D867" s="291" t="str">
        <f aca="true">IF(ISNUMBER($J867),INDIRECT("O"&amp;($J867+4)),"")</f>
        <v/>
      </c>
      <c r="E867" s="291" t="str">
        <f aca="true">IF(ISNUMBER($J867),INDIRECT("P"&amp;($J867+4)),"")</f>
        <v/>
      </c>
      <c r="F867" s="300" t="str">
        <f aca="true">IF(ISNUMBER($J867),INDIRECT("Q"&amp;($J867+4)),"")</f>
        <v/>
      </c>
      <c r="G867" s="298" t="str">
        <f aca="true">IF(ISNUMBER($J867),INDIRECT("R"&amp;($J867+4)),"")</f>
        <v/>
      </c>
      <c r="H867" s="298" t="str">
        <f aca="true">IF(ISNUMBER($J867),INDIRECT("S"&amp;($J867+4)),"")</f>
        <v/>
      </c>
      <c r="J867" s="292" t="str">
        <f aca="true">IF(863&lt;=$K$1,MATCH(862.5,INDIRECT("$K$4:$K$1374"),1),"")</f>
        <v/>
      </c>
      <c r="K867" s="292" t="n">
        <f aca="false">$K$772+COUNTIF($Q$773:Q867,"&gt;0")</f>
        <v>0</v>
      </c>
      <c r="L867" s="292" t="str">
        <f aca="false">"Защитные стёкла"</f>
        <v>Защитные стёкла</v>
      </c>
      <c r="M867" s="292" t="str">
        <f aca="false">IF(ISBLANK('Защитные стёкла'!$A$107),"",'Защитные стёкла'!$A$107)</f>
        <v>Diamond armor полноэкранное HD закаленное стекло набор для iPXS Max/11 Pro Max(BF6)(10шт)</v>
      </c>
      <c r="N867" s="292" t="str">
        <f aca="false">IF(ISBLANK('Защитные стёкла'!$D$107),"",'Защитные стёкла'!$D$107)</f>
        <v>6941991100529</v>
      </c>
      <c r="O867" s="292" t="str">
        <f aca="false">IF(ISBLANK('Защитные стёкла'!$E$107),"",'Защитные стёкла'!$E$107)</f>
        <v>черный</v>
      </c>
      <c r="P867" s="292" t="str">
        <f aca="false">"ед."</f>
        <v>ед.</v>
      </c>
      <c r="Q867" s="292" t="n">
        <f aca="false">N('Защитные стёкла'!$G$107)</f>
        <v>0</v>
      </c>
      <c r="R867" s="299" t="n">
        <f aca="false">IF(ISBLANK('Защитные стёкла'!$F$107),"",'Защитные стёкла'!$F$107)</f>
        <v>375.12</v>
      </c>
      <c r="S867" s="292" t="str">
        <f aca="false">IF(ISBLANK('Защитные стёкла'!$H$107),"",'Защитные стёкла'!$H$107)</f>
        <v/>
      </c>
    </row>
    <row r="868" customFormat="false" ht="66" hidden="false" customHeight="true" outlineLevel="0" collapsed="false">
      <c r="A868" s="291" t="str">
        <f aca="true">IF(ISNUMBER($J868),INDIRECT("L"&amp;($J868+4)),"")</f>
        <v/>
      </c>
      <c r="B868" s="291" t="str">
        <f aca="true">IF(ISNUMBER($J868),INDIRECT("M"&amp;($J868+4)),"")</f>
        <v/>
      </c>
      <c r="C868" s="296" t="str">
        <f aca="true">IF(ISNUMBER($J868),INDIRECT("N"&amp;($J868+4)),"")</f>
        <v/>
      </c>
      <c r="D868" s="291" t="str">
        <f aca="true">IF(ISNUMBER($J868),INDIRECT("O"&amp;($J868+4)),"")</f>
        <v/>
      </c>
      <c r="E868" s="291" t="str">
        <f aca="true">IF(ISNUMBER($J868),INDIRECT("P"&amp;($J868+4)),"")</f>
        <v/>
      </c>
      <c r="F868" s="300" t="str">
        <f aca="true">IF(ISNUMBER($J868),INDIRECT("Q"&amp;($J868+4)),"")</f>
        <v/>
      </c>
      <c r="G868" s="298" t="str">
        <f aca="true">IF(ISNUMBER($J868),INDIRECT("R"&amp;($J868+4)),"")</f>
        <v/>
      </c>
      <c r="H868" s="298" t="str">
        <f aca="true">IF(ISNUMBER($J868),INDIRECT("S"&amp;($J868+4)),"")</f>
        <v/>
      </c>
      <c r="J868" s="292" t="str">
        <f aca="true">IF(864&lt;=$K$1,MATCH(863.5,INDIRECT("$K$4:$K$1374"),1),"")</f>
        <v/>
      </c>
      <c r="K868" s="292" t="n">
        <f aca="false">$K$772+COUNTIF($Q$773:Q868,"&gt;0")</f>
        <v>0</v>
      </c>
      <c r="L868" s="292" t="str">
        <f aca="false">"Стёкла серии Elephant"&amp;" · "&amp;'Стёкла серии Elephant'!$N$4</f>
        <v>Стёкла серии Elephant · Elephant</v>
      </c>
      <c r="M868" s="292" t="str">
        <f aca="false">IF(ISBLANK('Стёкла серии Elephant'!$O$4),"",'Стёкла серии Elephant'!$O$4)</f>
        <v>iP 11</v>
      </c>
      <c r="N868" s="292" t="str">
        <f aca="false">""</f>
        <v/>
      </c>
      <c r="O868" s="292" t="str">
        <f aca="false">""</f>
        <v/>
      </c>
      <c r="P868" s="292" t="str">
        <f aca="false">IF(ISBLANK('Стёкла серии Elephant'!$P$4),"",'Стёкла серии Elephant'!$P$4)</f>
        <v>шт.</v>
      </c>
      <c r="Q868" s="292" t="n">
        <f aca="false">N('Стёкла серии Elephant'!$R$4)</f>
        <v>0</v>
      </c>
      <c r="R868" s="299" t="n">
        <f aca="false">IF(ISBLANK('Стёкла серии Elephant'!$Q$4),"",'Стёкла серии Elephant'!$Q$4)</f>
        <v>122.32</v>
      </c>
      <c r="S868" s="292" t="str">
        <f aca="false">IF(ISBLANK('Стёкла серии Elephant'!$S$4),"",'Стёкла серии Elephant'!$S$4)</f>
        <v/>
      </c>
    </row>
    <row r="869" customFormat="false" ht="66" hidden="false" customHeight="true" outlineLevel="0" collapsed="false">
      <c r="A869" s="291" t="str">
        <f aca="true">IF(ISNUMBER($J869),INDIRECT("L"&amp;($J869+4)),"")</f>
        <v/>
      </c>
      <c r="B869" s="291" t="str">
        <f aca="true">IF(ISNUMBER($J869),INDIRECT("M"&amp;($J869+4)),"")</f>
        <v/>
      </c>
      <c r="C869" s="296" t="str">
        <f aca="true">IF(ISNUMBER($J869),INDIRECT("N"&amp;($J869+4)),"")</f>
        <v/>
      </c>
      <c r="D869" s="291" t="str">
        <f aca="true">IF(ISNUMBER($J869),INDIRECT("O"&amp;($J869+4)),"")</f>
        <v/>
      </c>
      <c r="E869" s="291" t="str">
        <f aca="true">IF(ISNUMBER($J869),INDIRECT("P"&amp;($J869+4)),"")</f>
        <v/>
      </c>
      <c r="F869" s="300" t="str">
        <f aca="true">IF(ISNUMBER($J869),INDIRECT("Q"&amp;($J869+4)),"")</f>
        <v/>
      </c>
      <c r="G869" s="298" t="str">
        <f aca="true">IF(ISNUMBER($J869),INDIRECT("R"&amp;($J869+4)),"")</f>
        <v/>
      </c>
      <c r="H869" s="298" t="str">
        <f aca="true">IF(ISNUMBER($J869),INDIRECT("S"&amp;($J869+4)),"")</f>
        <v/>
      </c>
      <c r="J869" s="292" t="str">
        <f aca="true">IF(865&lt;=$K$1,MATCH(864.5,INDIRECT("$K$4:$K$1374"),1),"")</f>
        <v/>
      </c>
      <c r="K869" s="292" t="n">
        <f aca="false">$K$772+COUNTIF($Q$773:Q869,"&gt;0")</f>
        <v>0</v>
      </c>
      <c r="L869" s="292" t="str">
        <f aca="false">"Стёкла серии Elephant"&amp;" · "&amp;'Стёкла серии Elephant'!$N$5</f>
        <v>Стёкла серии Elephant · Elephant</v>
      </c>
      <c r="M869" s="292" t="str">
        <f aca="false">IF(ISBLANK('Стёкла серии Elephant'!$O$5),"",'Стёкла серии Elephant'!$O$5)</f>
        <v>P30</v>
      </c>
      <c r="N869" s="292" t="str">
        <f aca="false">""</f>
        <v/>
      </c>
      <c r="O869" s="292" t="str">
        <f aca="false">""</f>
        <v/>
      </c>
      <c r="P869" s="292" t="str">
        <f aca="false">IF(ISBLANK('Стёкла серии Elephant'!$P$5),"",'Стёкла серии Elephant'!$P$5)</f>
        <v>шт.</v>
      </c>
      <c r="Q869" s="292" t="n">
        <f aca="false">N('Стёкла серии Elephant'!$R$5)</f>
        <v>0</v>
      </c>
      <c r="R869" s="299" t="n">
        <f aca="false">IF(ISBLANK('Стёкла серии Elephant'!$Q$5),"",'Стёкла серии Elephant'!$Q$5)</f>
        <v>122.32</v>
      </c>
      <c r="S869" s="292" t="str">
        <f aca="false">IF(ISBLANK('Стёкла серии Elephant'!$S$5),"",'Стёкла серии Elephant'!$S$5)</f>
        <v/>
      </c>
    </row>
    <row r="870" customFormat="false" ht="66" hidden="false" customHeight="true" outlineLevel="0" collapsed="false">
      <c r="A870" s="291" t="str">
        <f aca="true">IF(ISNUMBER($J870),INDIRECT("L"&amp;($J870+4)),"")</f>
        <v/>
      </c>
      <c r="B870" s="291" t="str">
        <f aca="true">IF(ISNUMBER($J870),INDIRECT("M"&amp;($J870+4)),"")</f>
        <v/>
      </c>
      <c r="C870" s="296" t="str">
        <f aca="true">IF(ISNUMBER($J870),INDIRECT("N"&amp;($J870+4)),"")</f>
        <v/>
      </c>
      <c r="D870" s="291" t="str">
        <f aca="true">IF(ISNUMBER($J870),INDIRECT("O"&amp;($J870+4)),"")</f>
        <v/>
      </c>
      <c r="E870" s="291" t="str">
        <f aca="true">IF(ISNUMBER($J870),INDIRECT("P"&amp;($J870+4)),"")</f>
        <v/>
      </c>
      <c r="F870" s="300" t="str">
        <f aca="true">IF(ISNUMBER($J870),INDIRECT("Q"&amp;($J870+4)),"")</f>
        <v/>
      </c>
      <c r="G870" s="298" t="str">
        <f aca="true">IF(ISNUMBER($J870),INDIRECT("R"&amp;($J870+4)),"")</f>
        <v/>
      </c>
      <c r="H870" s="298" t="str">
        <f aca="true">IF(ISNUMBER($J870),INDIRECT("S"&amp;($J870+4)),"")</f>
        <v/>
      </c>
      <c r="J870" s="292" t="str">
        <f aca="true">IF(866&lt;=$K$1,MATCH(865.5,INDIRECT("$K$4:$K$1374"),1),"")</f>
        <v/>
      </c>
      <c r="K870" s="292" t="n">
        <f aca="false">$K$772+COUNTIF($Q$773:Q870,"&gt;0")</f>
        <v>0</v>
      </c>
      <c r="L870" s="292" t="str">
        <f aca="false">"Стёкла серии Elephant"&amp;" · "&amp;'Стёкла серии Elephant'!$N$6</f>
        <v>Стёкла серии Elephant · Elephant</v>
      </c>
      <c r="M870" s="292" t="str">
        <f aca="false">IF(ISBLANK('Стёкла серии Elephant'!$O$6),"",'Стёкла серии Elephant'!$O$6)</f>
        <v>Enjoy10 Plus</v>
      </c>
      <c r="N870" s="292" t="str">
        <f aca="false">""</f>
        <v/>
      </c>
      <c r="O870" s="292" t="str">
        <f aca="false">""</f>
        <v/>
      </c>
      <c r="P870" s="292" t="str">
        <f aca="false">IF(ISBLANK('Стёкла серии Elephant'!$P$6),"",'Стёкла серии Elephant'!$P$6)</f>
        <v>шт.</v>
      </c>
      <c r="Q870" s="292" t="n">
        <f aca="false">N('Стёкла серии Elephant'!$R$6)</f>
        <v>0</v>
      </c>
      <c r="R870" s="299" t="n">
        <f aca="false">IF(ISBLANK('Стёкла серии Elephant'!$Q$6),"",'Стёкла серии Elephant'!$Q$6)</f>
        <v>122.32</v>
      </c>
      <c r="S870" s="292" t="str">
        <f aca="false">IF(ISBLANK('Стёкла серии Elephant'!$S$6),"",'Стёкла серии Elephant'!$S$6)</f>
        <v/>
      </c>
    </row>
    <row r="871" customFormat="false" ht="66" hidden="false" customHeight="true" outlineLevel="0" collapsed="false">
      <c r="A871" s="291" t="str">
        <f aca="true">IF(ISNUMBER($J871),INDIRECT("L"&amp;($J871+4)),"")</f>
        <v/>
      </c>
      <c r="B871" s="291" t="str">
        <f aca="true">IF(ISNUMBER($J871),INDIRECT("M"&amp;($J871+4)),"")</f>
        <v/>
      </c>
      <c r="C871" s="296" t="str">
        <f aca="true">IF(ISNUMBER($J871),INDIRECT("N"&amp;($J871+4)),"")</f>
        <v/>
      </c>
      <c r="D871" s="291" t="str">
        <f aca="true">IF(ISNUMBER($J871),INDIRECT("O"&amp;($J871+4)),"")</f>
        <v/>
      </c>
      <c r="E871" s="291" t="str">
        <f aca="true">IF(ISNUMBER($J871),INDIRECT("P"&amp;($J871+4)),"")</f>
        <v/>
      </c>
      <c r="F871" s="300" t="str">
        <f aca="true">IF(ISNUMBER($J871),INDIRECT("Q"&amp;($J871+4)),"")</f>
        <v/>
      </c>
      <c r="G871" s="298" t="str">
        <f aca="true">IF(ISNUMBER($J871),INDIRECT("R"&amp;($J871+4)),"")</f>
        <v/>
      </c>
      <c r="H871" s="298" t="str">
        <f aca="true">IF(ISNUMBER($J871),INDIRECT("S"&amp;($J871+4)),"")</f>
        <v/>
      </c>
      <c r="J871" s="292" t="str">
        <f aca="true">IF(867&lt;=$K$1,MATCH(866.5,INDIRECT("$K$4:$K$1374"),1),"")</f>
        <v/>
      </c>
      <c r="K871" s="292" t="n">
        <f aca="false">$K$772+COUNTIF($Q$773:Q871,"&gt;0")</f>
        <v>0</v>
      </c>
      <c r="L871" s="292" t="str">
        <f aca="false">"Стёкла серии Elephant"&amp;" · "&amp;'Стёкла серии Elephant'!$N$7</f>
        <v>Стёкла серии Elephant · Elephant</v>
      </c>
      <c r="M871" s="292" t="str">
        <f aca="false">IF(ISBLANK('Стёкла серии Elephant'!$O$7),"",'Стёкла серии Elephant'!$O$7)</f>
        <v>Redmi K30</v>
      </c>
      <c r="N871" s="292" t="str">
        <f aca="false">""</f>
        <v/>
      </c>
      <c r="O871" s="292" t="str">
        <f aca="false">""</f>
        <v/>
      </c>
      <c r="P871" s="292" t="str">
        <f aca="false">IF(ISBLANK('Стёкла серии Elephant'!$P$7),"",'Стёкла серии Elephant'!$P$7)</f>
        <v>шт.</v>
      </c>
      <c r="Q871" s="292" t="n">
        <f aca="false">N('Стёкла серии Elephant'!$R$7)</f>
        <v>0</v>
      </c>
      <c r="R871" s="299" t="n">
        <f aca="false">IF(ISBLANK('Стёкла серии Elephant'!$Q$7),"",'Стёкла серии Elephant'!$Q$7)</f>
        <v>122.32</v>
      </c>
      <c r="S871" s="292" t="str">
        <f aca="false">IF(ISBLANK('Стёкла серии Elephant'!$S$7),"",'Стёкла серии Elephant'!$S$7)</f>
        <v/>
      </c>
    </row>
    <row r="872" customFormat="false" ht="66" hidden="false" customHeight="true" outlineLevel="0" collapsed="false">
      <c r="A872" s="291" t="str">
        <f aca="true">IF(ISNUMBER($J872),INDIRECT("L"&amp;($J872+4)),"")</f>
        <v/>
      </c>
      <c r="B872" s="291" t="str">
        <f aca="true">IF(ISNUMBER($J872),INDIRECT("M"&amp;($J872+4)),"")</f>
        <v/>
      </c>
      <c r="C872" s="296" t="str">
        <f aca="true">IF(ISNUMBER($J872),INDIRECT("N"&amp;($J872+4)),"")</f>
        <v/>
      </c>
      <c r="D872" s="291" t="str">
        <f aca="true">IF(ISNUMBER($J872),INDIRECT("O"&amp;($J872+4)),"")</f>
        <v/>
      </c>
      <c r="E872" s="291" t="str">
        <f aca="true">IF(ISNUMBER($J872),INDIRECT("P"&amp;($J872+4)),"")</f>
        <v/>
      </c>
      <c r="F872" s="300" t="str">
        <f aca="true">IF(ISNUMBER($J872),INDIRECT("Q"&amp;($J872+4)),"")</f>
        <v/>
      </c>
      <c r="G872" s="298" t="str">
        <f aca="true">IF(ISNUMBER($J872),INDIRECT("R"&amp;($J872+4)),"")</f>
        <v/>
      </c>
      <c r="H872" s="298" t="str">
        <f aca="true">IF(ISNUMBER($J872),INDIRECT("S"&amp;($J872+4)),"")</f>
        <v/>
      </c>
      <c r="J872" s="292" t="str">
        <f aca="true">IF(868&lt;=$K$1,MATCH(867.5,INDIRECT("$K$4:$K$1374"),1),"")</f>
        <v/>
      </c>
      <c r="K872" s="292" t="n">
        <f aca="false">$K$772+COUNTIF($Q$773:Q872,"&gt;0")</f>
        <v>0</v>
      </c>
      <c r="L872" s="292" t="str">
        <f aca="false">"Стёкла серии Elephant"&amp;" · "&amp;'Стёкла серии Elephant'!$N$8</f>
        <v>Стёкла серии Elephant · Elephant</v>
      </c>
      <c r="M872" s="292" t="str">
        <f aca="false">IF(ISBLANK('Стёкла серии Elephant'!$O$8),"",'Стёкла серии Elephant'!$O$8)</f>
        <v>Mi 9SE</v>
      </c>
      <c r="N872" s="292" t="str">
        <f aca="false">""</f>
        <v/>
      </c>
      <c r="O872" s="292" t="str">
        <f aca="false">""</f>
        <v/>
      </c>
      <c r="P872" s="292" t="str">
        <f aca="false">IF(ISBLANK('Стёкла серии Elephant'!$P$8),"",'Стёкла серии Elephant'!$P$8)</f>
        <v>шт.</v>
      </c>
      <c r="Q872" s="292" t="n">
        <f aca="false">N('Стёкла серии Elephant'!$R$8)</f>
        <v>0</v>
      </c>
      <c r="R872" s="299" t="n">
        <f aca="false">IF(ISBLANK('Стёкла серии Elephant'!$Q$8),"",'Стёкла серии Elephant'!$Q$8)</f>
        <v>122.32</v>
      </c>
      <c r="S872" s="292" t="str">
        <f aca="false">IF(ISBLANK('Стёкла серии Elephant'!$S$8),"",'Стёкла серии Elephant'!$S$8)</f>
        <v/>
      </c>
    </row>
    <row r="873" customFormat="false" ht="66" hidden="false" customHeight="true" outlineLevel="0" collapsed="false">
      <c r="A873" s="291" t="str">
        <f aca="true">IF(ISNUMBER($J873),INDIRECT("L"&amp;($J873+4)),"")</f>
        <v/>
      </c>
      <c r="B873" s="291" t="str">
        <f aca="true">IF(ISNUMBER($J873),INDIRECT("M"&amp;($J873+4)),"")</f>
        <v/>
      </c>
      <c r="C873" s="296" t="str">
        <f aca="true">IF(ISNUMBER($J873),INDIRECT("N"&amp;($J873+4)),"")</f>
        <v/>
      </c>
      <c r="D873" s="291" t="str">
        <f aca="true">IF(ISNUMBER($J873),INDIRECT("O"&amp;($J873+4)),"")</f>
        <v/>
      </c>
      <c r="E873" s="291" t="str">
        <f aca="true">IF(ISNUMBER($J873),INDIRECT("P"&amp;($J873+4)),"")</f>
        <v/>
      </c>
      <c r="F873" s="300" t="str">
        <f aca="true">IF(ISNUMBER($J873),INDIRECT("Q"&amp;($J873+4)),"")</f>
        <v/>
      </c>
      <c r="G873" s="298" t="str">
        <f aca="true">IF(ISNUMBER($J873),INDIRECT("R"&amp;($J873+4)),"")</f>
        <v/>
      </c>
      <c r="H873" s="298" t="str">
        <f aca="true">IF(ISNUMBER($J873),INDIRECT("S"&amp;($J873+4)),"")</f>
        <v/>
      </c>
      <c r="J873" s="292" t="str">
        <f aca="true">IF(869&lt;=$K$1,MATCH(868.5,INDIRECT("$K$4:$K$1374"),1),"")</f>
        <v/>
      </c>
      <c r="K873" s="292" t="n">
        <f aca="false">$K$772+COUNTIF($Q$773:Q873,"&gt;0")</f>
        <v>0</v>
      </c>
      <c r="L873" s="292" t="str">
        <f aca="false">"Стёкла серии Elephant"&amp;" · "&amp;'Стёкла серии Elephant'!$N$9</f>
        <v>Стёкла серии Elephant · Elephant</v>
      </c>
      <c r="M873" s="292" t="str">
        <f aca="false">IF(ISBLANK('Стёкла серии Elephant'!$O$9),"",'Стёкла серии Elephant'!$O$9)</f>
        <v>J6-2018</v>
      </c>
      <c r="N873" s="292" t="str">
        <f aca="false">""</f>
        <v/>
      </c>
      <c r="O873" s="292" t="str">
        <f aca="false">""</f>
        <v/>
      </c>
      <c r="P873" s="292" t="str">
        <f aca="false">IF(ISBLANK('Стёкла серии Elephant'!$P$9),"",'Стёкла серии Elephant'!$P$9)</f>
        <v>шт.</v>
      </c>
      <c r="Q873" s="292" t="n">
        <f aca="false">N('Стёкла серии Elephant'!$R$9)</f>
        <v>0</v>
      </c>
      <c r="R873" s="299" t="n">
        <f aca="false">IF(ISBLANK('Стёкла серии Elephant'!$Q$9),"",'Стёкла серии Elephant'!$Q$9)</f>
        <v>122.32</v>
      </c>
      <c r="S873" s="292" t="str">
        <f aca="false">IF(ISBLANK('Стёкла серии Elephant'!$S$9),"",'Стёкла серии Elephant'!$S$9)</f>
        <v/>
      </c>
    </row>
    <row r="874" customFormat="false" ht="66" hidden="false" customHeight="true" outlineLevel="0" collapsed="false">
      <c r="A874" s="291" t="str">
        <f aca="true">IF(ISNUMBER($J874),INDIRECT("L"&amp;($J874+4)),"")</f>
        <v/>
      </c>
      <c r="B874" s="291" t="str">
        <f aca="true">IF(ISNUMBER($J874),INDIRECT("M"&amp;($J874+4)),"")</f>
        <v/>
      </c>
      <c r="C874" s="296" t="str">
        <f aca="true">IF(ISNUMBER($J874),INDIRECT("N"&amp;($J874+4)),"")</f>
        <v/>
      </c>
      <c r="D874" s="291" t="str">
        <f aca="true">IF(ISNUMBER($J874),INDIRECT("O"&amp;($J874+4)),"")</f>
        <v/>
      </c>
      <c r="E874" s="291" t="str">
        <f aca="true">IF(ISNUMBER($J874),INDIRECT("P"&amp;($J874+4)),"")</f>
        <v/>
      </c>
      <c r="F874" s="300" t="str">
        <f aca="true">IF(ISNUMBER($J874),INDIRECT("Q"&amp;($J874+4)),"")</f>
        <v/>
      </c>
      <c r="G874" s="298" t="str">
        <f aca="true">IF(ISNUMBER($J874),INDIRECT("R"&amp;($J874+4)),"")</f>
        <v/>
      </c>
      <c r="H874" s="298" t="str">
        <f aca="true">IF(ISNUMBER($J874),INDIRECT("S"&amp;($J874+4)),"")</f>
        <v/>
      </c>
      <c r="J874" s="292" t="str">
        <f aca="true">IF(870&lt;=$K$1,MATCH(869.5,INDIRECT("$K$4:$K$1374"),1),"")</f>
        <v/>
      </c>
      <c r="K874" s="292" t="n">
        <f aca="false">$K$772+COUNTIF($Q$773:Q874,"&gt;0")</f>
        <v>0</v>
      </c>
      <c r="L874" s="292" t="str">
        <f aca="false">"Стёкла серии Elephant"&amp;" · "&amp;'Стёкла серии Elephant'!$N$10</f>
        <v>Стёкла серии Elephant · Elephant</v>
      </c>
      <c r="M874" s="292" t="str">
        <f aca="false">IF(ISBLANK('Стёкла серии Elephant'!$O$10),"",'Стёкла серии Elephant'!$O$10)</f>
        <v>M51</v>
      </c>
      <c r="N874" s="292" t="str">
        <f aca="false">""</f>
        <v/>
      </c>
      <c r="O874" s="292" t="str">
        <f aca="false">""</f>
        <v/>
      </c>
      <c r="P874" s="292" t="str">
        <f aca="false">IF(ISBLANK('Стёкла серии Elephant'!$P$10),"",'Стёкла серии Elephant'!$P$10)</f>
        <v>шт.</v>
      </c>
      <c r="Q874" s="292" t="n">
        <f aca="false">N('Стёкла серии Elephant'!$R$10)</f>
        <v>0</v>
      </c>
      <c r="R874" s="299" t="n">
        <f aca="false">IF(ISBLANK('Стёкла серии Elephant'!$Q$10),"",'Стёкла серии Elephant'!$Q$10)</f>
        <v>122.32</v>
      </c>
      <c r="S874" s="292" t="str">
        <f aca="false">IF(ISBLANK('Стёкла серии Elephant'!$S$10),"",'Стёкла серии Elephant'!$S$10)</f>
        <v/>
      </c>
    </row>
    <row r="875" customFormat="false" ht="66" hidden="false" customHeight="true" outlineLevel="0" collapsed="false">
      <c r="A875" s="291" t="str">
        <f aca="true">IF(ISNUMBER($J875),INDIRECT("L"&amp;($J875+4)),"")</f>
        <v/>
      </c>
      <c r="B875" s="291" t="str">
        <f aca="true">IF(ISNUMBER($J875),INDIRECT("M"&amp;($J875+4)),"")</f>
        <v/>
      </c>
      <c r="C875" s="296" t="str">
        <f aca="true">IF(ISNUMBER($J875),INDIRECT("N"&amp;($J875+4)),"")</f>
        <v/>
      </c>
      <c r="D875" s="291" t="str">
        <f aca="true">IF(ISNUMBER($J875),INDIRECT("O"&amp;($J875+4)),"")</f>
        <v/>
      </c>
      <c r="E875" s="291" t="str">
        <f aca="true">IF(ISNUMBER($J875),INDIRECT("P"&amp;($J875+4)),"")</f>
        <v/>
      </c>
      <c r="F875" s="300" t="str">
        <f aca="true">IF(ISNUMBER($J875),INDIRECT("Q"&amp;($J875+4)),"")</f>
        <v/>
      </c>
      <c r="G875" s="298" t="str">
        <f aca="true">IF(ISNUMBER($J875),INDIRECT("R"&amp;($J875+4)),"")</f>
        <v/>
      </c>
      <c r="H875" s="298" t="str">
        <f aca="true">IF(ISNUMBER($J875),INDIRECT("S"&amp;($J875+4)),"")</f>
        <v/>
      </c>
      <c r="J875" s="292" t="str">
        <f aca="true">IF(871&lt;=$K$1,MATCH(870.5,INDIRECT("$K$4:$K$1374"),1),"")</f>
        <v/>
      </c>
      <c r="K875" s="292" t="n">
        <f aca="false">$K$772+COUNTIF($Q$773:Q875,"&gt;0")</f>
        <v>0</v>
      </c>
      <c r="L875" s="292" t="str">
        <f aca="false">"Стёкла серии Elephant"&amp;" · "&amp;'Стёкла серии Elephant'!$N$11</f>
        <v>Стёкла серии Elephant · Elephant</v>
      </c>
      <c r="M875" s="292" t="str">
        <f aca="false">IF(ISBLANK('Стёкла серии Elephant'!$O$11),"",'Стёкла серии Elephant'!$O$11)</f>
        <v>F11 Pro</v>
      </c>
      <c r="N875" s="292" t="str">
        <f aca="false">""</f>
        <v/>
      </c>
      <c r="O875" s="292" t="str">
        <f aca="false">""</f>
        <v/>
      </c>
      <c r="P875" s="292" t="str">
        <f aca="false">IF(ISBLANK('Стёкла серии Elephant'!$P$11),"",'Стёкла серии Elephant'!$P$11)</f>
        <v>шт.</v>
      </c>
      <c r="Q875" s="292" t="n">
        <f aca="false">N('Стёкла серии Elephant'!$R$11)</f>
        <v>0</v>
      </c>
      <c r="R875" s="299" t="n">
        <f aca="false">IF(ISBLANK('Стёкла серии Elephant'!$Q$11),"",'Стёкла серии Elephant'!$Q$11)</f>
        <v>122.32</v>
      </c>
      <c r="S875" s="292" t="str">
        <f aca="false">IF(ISBLANK('Стёкла серии Elephant'!$S$11),"",'Стёкла серии Elephant'!$S$11)</f>
        <v/>
      </c>
    </row>
    <row r="876" customFormat="false" ht="66" hidden="false" customHeight="true" outlineLevel="0" collapsed="false">
      <c r="A876" s="291" t="str">
        <f aca="true">IF(ISNUMBER($J876),INDIRECT("L"&amp;($J876+4)),"")</f>
        <v/>
      </c>
      <c r="B876" s="291" t="str">
        <f aca="true">IF(ISNUMBER($J876),INDIRECT("M"&amp;($J876+4)),"")</f>
        <v/>
      </c>
      <c r="C876" s="296" t="str">
        <f aca="true">IF(ISNUMBER($J876),INDIRECT("N"&amp;($J876+4)),"")</f>
        <v/>
      </c>
      <c r="D876" s="291" t="str">
        <f aca="true">IF(ISNUMBER($J876),INDIRECT("O"&amp;($J876+4)),"")</f>
        <v/>
      </c>
      <c r="E876" s="291" t="str">
        <f aca="true">IF(ISNUMBER($J876),INDIRECT("P"&amp;($J876+4)),"")</f>
        <v/>
      </c>
      <c r="F876" s="300" t="str">
        <f aca="true">IF(ISNUMBER($J876),INDIRECT("Q"&amp;($J876+4)),"")</f>
        <v/>
      </c>
      <c r="G876" s="298" t="str">
        <f aca="true">IF(ISNUMBER($J876),INDIRECT("R"&amp;($J876+4)),"")</f>
        <v/>
      </c>
      <c r="H876" s="298" t="str">
        <f aca="true">IF(ISNUMBER($J876),INDIRECT("S"&amp;($J876+4)),"")</f>
        <v/>
      </c>
      <c r="J876" s="292" t="str">
        <f aca="true">IF(872&lt;=$K$1,MATCH(871.5,INDIRECT("$K$4:$K$1374"),1),"")</f>
        <v/>
      </c>
      <c r="K876" s="292" t="n">
        <f aca="false">$K$772+COUNTIF($Q$773:Q876,"&gt;0")</f>
        <v>0</v>
      </c>
      <c r="L876" s="292" t="str">
        <f aca="false">"Стёкла серии Elephant"&amp;" · "&amp;'Стёкла серии Elephant'!$N$12</f>
        <v>Стёкла серии Elephant · Elephant</v>
      </c>
      <c r="M876" s="292" t="str">
        <f aca="false">IF(ISBLANK('Стёкла серии Elephant'!$O$12),"",'Стёкла серии Elephant'!$O$12)</f>
        <v>R15/R15 Pro/K1</v>
      </c>
      <c r="N876" s="292" t="str">
        <f aca="false">""</f>
        <v/>
      </c>
      <c r="O876" s="292" t="str">
        <f aca="false">""</f>
        <v/>
      </c>
      <c r="P876" s="292" t="str">
        <f aca="false">IF(ISBLANK('Стёкла серии Elephant'!$P$12),"",'Стёкла серии Elephant'!$P$12)</f>
        <v>шт.</v>
      </c>
      <c r="Q876" s="292" t="n">
        <f aca="false">N('Стёкла серии Elephant'!$R$12)</f>
        <v>0</v>
      </c>
      <c r="R876" s="299" t="n">
        <f aca="false">IF(ISBLANK('Стёкла серии Elephant'!$Q$12),"",'Стёкла серии Elephant'!$Q$12)</f>
        <v>122.32</v>
      </c>
      <c r="S876" s="292" t="str">
        <f aca="false">IF(ISBLANK('Стёкла серии Elephant'!$S$12),"",'Стёкла серии Elephant'!$S$12)</f>
        <v/>
      </c>
    </row>
    <row r="877" customFormat="false" ht="66" hidden="false" customHeight="true" outlineLevel="0" collapsed="false">
      <c r="A877" s="291" t="str">
        <f aca="true">IF(ISNUMBER($J877),INDIRECT("L"&amp;($J877+4)),"")</f>
        <v/>
      </c>
      <c r="B877" s="291" t="str">
        <f aca="true">IF(ISNUMBER($J877),INDIRECT("M"&amp;($J877+4)),"")</f>
        <v/>
      </c>
      <c r="C877" s="296" t="str">
        <f aca="true">IF(ISNUMBER($J877),INDIRECT("N"&amp;($J877+4)),"")</f>
        <v/>
      </c>
      <c r="D877" s="291" t="str">
        <f aca="true">IF(ISNUMBER($J877),INDIRECT("O"&amp;($J877+4)),"")</f>
        <v/>
      </c>
      <c r="E877" s="291" t="str">
        <f aca="true">IF(ISNUMBER($J877),INDIRECT("P"&amp;($J877+4)),"")</f>
        <v/>
      </c>
      <c r="F877" s="300" t="str">
        <f aca="true">IF(ISNUMBER($J877),INDIRECT("Q"&amp;($J877+4)),"")</f>
        <v/>
      </c>
      <c r="G877" s="298" t="str">
        <f aca="true">IF(ISNUMBER($J877),INDIRECT("R"&amp;($J877+4)),"")</f>
        <v/>
      </c>
      <c r="H877" s="298" t="str">
        <f aca="true">IF(ISNUMBER($J877),INDIRECT("S"&amp;($J877+4)),"")</f>
        <v/>
      </c>
      <c r="J877" s="292" t="str">
        <f aca="true">IF(873&lt;=$K$1,MATCH(872.5,INDIRECT("$K$4:$K$1374"),1),"")</f>
        <v/>
      </c>
      <c r="K877" s="292" t="n">
        <f aca="false">$K$772+COUNTIF($Q$773:Q877,"&gt;0")</f>
        <v>0</v>
      </c>
      <c r="L877" s="292" t="str">
        <f aca="false">"Стёкла серии Elephant"&amp;" · "&amp;'Стёкла серии Elephant'!$N$13</f>
        <v>Стёкла серии Elephant · Elephant</v>
      </c>
      <c r="M877" s="292" t="str">
        <f aca="false">IF(ISBLANK('Стёкла серии Elephant'!$O$13),"",'Стёкла серии Elephant'!$O$13)</f>
        <v>Y5S/Y19</v>
      </c>
      <c r="N877" s="292" t="str">
        <f aca="false">""</f>
        <v/>
      </c>
      <c r="O877" s="292" t="str">
        <f aca="false">""</f>
        <v/>
      </c>
      <c r="P877" s="292" t="str">
        <f aca="false">IF(ISBLANK('Стёкла серии Elephant'!$P$13),"",'Стёкла серии Elephant'!$P$13)</f>
        <v>шт.</v>
      </c>
      <c r="Q877" s="292" t="n">
        <f aca="false">N('Стёкла серии Elephant'!$R$13)</f>
        <v>0</v>
      </c>
      <c r="R877" s="299" t="n">
        <f aca="false">IF(ISBLANK('Стёкла серии Elephant'!$Q$13),"",'Стёкла серии Elephant'!$Q$13)</f>
        <v>122.32</v>
      </c>
      <c r="S877" s="292" t="str">
        <f aca="false">IF(ISBLANK('Стёкла серии Elephant'!$S$13),"",'Стёкла серии Elephant'!$S$13)</f>
        <v/>
      </c>
    </row>
    <row r="878" customFormat="false" ht="66" hidden="false" customHeight="true" outlineLevel="0" collapsed="false">
      <c r="A878" s="291" t="str">
        <f aca="true">IF(ISNUMBER($J878),INDIRECT("L"&amp;($J878+4)),"")</f>
        <v/>
      </c>
      <c r="B878" s="291" t="str">
        <f aca="true">IF(ISNUMBER($J878),INDIRECT("M"&amp;($J878+4)),"")</f>
        <v/>
      </c>
      <c r="C878" s="296" t="str">
        <f aca="true">IF(ISNUMBER($J878),INDIRECT("N"&amp;($J878+4)),"")</f>
        <v/>
      </c>
      <c r="D878" s="291" t="str">
        <f aca="true">IF(ISNUMBER($J878),INDIRECT("O"&amp;($J878+4)),"")</f>
        <v/>
      </c>
      <c r="E878" s="291" t="str">
        <f aca="true">IF(ISNUMBER($J878),INDIRECT("P"&amp;($J878+4)),"")</f>
        <v/>
      </c>
      <c r="F878" s="300" t="str">
        <f aca="true">IF(ISNUMBER($J878),INDIRECT("Q"&amp;($J878+4)),"")</f>
        <v/>
      </c>
      <c r="G878" s="298" t="str">
        <f aca="true">IF(ISNUMBER($J878),INDIRECT("R"&amp;($J878+4)),"")</f>
        <v/>
      </c>
      <c r="H878" s="298" t="str">
        <f aca="true">IF(ISNUMBER($J878),INDIRECT("S"&amp;($J878+4)),"")</f>
        <v/>
      </c>
      <c r="J878" s="292" t="str">
        <f aca="true">IF(874&lt;=$K$1,MATCH(873.5,INDIRECT("$K$4:$K$1374"),1),"")</f>
        <v/>
      </c>
      <c r="K878" s="292" t="n">
        <f aca="false">$K$772+COUNTIF($Q$773:Q878,"&gt;0")</f>
        <v>0</v>
      </c>
      <c r="L878" s="292" t="str">
        <f aca="false">"Стёкла серии Elephant"&amp;" · "&amp;'Стёкла серии Elephant'!$N$14</f>
        <v>Стёкла серии Elephant · Elephant</v>
      </c>
      <c r="M878" s="292" t="str">
        <f aca="false">IF(ISBLANK('Стёкла серии Elephant'!$O$14),"",'Стёкла серии Elephant'!$O$14)</f>
        <v>V20 2021</v>
      </c>
      <c r="N878" s="292" t="str">
        <f aca="false">""</f>
        <v/>
      </c>
      <c r="O878" s="292" t="str">
        <f aca="false">""</f>
        <v/>
      </c>
      <c r="P878" s="292" t="str">
        <f aca="false">IF(ISBLANK('Стёкла серии Elephant'!$P$14),"",'Стёкла серии Elephant'!$P$14)</f>
        <v>шт.</v>
      </c>
      <c r="Q878" s="292" t="n">
        <f aca="false">N('Стёкла серии Elephant'!$R$14)</f>
        <v>0</v>
      </c>
      <c r="R878" s="299" t="n">
        <f aca="false">IF(ISBLANK('Стёкла серии Elephant'!$Q$14),"",'Стёкла серии Elephant'!$Q$14)</f>
        <v>122.32</v>
      </c>
      <c r="S878" s="292" t="str">
        <f aca="false">IF(ISBLANK('Стёкла серии Elephant'!$S$14),"",'Стёкла серии Elephant'!$S$14)</f>
        <v/>
      </c>
    </row>
    <row r="879" customFormat="false" ht="66" hidden="false" customHeight="true" outlineLevel="0" collapsed="false">
      <c r="A879" s="291" t="str">
        <f aca="true">IF(ISNUMBER($J879),INDIRECT("L"&amp;($J879+4)),"")</f>
        <v/>
      </c>
      <c r="B879" s="291" t="str">
        <f aca="true">IF(ISNUMBER($J879),INDIRECT("M"&amp;($J879+4)),"")</f>
        <v/>
      </c>
      <c r="C879" s="296" t="str">
        <f aca="true">IF(ISNUMBER($J879),INDIRECT("N"&amp;($J879+4)),"")</f>
        <v/>
      </c>
      <c r="D879" s="291" t="str">
        <f aca="true">IF(ISNUMBER($J879),INDIRECT("O"&amp;($J879+4)),"")</f>
        <v/>
      </c>
      <c r="E879" s="291" t="str">
        <f aca="true">IF(ISNUMBER($J879),INDIRECT("P"&amp;($J879+4)),"")</f>
        <v/>
      </c>
      <c r="F879" s="300" t="str">
        <f aca="true">IF(ISNUMBER($J879),INDIRECT("Q"&amp;($J879+4)),"")</f>
        <v/>
      </c>
      <c r="G879" s="298" t="str">
        <f aca="true">IF(ISNUMBER($J879),INDIRECT("R"&amp;($J879+4)),"")</f>
        <v/>
      </c>
      <c r="H879" s="298" t="str">
        <f aca="true">IF(ISNUMBER($J879),INDIRECT("S"&amp;($J879+4)),"")</f>
        <v/>
      </c>
      <c r="J879" s="292" t="str">
        <f aca="true">IF(875&lt;=$K$1,MATCH(874.5,INDIRECT("$K$4:$K$1374"),1),"")</f>
        <v/>
      </c>
      <c r="K879" s="292" t="n">
        <f aca="false">$K$772+COUNTIF($Q$773:Q879,"&gt;0")</f>
        <v>0</v>
      </c>
      <c r="L879" s="292" t="str">
        <f aca="false">"Стёкла серии Elephant"&amp;" · "&amp;'Стёкла серии Elephant'!$N$15</f>
        <v>Стёкла серии Elephant · Elephant</v>
      </c>
      <c r="M879" s="292" t="str">
        <f aca="false">IF(ISBLANK('Стёкла серии Elephant'!$O$15),"",'Стёкла серии Elephant'!$O$15)</f>
        <v>iP 11 Pro</v>
      </c>
      <c r="N879" s="292" t="str">
        <f aca="false">""</f>
        <v/>
      </c>
      <c r="O879" s="292" t="str">
        <f aca="false">""</f>
        <v/>
      </c>
      <c r="P879" s="292" t="str">
        <f aca="false">IF(ISBLANK('Стёкла серии Elephant'!$P$15),"",'Стёкла серии Elephant'!$P$15)</f>
        <v>шт.</v>
      </c>
      <c r="Q879" s="292" t="n">
        <f aca="false">N('Стёкла серии Elephant'!$R$15)</f>
        <v>0</v>
      </c>
      <c r="R879" s="299" t="n">
        <f aca="false">IF(ISBLANK('Стёкла серии Elephant'!$Q$15),"",'Стёкла серии Elephant'!$Q$15)</f>
        <v>122.32</v>
      </c>
      <c r="S879" s="292" t="str">
        <f aca="false">IF(ISBLANK('Стёкла серии Elephant'!$S$15),"",'Стёкла серии Elephant'!$S$15)</f>
        <v/>
      </c>
    </row>
    <row r="880" customFormat="false" ht="66" hidden="false" customHeight="true" outlineLevel="0" collapsed="false">
      <c r="A880" s="291" t="str">
        <f aca="true">IF(ISNUMBER($J880),INDIRECT("L"&amp;($J880+4)),"")</f>
        <v/>
      </c>
      <c r="B880" s="291" t="str">
        <f aca="true">IF(ISNUMBER($J880),INDIRECT("M"&amp;($J880+4)),"")</f>
        <v/>
      </c>
      <c r="C880" s="296" t="str">
        <f aca="true">IF(ISNUMBER($J880),INDIRECT("N"&amp;($J880+4)),"")</f>
        <v/>
      </c>
      <c r="D880" s="291" t="str">
        <f aca="true">IF(ISNUMBER($J880),INDIRECT("O"&amp;($J880+4)),"")</f>
        <v/>
      </c>
      <c r="E880" s="291" t="str">
        <f aca="true">IF(ISNUMBER($J880),INDIRECT("P"&amp;($J880+4)),"")</f>
        <v/>
      </c>
      <c r="F880" s="300" t="str">
        <f aca="true">IF(ISNUMBER($J880),INDIRECT("Q"&amp;($J880+4)),"")</f>
        <v/>
      </c>
      <c r="G880" s="298" t="str">
        <f aca="true">IF(ISNUMBER($J880),INDIRECT("R"&amp;($J880+4)),"")</f>
        <v/>
      </c>
      <c r="H880" s="298" t="str">
        <f aca="true">IF(ISNUMBER($J880),INDIRECT("S"&amp;($J880+4)),"")</f>
        <v/>
      </c>
      <c r="J880" s="292" t="str">
        <f aca="true">IF(876&lt;=$K$1,MATCH(875.5,INDIRECT("$K$4:$K$1374"),1),"")</f>
        <v/>
      </c>
      <c r="K880" s="292" t="n">
        <f aca="false">$K$772+COUNTIF($Q$773:Q880,"&gt;0")</f>
        <v>0</v>
      </c>
      <c r="L880" s="292" t="str">
        <f aca="false">"Стёкла серии Elephant"&amp;" · "&amp;'Стёкла серии Elephant'!$N$16</f>
        <v>Стёкла серии Elephant · Elephant</v>
      </c>
      <c r="M880" s="292" t="str">
        <f aca="false">IF(ISBLANK('Стёкла серии Elephant'!$O$16),"",'Стёкла серии Elephant'!$O$16)</f>
        <v>P30 LITE (2020)</v>
      </c>
      <c r="N880" s="292" t="str">
        <f aca="false">""</f>
        <v/>
      </c>
      <c r="O880" s="292" t="str">
        <f aca="false">""</f>
        <v/>
      </c>
      <c r="P880" s="292" t="str">
        <f aca="false">IF(ISBLANK('Стёкла серии Elephant'!$P$16),"",'Стёкла серии Elephant'!$P$16)</f>
        <v>шт.</v>
      </c>
      <c r="Q880" s="292" t="n">
        <f aca="false">N('Стёкла серии Elephant'!$R$16)</f>
        <v>0</v>
      </c>
      <c r="R880" s="299" t="n">
        <f aca="false">IF(ISBLANK('Стёкла серии Elephant'!$Q$16),"",'Стёкла серии Elephant'!$Q$16)</f>
        <v>122.32</v>
      </c>
      <c r="S880" s="292" t="str">
        <f aca="false">IF(ISBLANK('Стёкла серии Elephant'!$S$16),"",'Стёкла серии Elephant'!$S$16)</f>
        <v/>
      </c>
    </row>
    <row r="881" customFormat="false" ht="66" hidden="false" customHeight="true" outlineLevel="0" collapsed="false">
      <c r="A881" s="291" t="str">
        <f aca="true">IF(ISNUMBER($J881),INDIRECT("L"&amp;($J881+4)),"")</f>
        <v/>
      </c>
      <c r="B881" s="291" t="str">
        <f aca="true">IF(ISNUMBER($J881),INDIRECT("M"&amp;($J881+4)),"")</f>
        <v/>
      </c>
      <c r="C881" s="296" t="str">
        <f aca="true">IF(ISNUMBER($J881),INDIRECT("N"&amp;($J881+4)),"")</f>
        <v/>
      </c>
      <c r="D881" s="291" t="str">
        <f aca="true">IF(ISNUMBER($J881),INDIRECT("O"&amp;($J881+4)),"")</f>
        <v/>
      </c>
      <c r="E881" s="291" t="str">
        <f aca="true">IF(ISNUMBER($J881),INDIRECT("P"&amp;($J881+4)),"")</f>
        <v/>
      </c>
      <c r="F881" s="300" t="str">
        <f aca="true">IF(ISNUMBER($J881),INDIRECT("Q"&amp;($J881+4)),"")</f>
        <v/>
      </c>
      <c r="G881" s="298" t="str">
        <f aca="true">IF(ISNUMBER($J881),INDIRECT("R"&amp;($J881+4)),"")</f>
        <v/>
      </c>
      <c r="H881" s="298" t="str">
        <f aca="true">IF(ISNUMBER($J881),INDIRECT("S"&amp;($J881+4)),"")</f>
        <v/>
      </c>
      <c r="J881" s="292" t="str">
        <f aca="true">IF(877&lt;=$K$1,MATCH(876.5,INDIRECT("$K$4:$K$1374"),1),"")</f>
        <v/>
      </c>
      <c r="K881" s="292" t="n">
        <f aca="false">$K$772+COUNTIF($Q$773:Q881,"&gt;0")</f>
        <v>0</v>
      </c>
      <c r="L881" s="292" t="str">
        <f aca="false">"Стёкла серии Elephant"&amp;" · "&amp;'Стёкла серии Elephant'!$N$17</f>
        <v>Стёкла серии Elephant · Elephant</v>
      </c>
      <c r="M881" s="292" t="str">
        <f aca="false">IF(ISBLANK('Стёкла серии Elephant'!$O$17),"",'Стёкла серии Elephant'!$O$17)</f>
        <v>Enjoy10</v>
      </c>
      <c r="N881" s="292" t="str">
        <f aca="false">""</f>
        <v/>
      </c>
      <c r="O881" s="292" t="str">
        <f aca="false">""</f>
        <v/>
      </c>
      <c r="P881" s="292" t="str">
        <f aca="false">IF(ISBLANK('Стёкла серии Elephant'!$P$17),"",'Стёкла серии Elephant'!$P$17)</f>
        <v>шт.</v>
      </c>
      <c r="Q881" s="292" t="n">
        <f aca="false">N('Стёкла серии Elephant'!$R$17)</f>
        <v>0</v>
      </c>
      <c r="R881" s="299" t="n">
        <f aca="false">IF(ISBLANK('Стёкла серии Elephant'!$Q$17),"",'Стёкла серии Elephant'!$Q$17)</f>
        <v>122.32</v>
      </c>
      <c r="S881" s="292" t="str">
        <f aca="false">IF(ISBLANK('Стёкла серии Elephant'!$S$17),"",'Стёкла серии Elephant'!$S$17)</f>
        <v/>
      </c>
    </row>
    <row r="882" customFormat="false" ht="66" hidden="false" customHeight="true" outlineLevel="0" collapsed="false">
      <c r="A882" s="291" t="str">
        <f aca="true">IF(ISNUMBER($J882),INDIRECT("L"&amp;($J882+4)),"")</f>
        <v/>
      </c>
      <c r="B882" s="291" t="str">
        <f aca="true">IF(ISNUMBER($J882),INDIRECT("M"&amp;($J882+4)),"")</f>
        <v/>
      </c>
      <c r="C882" s="296" t="str">
        <f aca="true">IF(ISNUMBER($J882),INDIRECT("N"&amp;($J882+4)),"")</f>
        <v/>
      </c>
      <c r="D882" s="291" t="str">
        <f aca="true">IF(ISNUMBER($J882),INDIRECT("O"&amp;($J882+4)),"")</f>
        <v/>
      </c>
      <c r="E882" s="291" t="str">
        <f aca="true">IF(ISNUMBER($J882),INDIRECT("P"&amp;($J882+4)),"")</f>
        <v/>
      </c>
      <c r="F882" s="300" t="str">
        <f aca="true">IF(ISNUMBER($J882),INDIRECT("Q"&amp;($J882+4)),"")</f>
        <v/>
      </c>
      <c r="G882" s="298" t="str">
        <f aca="true">IF(ISNUMBER($J882),INDIRECT("R"&amp;($J882+4)),"")</f>
        <v/>
      </c>
      <c r="H882" s="298" t="str">
        <f aca="true">IF(ISNUMBER($J882),INDIRECT("S"&amp;($J882+4)),"")</f>
        <v/>
      </c>
      <c r="J882" s="292" t="str">
        <f aca="true">IF(878&lt;=$K$1,MATCH(877.5,INDIRECT("$K$4:$K$1374"),1),"")</f>
        <v/>
      </c>
      <c r="K882" s="292" t="n">
        <f aca="false">$K$772+COUNTIF($Q$773:Q882,"&gt;0")</f>
        <v>0</v>
      </c>
      <c r="L882" s="292" t="str">
        <f aca="false">"Стёкла серии Elephant"&amp;" · "&amp;'Стёкла серии Elephant'!$N$18</f>
        <v>Стёкла серии Elephant · Elephant</v>
      </c>
      <c r="M882" s="292" t="str">
        <f aca="false">IF(ISBLANK('Стёкла серии Elephant'!$O$18),"",'Стёкла серии Elephant'!$O$18)</f>
        <v>Redmi K20/K20 Pro</v>
      </c>
      <c r="N882" s="292" t="str">
        <f aca="false">""</f>
        <v/>
      </c>
      <c r="O882" s="292" t="str">
        <f aca="false">""</f>
        <v/>
      </c>
      <c r="P882" s="292" t="str">
        <f aca="false">IF(ISBLANK('Стёкла серии Elephant'!$P$18),"",'Стёкла серии Elephant'!$P$18)</f>
        <v>шт.</v>
      </c>
      <c r="Q882" s="292" t="n">
        <f aca="false">N('Стёкла серии Elephant'!$R$18)</f>
        <v>0</v>
      </c>
      <c r="R882" s="299" t="n">
        <f aca="false">IF(ISBLANK('Стёкла серии Elephant'!$Q$18),"",'Стёкла серии Elephant'!$Q$18)</f>
        <v>122.32</v>
      </c>
      <c r="S882" s="292" t="str">
        <f aca="false">IF(ISBLANK('Стёкла серии Elephant'!$S$18),"",'Стёкла серии Elephant'!$S$18)</f>
        <v/>
      </c>
    </row>
    <row r="883" customFormat="false" ht="66" hidden="false" customHeight="true" outlineLevel="0" collapsed="false">
      <c r="A883" s="291" t="str">
        <f aca="true">IF(ISNUMBER($J883),INDIRECT("L"&amp;($J883+4)),"")</f>
        <v/>
      </c>
      <c r="B883" s="291" t="str">
        <f aca="true">IF(ISNUMBER($J883),INDIRECT("M"&amp;($J883+4)),"")</f>
        <v/>
      </c>
      <c r="C883" s="296" t="str">
        <f aca="true">IF(ISNUMBER($J883),INDIRECT("N"&amp;($J883+4)),"")</f>
        <v/>
      </c>
      <c r="D883" s="291" t="str">
        <f aca="true">IF(ISNUMBER($J883),INDIRECT("O"&amp;($J883+4)),"")</f>
        <v/>
      </c>
      <c r="E883" s="291" t="str">
        <f aca="true">IF(ISNUMBER($J883),INDIRECT("P"&amp;($J883+4)),"")</f>
        <v/>
      </c>
      <c r="F883" s="300" t="str">
        <f aca="true">IF(ISNUMBER($J883),INDIRECT("Q"&amp;($J883+4)),"")</f>
        <v/>
      </c>
      <c r="G883" s="298" t="str">
        <f aca="true">IF(ISNUMBER($J883),INDIRECT("R"&amp;($J883+4)),"")</f>
        <v/>
      </c>
      <c r="H883" s="298" t="str">
        <f aca="true">IF(ISNUMBER($J883),INDIRECT("S"&amp;($J883+4)),"")</f>
        <v/>
      </c>
      <c r="J883" s="292" t="str">
        <f aca="true">IF(879&lt;=$K$1,MATCH(878.5,INDIRECT("$K$4:$K$1374"),1),"")</f>
        <v/>
      </c>
      <c r="K883" s="292" t="n">
        <f aca="false">$K$772+COUNTIF($Q$773:Q883,"&gt;0")</f>
        <v>0</v>
      </c>
      <c r="L883" s="292" t="str">
        <f aca="false">"Стёкла серии Elephant"&amp;" · "&amp;'Стёкла серии Elephant'!$N$19</f>
        <v>Стёкла серии Elephant · Elephant</v>
      </c>
      <c r="M883" s="292" t="str">
        <f aca="false">IF(ISBLANK('Стёкла серии Elephant'!$O$19),"",'Стёкла серии Elephant'!$O$19)</f>
        <v>MI 10 Youth edition/Mi10lite/Youth 5G</v>
      </c>
      <c r="N883" s="292" t="str">
        <f aca="false">""</f>
        <v/>
      </c>
      <c r="O883" s="292" t="str">
        <f aca="false">""</f>
        <v/>
      </c>
      <c r="P883" s="292" t="str">
        <f aca="false">IF(ISBLANK('Стёкла серии Elephant'!$P$19),"",'Стёкла серии Elephant'!$P$19)</f>
        <v>шт.</v>
      </c>
      <c r="Q883" s="292" t="n">
        <f aca="false">N('Стёкла серии Elephant'!$R$19)</f>
        <v>0</v>
      </c>
      <c r="R883" s="299" t="n">
        <f aca="false">IF(ISBLANK('Стёкла серии Elephant'!$Q$19),"",'Стёкла серии Elephant'!$Q$19)</f>
        <v>122.32</v>
      </c>
      <c r="S883" s="292" t="str">
        <f aca="false">IF(ISBLANK('Стёкла серии Elephant'!$S$19),"",'Стёкла серии Elephant'!$S$19)</f>
        <v/>
      </c>
    </row>
    <row r="884" customFormat="false" ht="66" hidden="false" customHeight="true" outlineLevel="0" collapsed="false">
      <c r="A884" s="291" t="str">
        <f aca="true">IF(ISNUMBER($J884),INDIRECT("L"&amp;($J884+4)),"")</f>
        <v/>
      </c>
      <c r="B884" s="291" t="str">
        <f aca="true">IF(ISNUMBER($J884),INDIRECT("M"&amp;($J884+4)),"")</f>
        <v/>
      </c>
      <c r="C884" s="296" t="str">
        <f aca="true">IF(ISNUMBER($J884),INDIRECT("N"&amp;($J884+4)),"")</f>
        <v/>
      </c>
      <c r="D884" s="291" t="str">
        <f aca="true">IF(ISNUMBER($J884),INDIRECT("O"&amp;($J884+4)),"")</f>
        <v/>
      </c>
      <c r="E884" s="291" t="str">
        <f aca="true">IF(ISNUMBER($J884),INDIRECT("P"&amp;($J884+4)),"")</f>
        <v/>
      </c>
      <c r="F884" s="300" t="str">
        <f aca="true">IF(ISNUMBER($J884),INDIRECT("Q"&amp;($J884+4)),"")</f>
        <v/>
      </c>
      <c r="G884" s="298" t="str">
        <f aca="true">IF(ISNUMBER($J884),INDIRECT("R"&amp;($J884+4)),"")</f>
        <v/>
      </c>
      <c r="H884" s="298" t="str">
        <f aca="true">IF(ISNUMBER($J884),INDIRECT("S"&amp;($J884+4)),"")</f>
        <v/>
      </c>
      <c r="J884" s="292" t="str">
        <f aca="true">IF(880&lt;=$K$1,MATCH(879.5,INDIRECT("$K$4:$K$1374"),1),"")</f>
        <v/>
      </c>
      <c r="K884" s="292" t="n">
        <f aca="false">$K$772+COUNTIF($Q$773:Q884,"&gt;0")</f>
        <v>0</v>
      </c>
      <c r="L884" s="292" t="str">
        <f aca="false">"Стёкла серии Elephant"&amp;" · "&amp;'Стёкла серии Elephant'!$N$20</f>
        <v>Стёкла серии Elephant · Elephant</v>
      </c>
      <c r="M884" s="292" t="str">
        <f aca="false">IF(ISBLANK('Стёкла серии Elephant'!$O$20),"",'Стёкла серии Elephant'!$O$20)</f>
        <v>J8-2018</v>
      </c>
      <c r="N884" s="292" t="str">
        <f aca="false">""</f>
        <v/>
      </c>
      <c r="O884" s="292" t="str">
        <f aca="false">""</f>
        <v/>
      </c>
      <c r="P884" s="292" t="str">
        <f aca="false">IF(ISBLANK('Стёкла серии Elephant'!$P$20),"",'Стёкла серии Elephant'!$P$20)</f>
        <v>шт.</v>
      </c>
      <c r="Q884" s="292" t="n">
        <f aca="false">N('Стёкла серии Elephant'!$R$20)</f>
        <v>0</v>
      </c>
      <c r="R884" s="299" t="n">
        <f aca="false">IF(ISBLANK('Стёкла серии Elephant'!$Q$20),"",'Стёкла серии Elephant'!$Q$20)</f>
        <v>122.32</v>
      </c>
      <c r="S884" s="292" t="str">
        <f aca="false">IF(ISBLANK('Стёкла серии Elephant'!$S$20),"",'Стёкла серии Elephant'!$S$20)</f>
        <v/>
      </c>
    </row>
    <row r="885" customFormat="false" ht="66" hidden="false" customHeight="true" outlineLevel="0" collapsed="false">
      <c r="A885" s="291" t="str">
        <f aca="true">IF(ISNUMBER($J885),INDIRECT("L"&amp;($J885+4)),"")</f>
        <v/>
      </c>
      <c r="B885" s="291" t="str">
        <f aca="true">IF(ISNUMBER($J885),INDIRECT("M"&amp;($J885+4)),"")</f>
        <v/>
      </c>
      <c r="C885" s="296" t="str">
        <f aca="true">IF(ISNUMBER($J885),INDIRECT("N"&amp;($J885+4)),"")</f>
        <v/>
      </c>
      <c r="D885" s="291" t="str">
        <f aca="true">IF(ISNUMBER($J885),INDIRECT("O"&amp;($J885+4)),"")</f>
        <v/>
      </c>
      <c r="E885" s="291" t="str">
        <f aca="true">IF(ISNUMBER($J885),INDIRECT("P"&amp;($J885+4)),"")</f>
        <v/>
      </c>
      <c r="F885" s="300" t="str">
        <f aca="true">IF(ISNUMBER($J885),INDIRECT("Q"&amp;($J885+4)),"")</f>
        <v/>
      </c>
      <c r="G885" s="298" t="str">
        <f aca="true">IF(ISNUMBER($J885),INDIRECT("R"&amp;($J885+4)),"")</f>
        <v/>
      </c>
      <c r="H885" s="298" t="str">
        <f aca="true">IF(ISNUMBER($J885),INDIRECT("S"&amp;($J885+4)),"")</f>
        <v/>
      </c>
      <c r="J885" s="292" t="str">
        <f aca="true">IF(881&lt;=$K$1,MATCH(880.5,INDIRECT("$K$4:$K$1374"),1),"")</f>
        <v/>
      </c>
      <c r="K885" s="292" t="n">
        <f aca="false">$K$772+COUNTIF($Q$773:Q885,"&gt;0")</f>
        <v>0</v>
      </c>
      <c r="L885" s="292" t="str">
        <f aca="false">"Стёкла серии Elephant"&amp;" · "&amp;'Стёкла серии Elephant'!$N$21</f>
        <v>Стёкла серии Elephant · Elephant</v>
      </c>
      <c r="M885" s="292" t="str">
        <f aca="false">IF(ISBLANK('Стёкла серии Elephant'!$O$21),"",'Стёкла серии Elephant'!$O$21)</f>
        <v>NOTE 20</v>
      </c>
      <c r="N885" s="292" t="str">
        <f aca="false">""</f>
        <v/>
      </c>
      <c r="O885" s="292" t="str">
        <f aca="false">""</f>
        <v/>
      </c>
      <c r="P885" s="292" t="str">
        <f aca="false">IF(ISBLANK('Стёкла серии Elephant'!$P$21),"",'Стёкла серии Elephant'!$P$21)</f>
        <v>шт.</v>
      </c>
      <c r="Q885" s="292" t="n">
        <f aca="false">N('Стёкла серии Elephant'!$R$21)</f>
        <v>0</v>
      </c>
      <c r="R885" s="299" t="n">
        <f aca="false">IF(ISBLANK('Стёкла серии Elephant'!$Q$21),"",'Стёкла серии Elephant'!$Q$21)</f>
        <v>122.32</v>
      </c>
      <c r="S885" s="292" t="str">
        <f aca="false">IF(ISBLANK('Стёкла серии Elephant'!$S$21),"",'Стёкла серии Elephant'!$S$21)</f>
        <v/>
      </c>
    </row>
    <row r="886" customFormat="false" ht="66" hidden="false" customHeight="true" outlineLevel="0" collapsed="false">
      <c r="A886" s="291" t="str">
        <f aca="true">IF(ISNUMBER($J886),INDIRECT("L"&amp;($J886+4)),"")</f>
        <v/>
      </c>
      <c r="B886" s="291" t="str">
        <f aca="true">IF(ISNUMBER($J886),INDIRECT("M"&amp;($J886+4)),"")</f>
        <v/>
      </c>
      <c r="C886" s="296" t="str">
        <f aca="true">IF(ISNUMBER($J886),INDIRECT("N"&amp;($J886+4)),"")</f>
        <v/>
      </c>
      <c r="D886" s="291" t="str">
        <f aca="true">IF(ISNUMBER($J886),INDIRECT("O"&amp;($J886+4)),"")</f>
        <v/>
      </c>
      <c r="E886" s="291" t="str">
        <f aca="true">IF(ISNUMBER($J886),INDIRECT("P"&amp;($J886+4)),"")</f>
        <v/>
      </c>
      <c r="F886" s="300" t="str">
        <f aca="true">IF(ISNUMBER($J886),INDIRECT("Q"&amp;($J886+4)),"")</f>
        <v/>
      </c>
      <c r="G886" s="298" t="str">
        <f aca="true">IF(ISNUMBER($J886),INDIRECT("R"&amp;($J886+4)),"")</f>
        <v/>
      </c>
      <c r="H886" s="298" t="str">
        <f aca="true">IF(ISNUMBER($J886),INDIRECT("S"&amp;($J886+4)),"")</f>
        <v/>
      </c>
      <c r="J886" s="292" t="str">
        <f aca="true">IF(882&lt;=$K$1,MATCH(881.5,INDIRECT("$K$4:$K$1374"),1),"")</f>
        <v/>
      </c>
      <c r="K886" s="292" t="n">
        <f aca="false">$K$772+COUNTIF($Q$773:Q886,"&gt;0")</f>
        <v>0</v>
      </c>
      <c r="L886" s="292" t="str">
        <f aca="false">"Стёкла серии Elephant"&amp;" · "&amp;'Стёкла серии Elephant'!$N$22</f>
        <v>Стёкла серии Elephant · Elephant</v>
      </c>
      <c r="M886" s="292" t="str">
        <f aca="false">IF(ISBLANK('Стёкла серии Elephant'!$O$22),"",'Стёкла серии Elephant'!$O$22)</f>
        <v>F11/A9/A9X</v>
      </c>
      <c r="N886" s="292" t="str">
        <f aca="false">""</f>
        <v/>
      </c>
      <c r="O886" s="292" t="str">
        <f aca="false">""</f>
        <v/>
      </c>
      <c r="P886" s="292" t="str">
        <f aca="false">IF(ISBLANK('Стёкла серии Elephant'!$P$22),"",'Стёкла серии Elephant'!$P$22)</f>
        <v>шт.</v>
      </c>
      <c r="Q886" s="292" t="n">
        <f aca="false">N('Стёкла серии Elephant'!$R$22)</f>
        <v>0</v>
      </c>
      <c r="R886" s="299" t="n">
        <f aca="false">IF(ISBLANK('Стёкла серии Elephant'!$Q$22),"",'Стёкла серии Elephant'!$Q$22)</f>
        <v>122.32</v>
      </c>
      <c r="S886" s="292" t="str">
        <f aca="false">IF(ISBLANK('Стёкла серии Elephant'!$S$22),"",'Стёкла серии Elephant'!$S$22)</f>
        <v/>
      </c>
    </row>
    <row r="887" customFormat="false" ht="66" hidden="false" customHeight="true" outlineLevel="0" collapsed="false">
      <c r="A887" s="291" t="str">
        <f aca="true">IF(ISNUMBER($J887),INDIRECT("L"&amp;($J887+4)),"")</f>
        <v/>
      </c>
      <c r="B887" s="291" t="str">
        <f aca="true">IF(ISNUMBER($J887),INDIRECT("M"&amp;($J887+4)),"")</f>
        <v/>
      </c>
      <c r="C887" s="296" t="str">
        <f aca="true">IF(ISNUMBER($J887),INDIRECT("N"&amp;($J887+4)),"")</f>
        <v/>
      </c>
      <c r="D887" s="291" t="str">
        <f aca="true">IF(ISNUMBER($J887),INDIRECT("O"&amp;($J887+4)),"")</f>
        <v/>
      </c>
      <c r="E887" s="291" t="str">
        <f aca="true">IF(ISNUMBER($J887),INDIRECT("P"&amp;($J887+4)),"")</f>
        <v/>
      </c>
      <c r="F887" s="300" t="str">
        <f aca="true">IF(ISNUMBER($J887),INDIRECT("Q"&amp;($J887+4)),"")</f>
        <v/>
      </c>
      <c r="G887" s="298" t="str">
        <f aca="true">IF(ISNUMBER($J887),INDIRECT("R"&amp;($J887+4)),"")</f>
        <v/>
      </c>
      <c r="H887" s="298" t="str">
        <f aca="true">IF(ISNUMBER($J887),INDIRECT("S"&amp;($J887+4)),"")</f>
        <v/>
      </c>
      <c r="J887" s="292" t="str">
        <f aca="true">IF(883&lt;=$K$1,MATCH(882.5,INDIRECT("$K$4:$K$1374"),1),"")</f>
        <v/>
      </c>
      <c r="K887" s="292" t="n">
        <f aca="false">$K$772+COUNTIF($Q$773:Q887,"&gt;0")</f>
        <v>0</v>
      </c>
      <c r="L887" s="292" t="str">
        <f aca="false">"Стёкла серии Elephant"&amp;" · "&amp;'Стёкла серии Elephant'!$N$23</f>
        <v>Стёкла серии Elephant · Elephant</v>
      </c>
      <c r="M887" s="292" t="str">
        <f aca="false">IF(ISBLANK('Стёкла серии Elephant'!$O$23),"",'Стёкла серии Elephant'!$O$23)</f>
        <v>R17/RX17 Neo/R17 Pro/R15X/K3</v>
      </c>
      <c r="N887" s="292" t="str">
        <f aca="false">""</f>
        <v/>
      </c>
      <c r="O887" s="292" t="str">
        <f aca="false">""</f>
        <v/>
      </c>
      <c r="P887" s="292" t="str">
        <f aca="false">IF(ISBLANK('Стёкла серии Elephant'!$P$23),"",'Стёкла серии Elephant'!$P$23)</f>
        <v>шт.</v>
      </c>
      <c r="Q887" s="292" t="n">
        <f aca="false">N('Стёкла серии Elephant'!$R$23)</f>
        <v>0</v>
      </c>
      <c r="R887" s="299" t="n">
        <f aca="false">IF(ISBLANK('Стёкла серии Elephant'!$Q$23),"",'Стёкла серии Elephant'!$Q$23)</f>
        <v>122.32</v>
      </c>
      <c r="S887" s="292" t="str">
        <f aca="false">IF(ISBLANK('Стёкла серии Elephant'!$S$23),"",'Стёкла серии Elephant'!$S$23)</f>
        <v/>
      </c>
    </row>
    <row r="888" customFormat="false" ht="66" hidden="false" customHeight="true" outlineLevel="0" collapsed="false">
      <c r="A888" s="291" t="str">
        <f aca="true">IF(ISNUMBER($J888),INDIRECT("L"&amp;($J888+4)),"")</f>
        <v/>
      </c>
      <c r="B888" s="291" t="str">
        <f aca="true">IF(ISNUMBER($J888),INDIRECT("M"&amp;($J888+4)),"")</f>
        <v/>
      </c>
      <c r="C888" s="296" t="str">
        <f aca="true">IF(ISNUMBER($J888),INDIRECT("N"&amp;($J888+4)),"")</f>
        <v/>
      </c>
      <c r="D888" s="291" t="str">
        <f aca="true">IF(ISNUMBER($J888),INDIRECT("O"&amp;($J888+4)),"")</f>
        <v/>
      </c>
      <c r="E888" s="291" t="str">
        <f aca="true">IF(ISNUMBER($J888),INDIRECT("P"&amp;($J888+4)),"")</f>
        <v/>
      </c>
      <c r="F888" s="300" t="str">
        <f aca="true">IF(ISNUMBER($J888),INDIRECT("Q"&amp;($J888+4)),"")</f>
        <v/>
      </c>
      <c r="G888" s="298" t="str">
        <f aca="true">IF(ISNUMBER($J888),INDIRECT("R"&amp;($J888+4)),"")</f>
        <v/>
      </c>
      <c r="H888" s="298" t="str">
        <f aca="true">IF(ISNUMBER($J888),INDIRECT("S"&amp;($J888+4)),"")</f>
        <v/>
      </c>
      <c r="J888" s="292" t="str">
        <f aca="true">IF(884&lt;=$K$1,MATCH(883.5,INDIRECT("$K$4:$K$1374"),1),"")</f>
        <v/>
      </c>
      <c r="K888" s="292" t="n">
        <f aca="false">$K$772+COUNTIF($Q$773:Q888,"&gt;0")</f>
        <v>0</v>
      </c>
      <c r="L888" s="292" t="str">
        <f aca="false">"Стёкла серии Elephant"&amp;" · "&amp;'Стёкла серии Elephant'!$N$24</f>
        <v>Стёкла серии Elephant · Elephant</v>
      </c>
      <c r="M888" s="292" t="str">
        <f aca="false">IF(ISBLANK('Стёкла серии Elephant'!$O$24),"",'Стёкла серии Elephant'!$O$24)</f>
        <v>S5/V17 PRO</v>
      </c>
      <c r="N888" s="292" t="str">
        <f aca="false">""</f>
        <v/>
      </c>
      <c r="O888" s="292" t="str">
        <f aca="false">""</f>
        <v/>
      </c>
      <c r="P888" s="292" t="str">
        <f aca="false">IF(ISBLANK('Стёкла серии Elephant'!$P$24),"",'Стёкла серии Elephant'!$P$24)</f>
        <v>шт.</v>
      </c>
      <c r="Q888" s="292" t="n">
        <f aca="false">N('Стёкла серии Elephant'!$R$24)</f>
        <v>0</v>
      </c>
      <c r="R888" s="299" t="n">
        <f aca="false">IF(ISBLANK('Стёкла серии Elephant'!$Q$24),"",'Стёкла серии Elephant'!$Q$24)</f>
        <v>122.32</v>
      </c>
      <c r="S888" s="292" t="str">
        <f aca="false">IF(ISBLANK('Стёкла серии Elephant'!$S$24),"",'Стёкла серии Elephant'!$S$24)</f>
        <v/>
      </c>
    </row>
    <row r="889" customFormat="false" ht="66" hidden="false" customHeight="true" outlineLevel="0" collapsed="false">
      <c r="A889" s="291" t="str">
        <f aca="true">IF(ISNUMBER($J889),INDIRECT("L"&amp;($J889+4)),"")</f>
        <v/>
      </c>
      <c r="B889" s="291" t="str">
        <f aca="true">IF(ISNUMBER($J889),INDIRECT("M"&amp;($J889+4)),"")</f>
        <v/>
      </c>
      <c r="C889" s="296" t="str">
        <f aca="true">IF(ISNUMBER($J889),INDIRECT("N"&amp;($J889+4)),"")</f>
        <v/>
      </c>
      <c r="D889" s="291" t="str">
        <f aca="true">IF(ISNUMBER($J889),INDIRECT("O"&amp;($J889+4)),"")</f>
        <v/>
      </c>
      <c r="E889" s="291" t="str">
        <f aca="true">IF(ISNUMBER($J889),INDIRECT("P"&amp;($J889+4)),"")</f>
        <v/>
      </c>
      <c r="F889" s="300" t="str">
        <f aca="true">IF(ISNUMBER($J889),INDIRECT("Q"&amp;($J889+4)),"")</f>
        <v/>
      </c>
      <c r="G889" s="298" t="str">
        <f aca="true">IF(ISNUMBER($J889),INDIRECT("R"&amp;($J889+4)),"")</f>
        <v/>
      </c>
      <c r="H889" s="298" t="str">
        <f aca="true">IF(ISNUMBER($J889),INDIRECT("S"&amp;($J889+4)),"")</f>
        <v/>
      </c>
      <c r="J889" s="292" t="str">
        <f aca="true">IF(885&lt;=$K$1,MATCH(884.5,INDIRECT("$K$4:$K$1374"),1),"")</f>
        <v/>
      </c>
      <c r="K889" s="292" t="n">
        <f aca="false">$K$772+COUNTIF($Q$773:Q889,"&gt;0")</f>
        <v>0</v>
      </c>
      <c r="L889" s="292" t="str">
        <f aca="false">"Стёкла серии Elephant"&amp;" · "&amp;'Стёкла серии Elephant'!$N$25</f>
        <v>Стёкла серии Elephant · Elephant</v>
      </c>
      <c r="M889" s="292" t="str">
        <f aca="false">IF(ISBLANK('Стёкла серии Elephant'!$O$25),"",'Стёкла серии Elephant'!$O$25)</f>
        <v>V21 4G/5G</v>
      </c>
      <c r="N889" s="292" t="str">
        <f aca="false">""</f>
        <v/>
      </c>
      <c r="O889" s="292" t="str">
        <f aca="false">""</f>
        <v/>
      </c>
      <c r="P889" s="292" t="str">
        <f aca="false">IF(ISBLANK('Стёкла серии Elephant'!$P$25),"",'Стёкла серии Elephant'!$P$25)</f>
        <v>шт.</v>
      </c>
      <c r="Q889" s="292" t="n">
        <f aca="false">N('Стёкла серии Elephant'!$R$25)</f>
        <v>0</v>
      </c>
      <c r="R889" s="299" t="n">
        <f aca="false">IF(ISBLANK('Стёкла серии Elephant'!$Q$25),"",'Стёкла серии Elephant'!$Q$25)</f>
        <v>122.32</v>
      </c>
      <c r="S889" s="292" t="str">
        <f aca="false">IF(ISBLANK('Стёкла серии Elephant'!$S$25),"",'Стёкла серии Elephant'!$S$25)</f>
        <v/>
      </c>
    </row>
    <row r="890" customFormat="false" ht="66" hidden="false" customHeight="true" outlineLevel="0" collapsed="false">
      <c r="A890" s="291" t="str">
        <f aca="true">IF(ISNUMBER($J890),INDIRECT("L"&amp;($J890+4)),"")</f>
        <v/>
      </c>
      <c r="B890" s="291" t="str">
        <f aca="true">IF(ISNUMBER($J890),INDIRECT("M"&amp;($J890+4)),"")</f>
        <v/>
      </c>
      <c r="C890" s="296" t="str">
        <f aca="true">IF(ISNUMBER($J890),INDIRECT("N"&amp;($J890+4)),"")</f>
        <v/>
      </c>
      <c r="D890" s="291" t="str">
        <f aca="true">IF(ISNUMBER($J890),INDIRECT("O"&amp;($J890+4)),"")</f>
        <v/>
      </c>
      <c r="E890" s="291" t="str">
        <f aca="true">IF(ISNUMBER($J890),INDIRECT("P"&amp;($J890+4)),"")</f>
        <v/>
      </c>
      <c r="F890" s="300" t="str">
        <f aca="true">IF(ISNUMBER($J890),INDIRECT("Q"&amp;($J890+4)),"")</f>
        <v/>
      </c>
      <c r="G890" s="298" t="str">
        <f aca="true">IF(ISNUMBER($J890),INDIRECT("R"&amp;($J890+4)),"")</f>
        <v/>
      </c>
      <c r="H890" s="298" t="str">
        <f aca="true">IF(ISNUMBER($J890),INDIRECT("S"&amp;($J890+4)),"")</f>
        <v/>
      </c>
      <c r="J890" s="292" t="str">
        <f aca="true">IF(886&lt;=$K$1,MATCH(885.5,INDIRECT("$K$4:$K$1374"),1),"")</f>
        <v/>
      </c>
      <c r="K890" s="292" t="n">
        <f aca="false">$K$772+COUNTIF($Q$773:Q890,"&gt;0")</f>
        <v>0</v>
      </c>
      <c r="L890" s="292" t="str">
        <f aca="false">"Стёкла серии Elephant"&amp;" · "&amp;'Стёкла серии Elephant'!$N$26</f>
        <v>Стёкла серии Elephant · Elephant</v>
      </c>
      <c r="M890" s="292" t="str">
        <f aca="false">IF(ISBLANK('Стёкла серии Elephant'!$O$26),"",'Стёкла серии Elephant'!$O$26)</f>
        <v>iP 11 Pro Max</v>
      </c>
      <c r="N890" s="292" t="str">
        <f aca="false">""</f>
        <v/>
      </c>
      <c r="O890" s="292" t="str">
        <f aca="false">""</f>
        <v/>
      </c>
      <c r="P890" s="292" t="str">
        <f aca="false">IF(ISBLANK('Стёкла серии Elephant'!$P$26),"",'Стёкла серии Elephant'!$P$26)</f>
        <v>шт.</v>
      </c>
      <c r="Q890" s="292" t="n">
        <f aca="false">N('Стёкла серии Elephant'!$R$26)</f>
        <v>0</v>
      </c>
      <c r="R890" s="299" t="n">
        <f aca="false">IF(ISBLANK('Стёкла серии Elephant'!$Q$26),"",'Стёкла серии Elephant'!$Q$26)</f>
        <v>122.32</v>
      </c>
      <c r="S890" s="292" t="str">
        <f aca="false">IF(ISBLANK('Стёкла серии Elephant'!$S$26),"",'Стёкла серии Elephant'!$S$26)</f>
        <v/>
      </c>
    </row>
    <row r="891" customFormat="false" ht="66" hidden="false" customHeight="true" outlineLevel="0" collapsed="false">
      <c r="A891" s="291" t="str">
        <f aca="true">IF(ISNUMBER($J891),INDIRECT("L"&amp;($J891+4)),"")</f>
        <v/>
      </c>
      <c r="B891" s="291" t="str">
        <f aca="true">IF(ISNUMBER($J891),INDIRECT("M"&amp;($J891+4)),"")</f>
        <v/>
      </c>
      <c r="C891" s="296" t="str">
        <f aca="true">IF(ISNUMBER($J891),INDIRECT("N"&amp;($J891+4)),"")</f>
        <v/>
      </c>
      <c r="D891" s="291" t="str">
        <f aca="true">IF(ISNUMBER($J891),INDIRECT("O"&amp;($J891+4)),"")</f>
        <v/>
      </c>
      <c r="E891" s="291" t="str">
        <f aca="true">IF(ISNUMBER($J891),INDIRECT("P"&amp;($J891+4)),"")</f>
        <v/>
      </c>
      <c r="F891" s="300" t="str">
        <f aca="true">IF(ISNUMBER($J891),INDIRECT("Q"&amp;($J891+4)),"")</f>
        <v/>
      </c>
      <c r="G891" s="298" t="str">
        <f aca="true">IF(ISNUMBER($J891),INDIRECT("R"&amp;($J891+4)),"")</f>
        <v/>
      </c>
      <c r="H891" s="298" t="str">
        <f aca="true">IF(ISNUMBER($J891),INDIRECT("S"&amp;($J891+4)),"")</f>
        <v/>
      </c>
      <c r="J891" s="292" t="str">
        <f aca="true">IF(887&lt;=$K$1,MATCH(886.5,INDIRECT("$K$4:$K$1374"),1),"")</f>
        <v/>
      </c>
      <c r="K891" s="292" t="n">
        <f aca="false">$K$772+COUNTIF($Q$773:Q891,"&gt;0")</f>
        <v>0</v>
      </c>
      <c r="L891" s="292" t="str">
        <f aca="false">"Стёкла серии Elephant"&amp;" · "&amp;'Стёкла серии Elephant'!$N$27</f>
        <v>Стёкла серии Elephant · Elephant</v>
      </c>
      <c r="M891" s="292" t="str">
        <f aca="false">IF(ISBLANK('Стёкла серии Elephant'!$O$27),"",'Стёкла серии Elephant'!$O$27)</f>
        <v>P40</v>
      </c>
      <c r="N891" s="292" t="str">
        <f aca="false">""</f>
        <v/>
      </c>
      <c r="O891" s="292" t="str">
        <f aca="false">""</f>
        <v/>
      </c>
      <c r="P891" s="292" t="str">
        <f aca="false">IF(ISBLANK('Стёкла серии Elephant'!$P$27),"",'Стёкла серии Elephant'!$P$27)</f>
        <v>шт.</v>
      </c>
      <c r="Q891" s="292" t="n">
        <f aca="false">N('Стёкла серии Elephant'!$R$27)</f>
        <v>0</v>
      </c>
      <c r="R891" s="299" t="n">
        <f aca="false">IF(ISBLANK('Стёкла серии Elephant'!$Q$27),"",'Стёкла серии Elephant'!$Q$27)</f>
        <v>122.32</v>
      </c>
      <c r="S891" s="292" t="str">
        <f aca="false">IF(ISBLANK('Стёкла серии Elephant'!$S$27),"",'Стёкла серии Elephant'!$S$27)</f>
        <v/>
      </c>
    </row>
    <row r="892" customFormat="false" ht="66" hidden="false" customHeight="true" outlineLevel="0" collapsed="false">
      <c r="A892" s="291" t="str">
        <f aca="true">IF(ISNUMBER($J892),INDIRECT("L"&amp;($J892+4)),"")</f>
        <v/>
      </c>
      <c r="B892" s="291" t="str">
        <f aca="true">IF(ISNUMBER($J892),INDIRECT("M"&amp;($J892+4)),"")</f>
        <v/>
      </c>
      <c r="C892" s="296" t="str">
        <f aca="true">IF(ISNUMBER($J892),INDIRECT("N"&amp;($J892+4)),"")</f>
        <v/>
      </c>
      <c r="D892" s="291" t="str">
        <f aca="true">IF(ISNUMBER($J892),INDIRECT("O"&amp;($J892+4)),"")</f>
        <v/>
      </c>
      <c r="E892" s="291" t="str">
        <f aca="true">IF(ISNUMBER($J892),INDIRECT("P"&amp;($J892+4)),"")</f>
        <v/>
      </c>
      <c r="F892" s="300" t="str">
        <f aca="true">IF(ISNUMBER($J892),INDIRECT("Q"&amp;($J892+4)),"")</f>
        <v/>
      </c>
      <c r="G892" s="298" t="str">
        <f aca="true">IF(ISNUMBER($J892),INDIRECT("R"&amp;($J892+4)),"")</f>
        <v/>
      </c>
      <c r="H892" s="298" t="str">
        <f aca="true">IF(ISNUMBER($J892),INDIRECT("S"&amp;($J892+4)),"")</f>
        <v/>
      </c>
      <c r="J892" s="292" t="str">
        <f aca="true">IF(888&lt;=$K$1,MATCH(887.5,INDIRECT("$K$4:$K$1374"),1),"")</f>
        <v/>
      </c>
      <c r="K892" s="292" t="n">
        <f aca="false">$K$772+COUNTIF($Q$773:Q892,"&gt;0")</f>
        <v>0</v>
      </c>
      <c r="L892" s="292" t="str">
        <f aca="false">"Стёкла серии Elephant"&amp;" · "&amp;'Стёкла серии Elephant'!$N$28</f>
        <v>Стёкла серии Elephant · Elephant</v>
      </c>
      <c r="M892" s="292" t="str">
        <f aca="false">IF(ISBLANK('Стёкла серии Elephant'!$O$28),"",'Стёкла серии Elephant'!$O$28)</f>
        <v>Enjoy9S</v>
      </c>
      <c r="N892" s="292" t="str">
        <f aca="false">""</f>
        <v/>
      </c>
      <c r="O892" s="292" t="str">
        <f aca="false">""</f>
        <v/>
      </c>
      <c r="P892" s="292" t="str">
        <f aca="false">IF(ISBLANK('Стёкла серии Elephant'!$P$28),"",'Стёкла серии Elephant'!$P$28)</f>
        <v>шт.</v>
      </c>
      <c r="Q892" s="292" t="n">
        <f aca="false">N('Стёкла серии Elephant'!$R$28)</f>
        <v>0</v>
      </c>
      <c r="R892" s="299" t="n">
        <f aca="false">IF(ISBLANK('Стёкла серии Elephant'!$Q$28),"",'Стёкла серии Elephant'!$Q$28)</f>
        <v>122.32</v>
      </c>
      <c r="S892" s="292" t="str">
        <f aca="false">IF(ISBLANK('Стёкла серии Elephant'!$S$28),"",'Стёкла серии Elephant'!$S$28)</f>
        <v/>
      </c>
    </row>
    <row r="893" customFormat="false" ht="66" hidden="false" customHeight="true" outlineLevel="0" collapsed="false">
      <c r="A893" s="291" t="str">
        <f aca="true">IF(ISNUMBER($J893),INDIRECT("L"&amp;($J893+4)),"")</f>
        <v/>
      </c>
      <c r="B893" s="291" t="str">
        <f aca="true">IF(ISNUMBER($J893),INDIRECT("M"&amp;($J893+4)),"")</f>
        <v/>
      </c>
      <c r="C893" s="296" t="str">
        <f aca="true">IF(ISNUMBER($J893),INDIRECT("N"&amp;($J893+4)),"")</f>
        <v/>
      </c>
      <c r="D893" s="291" t="str">
        <f aca="true">IF(ISNUMBER($J893),INDIRECT("O"&amp;($J893+4)),"")</f>
        <v/>
      </c>
      <c r="E893" s="291" t="str">
        <f aca="true">IF(ISNUMBER($J893),INDIRECT("P"&amp;($J893+4)),"")</f>
        <v/>
      </c>
      <c r="F893" s="300" t="str">
        <f aca="true">IF(ISNUMBER($J893),INDIRECT("Q"&amp;($J893+4)),"")</f>
        <v/>
      </c>
      <c r="G893" s="298" t="str">
        <f aca="true">IF(ISNUMBER($J893),INDIRECT("R"&amp;($J893+4)),"")</f>
        <v/>
      </c>
      <c r="H893" s="298" t="str">
        <f aca="true">IF(ISNUMBER($J893),INDIRECT("S"&amp;($J893+4)),"")</f>
        <v/>
      </c>
      <c r="J893" s="292" t="str">
        <f aca="true">IF(889&lt;=$K$1,MATCH(888.5,INDIRECT("$K$4:$K$1374"),1),"")</f>
        <v/>
      </c>
      <c r="K893" s="292" t="n">
        <f aca="false">$K$772+COUNTIF($Q$773:Q893,"&gt;0")</f>
        <v>0</v>
      </c>
      <c r="L893" s="292" t="str">
        <f aca="false">"Стёкла серии Elephant"&amp;" · "&amp;'Стёкла серии Elephant'!$N$29</f>
        <v>Стёкла серии Elephant · Elephant</v>
      </c>
      <c r="M893" s="292" t="str">
        <f aca="false">IF(ISBLANK('Стёкла серии Elephant'!$O$29),"",'Стёкла серии Elephant'!$O$29)</f>
        <v>Redmi 8/8A</v>
      </c>
      <c r="N893" s="292" t="str">
        <f aca="false">""</f>
        <v/>
      </c>
      <c r="O893" s="292" t="str">
        <f aca="false">""</f>
        <v/>
      </c>
      <c r="P893" s="292" t="str">
        <f aca="false">IF(ISBLANK('Стёкла серии Elephant'!$P$29),"",'Стёкла серии Elephant'!$P$29)</f>
        <v>шт.</v>
      </c>
      <c r="Q893" s="292" t="n">
        <f aca="false">N('Стёкла серии Elephant'!$R$29)</f>
        <v>0</v>
      </c>
      <c r="R893" s="299" t="n">
        <f aca="false">IF(ISBLANK('Стёкла серии Elephant'!$Q$29),"",'Стёкла серии Elephant'!$Q$29)</f>
        <v>122.32</v>
      </c>
      <c r="S893" s="292" t="str">
        <f aca="false">IF(ISBLANK('Стёкла серии Elephant'!$S$29),"",'Стёкла серии Elephant'!$S$29)</f>
        <v/>
      </c>
    </row>
    <row r="894" customFormat="false" ht="66" hidden="false" customHeight="true" outlineLevel="0" collapsed="false">
      <c r="A894" s="291" t="str">
        <f aca="true">IF(ISNUMBER($J894),INDIRECT("L"&amp;($J894+4)),"")</f>
        <v/>
      </c>
      <c r="B894" s="291" t="str">
        <f aca="true">IF(ISNUMBER($J894),INDIRECT("M"&amp;($J894+4)),"")</f>
        <v/>
      </c>
      <c r="C894" s="296" t="str">
        <f aca="true">IF(ISNUMBER($J894),INDIRECT("N"&amp;($J894+4)),"")</f>
        <v/>
      </c>
      <c r="D894" s="291" t="str">
        <f aca="true">IF(ISNUMBER($J894),INDIRECT("O"&amp;($J894+4)),"")</f>
        <v/>
      </c>
      <c r="E894" s="291" t="str">
        <f aca="true">IF(ISNUMBER($J894),INDIRECT("P"&amp;($J894+4)),"")</f>
        <v/>
      </c>
      <c r="F894" s="300" t="str">
        <f aca="true">IF(ISNUMBER($J894),INDIRECT("Q"&amp;($J894+4)),"")</f>
        <v/>
      </c>
      <c r="G894" s="298" t="str">
        <f aca="true">IF(ISNUMBER($J894),INDIRECT("R"&amp;($J894+4)),"")</f>
        <v/>
      </c>
      <c r="H894" s="298" t="str">
        <f aca="true">IF(ISNUMBER($J894),INDIRECT("S"&amp;($J894+4)),"")</f>
        <v/>
      </c>
      <c r="J894" s="292" t="str">
        <f aca="true">IF(890&lt;=$K$1,MATCH(889.5,INDIRECT("$K$4:$K$1374"),1),"")</f>
        <v/>
      </c>
      <c r="K894" s="292" t="n">
        <f aca="false">$K$772+COUNTIF($Q$773:Q894,"&gt;0")</f>
        <v>0</v>
      </c>
      <c r="L894" s="292" t="str">
        <f aca="false">"Стёкла серии Elephant"&amp;" · "&amp;'Стёкла серии Elephant'!$N$30</f>
        <v>Стёкла серии Elephant · Elephant</v>
      </c>
      <c r="M894" s="292" t="str">
        <f aca="false">IF(ISBLANK('Стёкла серии Elephant'!$O$30),"",'Стёкла серии Elephant'!$O$30)</f>
        <v>Mi 8 Explore edition</v>
      </c>
      <c r="N894" s="292" t="str">
        <f aca="false">""</f>
        <v/>
      </c>
      <c r="O894" s="292" t="str">
        <f aca="false">""</f>
        <v/>
      </c>
      <c r="P894" s="292" t="str">
        <f aca="false">IF(ISBLANK('Стёкла серии Elephant'!$P$30),"",'Стёкла серии Elephant'!$P$30)</f>
        <v>шт.</v>
      </c>
      <c r="Q894" s="292" t="n">
        <f aca="false">N('Стёкла серии Elephant'!$R$30)</f>
        <v>0</v>
      </c>
      <c r="R894" s="299" t="n">
        <f aca="false">IF(ISBLANK('Стёкла серии Elephant'!$Q$30),"",'Стёкла серии Elephant'!$Q$30)</f>
        <v>122.32</v>
      </c>
      <c r="S894" s="292" t="str">
        <f aca="false">IF(ISBLANK('Стёкла серии Elephant'!$S$30),"",'Стёкла серии Elephant'!$S$30)</f>
        <v/>
      </c>
    </row>
    <row r="895" customFormat="false" ht="66" hidden="false" customHeight="true" outlineLevel="0" collapsed="false">
      <c r="A895" s="291" t="str">
        <f aca="true">IF(ISNUMBER($J895),INDIRECT("L"&amp;($J895+4)),"")</f>
        <v/>
      </c>
      <c r="B895" s="291" t="str">
        <f aca="true">IF(ISNUMBER($J895),INDIRECT("M"&amp;($J895+4)),"")</f>
        <v/>
      </c>
      <c r="C895" s="296" t="str">
        <f aca="true">IF(ISNUMBER($J895),INDIRECT("N"&amp;($J895+4)),"")</f>
        <v/>
      </c>
      <c r="D895" s="291" t="str">
        <f aca="true">IF(ISNUMBER($J895),INDIRECT("O"&amp;($J895+4)),"")</f>
        <v/>
      </c>
      <c r="E895" s="291" t="str">
        <f aca="true">IF(ISNUMBER($J895),INDIRECT("P"&amp;($J895+4)),"")</f>
        <v/>
      </c>
      <c r="F895" s="300" t="str">
        <f aca="true">IF(ISNUMBER($J895),INDIRECT("Q"&amp;($J895+4)),"")</f>
        <v/>
      </c>
      <c r="G895" s="298" t="str">
        <f aca="true">IF(ISNUMBER($J895),INDIRECT("R"&amp;($J895+4)),"")</f>
        <v/>
      </c>
      <c r="H895" s="298" t="str">
        <f aca="true">IF(ISNUMBER($J895),INDIRECT("S"&amp;($J895+4)),"")</f>
        <v/>
      </c>
      <c r="J895" s="292" t="str">
        <f aca="true">IF(891&lt;=$K$1,MATCH(890.5,INDIRECT("$K$4:$K$1374"),1),"")</f>
        <v/>
      </c>
      <c r="K895" s="292" t="n">
        <f aca="false">$K$772+COUNTIF($Q$773:Q895,"&gt;0")</f>
        <v>0</v>
      </c>
      <c r="L895" s="292" t="str">
        <f aca="false">"Стёкла серии Elephant"&amp;" · "&amp;'Стёкла серии Elephant'!$N$31</f>
        <v>Стёкла серии Elephant · Elephant</v>
      </c>
      <c r="M895" s="292" t="str">
        <f aca="false">IF(ISBLANK('Стёкла серии Elephant'!$O$31),"",'Стёкла серии Elephant'!$O$31)</f>
        <v>J4/J6 Plus</v>
      </c>
      <c r="N895" s="292" t="str">
        <f aca="false">""</f>
        <v/>
      </c>
      <c r="O895" s="292" t="str">
        <f aca="false">""</f>
        <v/>
      </c>
      <c r="P895" s="292" t="str">
        <f aca="false">IF(ISBLANK('Стёкла серии Elephant'!$P$31),"",'Стёкла серии Elephant'!$P$31)</f>
        <v>шт.</v>
      </c>
      <c r="Q895" s="292" t="n">
        <f aca="false">N('Стёкла серии Elephant'!$R$31)</f>
        <v>0</v>
      </c>
      <c r="R895" s="299" t="n">
        <f aca="false">IF(ISBLANK('Стёкла серии Elephant'!$Q$31),"",'Стёкла серии Elephant'!$Q$31)</f>
        <v>122.32</v>
      </c>
      <c r="S895" s="292" t="str">
        <f aca="false">IF(ISBLANK('Стёкла серии Elephant'!$S$31),"",'Стёкла серии Elephant'!$S$31)</f>
        <v/>
      </c>
    </row>
    <row r="896" customFormat="false" ht="66" hidden="false" customHeight="true" outlineLevel="0" collapsed="false">
      <c r="A896" s="291" t="str">
        <f aca="true">IF(ISNUMBER($J896),INDIRECT("L"&amp;($J896+4)),"")</f>
        <v/>
      </c>
      <c r="B896" s="291" t="str">
        <f aca="true">IF(ISNUMBER($J896),INDIRECT("M"&amp;($J896+4)),"")</f>
        <v/>
      </c>
      <c r="C896" s="296" t="str">
        <f aca="true">IF(ISNUMBER($J896),INDIRECT("N"&amp;($J896+4)),"")</f>
        <v/>
      </c>
      <c r="D896" s="291" t="str">
        <f aca="true">IF(ISNUMBER($J896),INDIRECT("O"&amp;($J896+4)),"")</f>
        <v/>
      </c>
      <c r="E896" s="291" t="str">
        <f aca="true">IF(ISNUMBER($J896),INDIRECT("P"&amp;($J896+4)),"")</f>
        <v/>
      </c>
      <c r="F896" s="300" t="str">
        <f aca="true">IF(ISNUMBER($J896),INDIRECT("Q"&amp;($J896+4)),"")</f>
        <v/>
      </c>
      <c r="G896" s="298" t="str">
        <f aca="true">IF(ISNUMBER($J896),INDIRECT("R"&amp;($J896+4)),"")</f>
        <v/>
      </c>
      <c r="H896" s="298" t="str">
        <f aca="true">IF(ISNUMBER($J896),INDIRECT("S"&amp;($J896+4)),"")</f>
        <v/>
      </c>
      <c r="J896" s="292" t="str">
        <f aca="true">IF(892&lt;=$K$1,MATCH(891.5,INDIRECT("$K$4:$K$1374"),1),"")</f>
        <v/>
      </c>
      <c r="K896" s="292" t="n">
        <f aca="false">$K$772+COUNTIF($Q$773:Q896,"&gt;0")</f>
        <v>0</v>
      </c>
      <c r="L896" s="292" t="str">
        <f aca="false">"Стёкла серии Elephant"&amp;" · "&amp;'Стёкла серии Elephant'!$N$32</f>
        <v>Стёкла серии Elephant · Elephant</v>
      </c>
      <c r="M896" s="292" t="str">
        <f aca="false">IF(ISBLANK('Стёкла серии Elephant'!$O$32),"",'Стёкла серии Elephant'!$O$32)</f>
        <v>S20 FE</v>
      </c>
      <c r="N896" s="292" t="str">
        <f aca="false">""</f>
        <v/>
      </c>
      <c r="O896" s="292" t="str">
        <f aca="false">""</f>
        <v/>
      </c>
      <c r="P896" s="292" t="str">
        <f aca="false">IF(ISBLANK('Стёкла серии Elephant'!$P$32),"",'Стёкла серии Elephant'!$P$32)</f>
        <v>шт.</v>
      </c>
      <c r="Q896" s="292" t="n">
        <f aca="false">N('Стёкла серии Elephant'!$R$32)</f>
        <v>0</v>
      </c>
      <c r="R896" s="299" t="n">
        <f aca="false">IF(ISBLANK('Стёкла серии Elephant'!$Q$32),"",'Стёкла серии Elephant'!$Q$32)</f>
        <v>122.32</v>
      </c>
      <c r="S896" s="292" t="str">
        <f aca="false">IF(ISBLANK('Стёкла серии Elephant'!$S$32),"",'Стёкла серии Elephant'!$S$32)</f>
        <v/>
      </c>
    </row>
    <row r="897" customFormat="false" ht="66" hidden="false" customHeight="true" outlineLevel="0" collapsed="false">
      <c r="A897" s="291" t="str">
        <f aca="true">IF(ISNUMBER($J897),INDIRECT("L"&amp;($J897+4)),"")</f>
        <v/>
      </c>
      <c r="B897" s="291" t="str">
        <f aca="true">IF(ISNUMBER($J897),INDIRECT("M"&amp;($J897+4)),"")</f>
        <v/>
      </c>
      <c r="C897" s="296" t="str">
        <f aca="true">IF(ISNUMBER($J897),INDIRECT("N"&amp;($J897+4)),"")</f>
        <v/>
      </c>
      <c r="D897" s="291" t="str">
        <f aca="true">IF(ISNUMBER($J897),INDIRECT("O"&amp;($J897+4)),"")</f>
        <v/>
      </c>
      <c r="E897" s="291" t="str">
        <f aca="true">IF(ISNUMBER($J897),INDIRECT("P"&amp;($J897+4)),"")</f>
        <v/>
      </c>
      <c r="F897" s="300" t="str">
        <f aca="true">IF(ISNUMBER($J897),INDIRECT("Q"&amp;($J897+4)),"")</f>
        <v/>
      </c>
      <c r="G897" s="298" t="str">
        <f aca="true">IF(ISNUMBER($J897),INDIRECT("R"&amp;($J897+4)),"")</f>
        <v/>
      </c>
      <c r="H897" s="298" t="str">
        <f aca="true">IF(ISNUMBER($J897),INDIRECT("S"&amp;($J897+4)),"")</f>
        <v/>
      </c>
      <c r="J897" s="292" t="str">
        <f aca="true">IF(893&lt;=$K$1,MATCH(892.5,INDIRECT("$K$4:$K$1374"),1),"")</f>
        <v/>
      </c>
      <c r="K897" s="292" t="n">
        <f aca="false">$K$772+COUNTIF($Q$773:Q897,"&gt;0")</f>
        <v>0</v>
      </c>
      <c r="L897" s="292" t="str">
        <f aca="false">"Стёкла серии Elephant"&amp;" · "&amp;'Стёкла серии Elephant'!$N$33</f>
        <v>Стёкла серии Elephant · Elephant</v>
      </c>
      <c r="M897" s="292" t="str">
        <f aca="false">IF(ISBLANK('Стёкла серии Elephant'!$O$33),"",'Стёкла серии Elephant'!$O$33)</f>
        <v>F9/F9 Pro/A7X</v>
      </c>
      <c r="N897" s="292" t="str">
        <f aca="false">""</f>
        <v/>
      </c>
      <c r="O897" s="292" t="str">
        <f aca="false">""</f>
        <v/>
      </c>
      <c r="P897" s="292" t="str">
        <f aca="false">IF(ISBLANK('Стёкла серии Elephant'!$P$33),"",'Стёкла серии Elephant'!$P$33)</f>
        <v>шт.</v>
      </c>
      <c r="Q897" s="292" t="n">
        <f aca="false">N('Стёкла серии Elephant'!$R$33)</f>
        <v>0</v>
      </c>
      <c r="R897" s="299" t="n">
        <f aca="false">IF(ISBLANK('Стёкла серии Elephant'!$Q$33),"",'Стёкла серии Elephant'!$Q$33)</f>
        <v>122.32</v>
      </c>
      <c r="S897" s="292" t="str">
        <f aca="false">IF(ISBLANK('Стёкла серии Elephant'!$S$33),"",'Стёкла серии Elephant'!$S$33)</f>
        <v/>
      </c>
    </row>
    <row r="898" customFormat="false" ht="66" hidden="false" customHeight="true" outlineLevel="0" collapsed="false">
      <c r="A898" s="291" t="str">
        <f aca="true">IF(ISNUMBER($J898),INDIRECT("L"&amp;($J898+4)),"")</f>
        <v/>
      </c>
      <c r="B898" s="291" t="str">
        <f aca="true">IF(ISNUMBER($J898),INDIRECT("M"&amp;($J898+4)),"")</f>
        <v/>
      </c>
      <c r="C898" s="296" t="str">
        <f aca="true">IF(ISNUMBER($J898),INDIRECT("N"&amp;($J898+4)),"")</f>
        <v/>
      </c>
      <c r="D898" s="291" t="str">
        <f aca="true">IF(ISNUMBER($J898),INDIRECT("O"&amp;($J898+4)),"")</f>
        <v/>
      </c>
      <c r="E898" s="291" t="str">
        <f aca="true">IF(ISNUMBER($J898),INDIRECT("P"&amp;($J898+4)),"")</f>
        <v/>
      </c>
      <c r="F898" s="300" t="str">
        <f aca="true">IF(ISNUMBER($J898),INDIRECT("Q"&amp;($J898+4)),"")</f>
        <v/>
      </c>
      <c r="G898" s="298" t="str">
        <f aca="true">IF(ISNUMBER($J898),INDIRECT("R"&amp;($J898+4)),"")</f>
        <v/>
      </c>
      <c r="H898" s="298" t="str">
        <f aca="true">IF(ISNUMBER($J898),INDIRECT("S"&amp;($J898+4)),"")</f>
        <v/>
      </c>
      <c r="J898" s="292" t="str">
        <f aca="true">IF(894&lt;=$K$1,MATCH(893.5,INDIRECT("$K$4:$K$1374"),1),"")</f>
        <v/>
      </c>
      <c r="K898" s="292" t="n">
        <f aca="false">$K$772+COUNTIF($Q$773:Q898,"&gt;0")</f>
        <v>0</v>
      </c>
      <c r="L898" s="292" t="str">
        <f aca="false">"Стёкла серии Elephant"&amp;" · "&amp;'Стёкла серии Elephant'!$N$34</f>
        <v>Стёкла серии Elephant · Elephant</v>
      </c>
      <c r="M898" s="292" t="str">
        <f aca="false">IF(ISBLANK('Стёкла серии Elephant'!$O$34),"",'Стёкла серии Elephant'!$O$34)</f>
        <v>Realme X50 pro (5G)</v>
      </c>
      <c r="N898" s="292" t="str">
        <f aca="false">""</f>
        <v/>
      </c>
      <c r="O898" s="292" t="str">
        <f aca="false">""</f>
        <v/>
      </c>
      <c r="P898" s="292" t="str">
        <f aca="false">IF(ISBLANK('Стёкла серии Elephant'!$P$34),"",'Стёкла серии Elephant'!$P$34)</f>
        <v>шт.</v>
      </c>
      <c r="Q898" s="292" t="n">
        <f aca="false">N('Стёкла серии Elephant'!$R$34)</f>
        <v>0</v>
      </c>
      <c r="R898" s="299" t="n">
        <f aca="false">IF(ISBLANK('Стёкла серии Elephant'!$Q$34),"",'Стёкла серии Elephant'!$Q$34)</f>
        <v>122.32</v>
      </c>
      <c r="S898" s="292" t="str">
        <f aca="false">IF(ISBLANK('Стёкла серии Elephant'!$S$34),"",'Стёкла серии Elephant'!$S$34)</f>
        <v/>
      </c>
    </row>
    <row r="899" customFormat="false" ht="66" hidden="false" customHeight="true" outlineLevel="0" collapsed="false">
      <c r="A899" s="291" t="str">
        <f aca="true">IF(ISNUMBER($J899),INDIRECT("L"&amp;($J899+4)),"")</f>
        <v/>
      </c>
      <c r="B899" s="291" t="str">
        <f aca="true">IF(ISNUMBER($J899),INDIRECT("M"&amp;($J899+4)),"")</f>
        <v/>
      </c>
      <c r="C899" s="296" t="str">
        <f aca="true">IF(ISNUMBER($J899),INDIRECT("N"&amp;($J899+4)),"")</f>
        <v/>
      </c>
      <c r="D899" s="291" t="str">
        <f aca="true">IF(ISNUMBER($J899),INDIRECT("O"&amp;($J899+4)),"")</f>
        <v/>
      </c>
      <c r="E899" s="291" t="str">
        <f aca="true">IF(ISNUMBER($J899),INDIRECT("P"&amp;($J899+4)),"")</f>
        <v/>
      </c>
      <c r="F899" s="300" t="str">
        <f aca="true">IF(ISNUMBER($J899),INDIRECT("Q"&amp;($J899+4)),"")</f>
        <v/>
      </c>
      <c r="G899" s="298" t="str">
        <f aca="true">IF(ISNUMBER($J899),INDIRECT("R"&amp;($J899+4)),"")</f>
        <v/>
      </c>
      <c r="H899" s="298" t="str">
        <f aca="true">IF(ISNUMBER($J899),INDIRECT("S"&amp;($J899+4)),"")</f>
        <v/>
      </c>
      <c r="J899" s="292" t="str">
        <f aca="true">IF(895&lt;=$K$1,MATCH(894.5,INDIRECT("$K$4:$K$1374"),1),"")</f>
        <v/>
      </c>
      <c r="K899" s="292" t="n">
        <f aca="false">$K$772+COUNTIF($Q$773:Q899,"&gt;0")</f>
        <v>0</v>
      </c>
      <c r="L899" s="292" t="str">
        <f aca="false">"Стёкла серии Elephant"&amp;" · "&amp;'Стёкла серии Elephant'!$N$35</f>
        <v>Стёкла серии Elephant · Elephant</v>
      </c>
      <c r="M899" s="292" t="str">
        <f aca="false">IF(ISBLANK('Стёкла серии Elephant'!$O$35),"",'Стёкла серии Elephant'!$O$35)</f>
        <v>S6</v>
      </c>
      <c r="N899" s="292" t="str">
        <f aca="false">""</f>
        <v/>
      </c>
      <c r="O899" s="292" t="str">
        <f aca="false">""</f>
        <v/>
      </c>
      <c r="P899" s="292" t="str">
        <f aca="false">IF(ISBLANK('Стёкла серии Elephant'!$P$35),"",'Стёкла серии Elephant'!$P$35)</f>
        <v>шт.</v>
      </c>
      <c r="Q899" s="292" t="n">
        <f aca="false">N('Стёкла серии Elephant'!$R$35)</f>
        <v>0</v>
      </c>
      <c r="R899" s="299" t="n">
        <f aca="false">IF(ISBLANK('Стёкла серии Elephant'!$Q$35),"",'Стёкла серии Elephant'!$Q$35)</f>
        <v>122.32</v>
      </c>
      <c r="S899" s="292" t="str">
        <f aca="false">IF(ISBLANK('Стёкла серии Elephant'!$S$35),"",'Стёкла серии Elephant'!$S$35)</f>
        <v/>
      </c>
    </row>
    <row r="900" customFormat="false" ht="66" hidden="false" customHeight="true" outlineLevel="0" collapsed="false">
      <c r="A900" s="291" t="str">
        <f aca="true">IF(ISNUMBER($J900),INDIRECT("L"&amp;($J900+4)),"")</f>
        <v/>
      </c>
      <c r="B900" s="291" t="str">
        <f aca="true">IF(ISNUMBER($J900),INDIRECT("M"&amp;($J900+4)),"")</f>
        <v/>
      </c>
      <c r="C900" s="296" t="str">
        <f aca="true">IF(ISNUMBER($J900),INDIRECT("N"&amp;($J900+4)),"")</f>
        <v/>
      </c>
      <c r="D900" s="291" t="str">
        <f aca="true">IF(ISNUMBER($J900),INDIRECT("O"&amp;($J900+4)),"")</f>
        <v/>
      </c>
      <c r="E900" s="291" t="str">
        <f aca="true">IF(ISNUMBER($J900),INDIRECT("P"&amp;($J900+4)),"")</f>
        <v/>
      </c>
      <c r="F900" s="300" t="str">
        <f aca="true">IF(ISNUMBER($J900),INDIRECT("Q"&amp;($J900+4)),"")</f>
        <v/>
      </c>
      <c r="G900" s="298" t="str">
        <f aca="true">IF(ISNUMBER($J900),INDIRECT("R"&amp;($J900+4)),"")</f>
        <v/>
      </c>
      <c r="H900" s="298" t="str">
        <f aca="true">IF(ISNUMBER($J900),INDIRECT("S"&amp;($J900+4)),"")</f>
        <v/>
      </c>
      <c r="J900" s="292" t="str">
        <f aca="true">IF(896&lt;=$K$1,MATCH(895.5,INDIRECT("$K$4:$K$1374"),1),"")</f>
        <v/>
      </c>
      <c r="K900" s="292" t="n">
        <f aca="false">$K$772+COUNTIF($Q$773:Q900,"&gt;0")</f>
        <v>0</v>
      </c>
      <c r="L900" s="292" t="str">
        <f aca="false">"Стёкла серии Elephant"&amp;" · "&amp;'Стёкла серии Elephant'!$N$36</f>
        <v>Стёкла серии Elephant · Elephant</v>
      </c>
      <c r="M900" s="292" t="str">
        <f aca="false">IF(ISBLANK('Стёкла серии Elephant'!$O$36),"",'Стёкла серии Elephant'!$O$36)</f>
        <v>Y12A</v>
      </c>
      <c r="N900" s="292" t="str">
        <f aca="false">""</f>
        <v/>
      </c>
      <c r="O900" s="292" t="str">
        <f aca="false">""</f>
        <v/>
      </c>
      <c r="P900" s="292" t="str">
        <f aca="false">IF(ISBLANK('Стёкла серии Elephant'!$P$36),"",'Стёкла серии Elephant'!$P$36)</f>
        <v>шт.</v>
      </c>
      <c r="Q900" s="292" t="n">
        <f aca="false">N('Стёкла серии Elephant'!$R$36)</f>
        <v>0</v>
      </c>
      <c r="R900" s="299" t="n">
        <f aca="false">IF(ISBLANK('Стёкла серии Elephant'!$Q$36),"",'Стёкла серии Elephant'!$Q$36)</f>
        <v>122.32</v>
      </c>
      <c r="S900" s="292" t="str">
        <f aca="false">IF(ISBLANK('Стёкла серии Elephant'!$S$36),"",'Стёкла серии Elephant'!$S$36)</f>
        <v/>
      </c>
    </row>
    <row r="901" customFormat="false" ht="66" hidden="false" customHeight="true" outlineLevel="0" collapsed="false">
      <c r="A901" s="291" t="str">
        <f aca="true">IF(ISNUMBER($J901),INDIRECT("L"&amp;($J901+4)),"")</f>
        <v/>
      </c>
      <c r="B901" s="291" t="str">
        <f aca="true">IF(ISNUMBER($J901),INDIRECT("M"&amp;($J901+4)),"")</f>
        <v/>
      </c>
      <c r="C901" s="296" t="str">
        <f aca="true">IF(ISNUMBER($J901),INDIRECT("N"&amp;($J901+4)),"")</f>
        <v/>
      </c>
      <c r="D901" s="291" t="str">
        <f aca="true">IF(ISNUMBER($J901),INDIRECT("O"&amp;($J901+4)),"")</f>
        <v/>
      </c>
      <c r="E901" s="291" t="str">
        <f aca="true">IF(ISNUMBER($J901),INDIRECT("P"&amp;($J901+4)),"")</f>
        <v/>
      </c>
      <c r="F901" s="300" t="str">
        <f aca="true">IF(ISNUMBER($J901),INDIRECT("Q"&amp;($J901+4)),"")</f>
        <v/>
      </c>
      <c r="G901" s="298" t="str">
        <f aca="true">IF(ISNUMBER($J901),INDIRECT("R"&amp;($J901+4)),"")</f>
        <v/>
      </c>
      <c r="H901" s="298" t="str">
        <f aca="true">IF(ISNUMBER($J901),INDIRECT("S"&amp;($J901+4)),"")</f>
        <v/>
      </c>
      <c r="J901" s="292" t="str">
        <f aca="true">IF(897&lt;=$K$1,MATCH(896.5,INDIRECT("$K$4:$K$1374"),1),"")</f>
        <v/>
      </c>
      <c r="K901" s="292" t="n">
        <f aca="false">$K$900+COUNTIF($Q$901:Q901,"&gt;0")</f>
        <v>0</v>
      </c>
      <c r="L901" s="292" t="str">
        <f aca="false">"Стёкла серии Elephant"&amp;" · "&amp;'Стёкла серии Elephant'!$N$37</f>
        <v>Стёкла серии Elephant · Elephant</v>
      </c>
      <c r="M901" s="292" t="str">
        <f aca="false">IF(ISBLANK('Стёкла серии Elephant'!$O$37),"",'Стёкла серии Elephant'!$O$37)</f>
        <v>iP Xs（5.8）</v>
      </c>
      <c r="N901" s="292" t="str">
        <f aca="false">""</f>
        <v/>
      </c>
      <c r="O901" s="292" t="str">
        <f aca="false">""</f>
        <v/>
      </c>
      <c r="P901" s="292" t="str">
        <f aca="false">IF(ISBLANK('Стёкла серии Elephant'!$P$37),"",'Стёкла серии Elephant'!$P$37)</f>
        <v>шт.</v>
      </c>
      <c r="Q901" s="292" t="n">
        <f aca="false">N('Стёкла серии Elephant'!$R$37)</f>
        <v>0</v>
      </c>
      <c r="R901" s="299" t="n">
        <f aca="false">IF(ISBLANK('Стёкла серии Elephant'!$Q$37),"",'Стёкла серии Elephant'!$Q$37)</f>
        <v>122.32</v>
      </c>
      <c r="S901" s="292" t="str">
        <f aca="false">IF(ISBLANK('Стёкла серии Elephant'!$S$37),"",'Стёкла серии Elephant'!$S$37)</f>
        <v/>
      </c>
    </row>
    <row r="902" customFormat="false" ht="66" hidden="false" customHeight="true" outlineLevel="0" collapsed="false">
      <c r="A902" s="291" t="str">
        <f aca="true">IF(ISNUMBER($J902),INDIRECT("L"&amp;($J902+4)),"")</f>
        <v/>
      </c>
      <c r="B902" s="291" t="str">
        <f aca="true">IF(ISNUMBER($J902),INDIRECT("M"&amp;($J902+4)),"")</f>
        <v/>
      </c>
      <c r="C902" s="296" t="str">
        <f aca="true">IF(ISNUMBER($J902),INDIRECT("N"&amp;($J902+4)),"")</f>
        <v/>
      </c>
      <c r="D902" s="291" t="str">
        <f aca="true">IF(ISNUMBER($J902),INDIRECT("O"&amp;($J902+4)),"")</f>
        <v/>
      </c>
      <c r="E902" s="291" t="str">
        <f aca="true">IF(ISNUMBER($J902),INDIRECT("P"&amp;($J902+4)),"")</f>
        <v/>
      </c>
      <c r="F902" s="300" t="str">
        <f aca="true">IF(ISNUMBER($J902),INDIRECT("Q"&amp;($J902+4)),"")</f>
        <v/>
      </c>
      <c r="G902" s="298" t="str">
        <f aca="true">IF(ISNUMBER($J902),INDIRECT("R"&amp;($J902+4)),"")</f>
        <v/>
      </c>
      <c r="H902" s="298" t="str">
        <f aca="true">IF(ISNUMBER($J902),INDIRECT("S"&amp;($J902+4)),"")</f>
        <v/>
      </c>
      <c r="J902" s="292" t="str">
        <f aca="true">IF(898&lt;=$K$1,MATCH(897.5,INDIRECT("$K$4:$K$1374"),1),"")</f>
        <v/>
      </c>
      <c r="K902" s="292" t="n">
        <f aca="false">$K$900+COUNTIF($Q$901:Q902,"&gt;0")</f>
        <v>0</v>
      </c>
      <c r="L902" s="292" t="str">
        <f aca="false">"Стёкла серии Elephant"&amp;" · "&amp;'Стёкла серии Elephant'!$N$38</f>
        <v>Стёкла серии Elephant · Elephant</v>
      </c>
      <c r="M902" s="292" t="str">
        <f aca="false">IF(ISBLANK('Стёкла серии Elephant'!$O$38),"",'Стёкла серии Elephant'!$O$38)</f>
        <v>P40 Lite</v>
      </c>
      <c r="N902" s="292" t="str">
        <f aca="false">""</f>
        <v/>
      </c>
      <c r="O902" s="292" t="str">
        <f aca="false">""</f>
        <v/>
      </c>
      <c r="P902" s="292" t="str">
        <f aca="false">IF(ISBLANK('Стёкла серии Elephant'!$P$38),"",'Стёкла серии Elephant'!$P$38)</f>
        <v>шт.</v>
      </c>
      <c r="Q902" s="292" t="n">
        <f aca="false">N('Стёкла серии Elephant'!$R$38)</f>
        <v>0</v>
      </c>
      <c r="R902" s="299" t="n">
        <f aca="false">IF(ISBLANK('Стёкла серии Elephant'!$Q$38),"",'Стёкла серии Elephant'!$Q$38)</f>
        <v>122.32</v>
      </c>
      <c r="S902" s="292" t="str">
        <f aca="false">IF(ISBLANK('Стёкла серии Elephant'!$S$38),"",'Стёкла серии Elephant'!$S$38)</f>
        <v/>
      </c>
    </row>
    <row r="903" customFormat="false" ht="66" hidden="false" customHeight="true" outlineLevel="0" collapsed="false">
      <c r="A903" s="291" t="str">
        <f aca="true">IF(ISNUMBER($J903),INDIRECT("L"&amp;($J903+4)),"")</f>
        <v/>
      </c>
      <c r="B903" s="291" t="str">
        <f aca="true">IF(ISNUMBER($J903),INDIRECT("M"&amp;($J903+4)),"")</f>
        <v/>
      </c>
      <c r="C903" s="296" t="str">
        <f aca="true">IF(ISNUMBER($J903),INDIRECT("N"&amp;($J903+4)),"")</f>
        <v/>
      </c>
      <c r="D903" s="291" t="str">
        <f aca="true">IF(ISNUMBER($J903),INDIRECT("O"&amp;($J903+4)),"")</f>
        <v/>
      </c>
      <c r="E903" s="291" t="str">
        <f aca="true">IF(ISNUMBER($J903),INDIRECT("P"&amp;($J903+4)),"")</f>
        <v/>
      </c>
      <c r="F903" s="300" t="str">
        <f aca="true">IF(ISNUMBER($J903),INDIRECT("Q"&amp;($J903+4)),"")</f>
        <v/>
      </c>
      <c r="G903" s="298" t="str">
        <f aca="true">IF(ISNUMBER($J903),INDIRECT("R"&amp;($J903+4)),"")</f>
        <v/>
      </c>
      <c r="H903" s="298" t="str">
        <f aca="true">IF(ISNUMBER($J903),INDIRECT("S"&amp;($J903+4)),"")</f>
        <v/>
      </c>
      <c r="J903" s="292" t="str">
        <f aca="true">IF(899&lt;=$K$1,MATCH(898.5,INDIRECT("$K$4:$K$1374"),1),"")</f>
        <v/>
      </c>
      <c r="K903" s="292" t="n">
        <f aca="false">$K$900+COUNTIF($Q$901:Q903,"&gt;0")</f>
        <v>0</v>
      </c>
      <c r="L903" s="292" t="str">
        <f aca="false">"Стёкла серии Elephant"&amp;" · "&amp;'Стёкла серии Elephant'!$N$39</f>
        <v>Стёкла серии Elephant · Elephant</v>
      </c>
      <c r="M903" s="292" t="str">
        <f aca="false">IF(ISBLANK('Стёкла серии Elephant'!$O$39),"",'Стёкла серии Elephant'!$O$39)</f>
        <v>Enjoy9/A7</v>
      </c>
      <c r="N903" s="292" t="str">
        <f aca="false">""</f>
        <v/>
      </c>
      <c r="O903" s="292" t="str">
        <f aca="false">""</f>
        <v/>
      </c>
      <c r="P903" s="292" t="str">
        <f aca="false">IF(ISBLANK('Стёкла серии Elephant'!$P$39),"",'Стёкла серии Elephant'!$P$39)</f>
        <v>шт.</v>
      </c>
      <c r="Q903" s="292" t="n">
        <f aca="false">N('Стёкла серии Elephant'!$R$39)</f>
        <v>0</v>
      </c>
      <c r="R903" s="299" t="n">
        <f aca="false">IF(ISBLANK('Стёкла серии Elephant'!$Q$39),"",'Стёкла серии Elephant'!$Q$39)</f>
        <v>122.32</v>
      </c>
      <c r="S903" s="292" t="str">
        <f aca="false">IF(ISBLANK('Стёкла серии Elephant'!$S$39),"",'Стёкла серии Elephant'!$S$39)</f>
        <v/>
      </c>
    </row>
    <row r="904" customFormat="false" ht="66" hidden="false" customHeight="true" outlineLevel="0" collapsed="false">
      <c r="A904" s="291" t="str">
        <f aca="true">IF(ISNUMBER($J904),INDIRECT("L"&amp;($J904+4)),"")</f>
        <v/>
      </c>
      <c r="B904" s="291" t="str">
        <f aca="true">IF(ISNUMBER($J904),INDIRECT("M"&amp;($J904+4)),"")</f>
        <v/>
      </c>
      <c r="C904" s="296" t="str">
        <f aca="true">IF(ISNUMBER($J904),INDIRECT("N"&amp;($J904+4)),"")</f>
        <v/>
      </c>
      <c r="D904" s="291" t="str">
        <f aca="true">IF(ISNUMBER($J904),INDIRECT("O"&amp;($J904+4)),"")</f>
        <v/>
      </c>
      <c r="E904" s="291" t="str">
        <f aca="true">IF(ISNUMBER($J904),INDIRECT("P"&amp;($J904+4)),"")</f>
        <v/>
      </c>
      <c r="F904" s="300" t="str">
        <f aca="true">IF(ISNUMBER($J904),INDIRECT("Q"&amp;($J904+4)),"")</f>
        <v/>
      </c>
      <c r="G904" s="298" t="str">
        <f aca="true">IF(ISNUMBER($J904),INDIRECT("R"&amp;($J904+4)),"")</f>
        <v/>
      </c>
      <c r="H904" s="298" t="str">
        <f aca="true">IF(ISNUMBER($J904),INDIRECT("S"&amp;($J904+4)),"")</f>
        <v/>
      </c>
      <c r="J904" s="292" t="str">
        <f aca="true">IF(900&lt;=$K$1,MATCH(899.5,INDIRECT("$K$4:$K$1374"),1),"")</f>
        <v/>
      </c>
      <c r="K904" s="292" t="n">
        <f aca="false">$K$900+COUNTIF($Q$901:Q904,"&gt;0")</f>
        <v>0</v>
      </c>
      <c r="L904" s="292" t="str">
        <f aca="false">"Стёкла серии Elephant"&amp;" · "&amp;'Стёкла серии Elephant'!$N$40</f>
        <v>Стёкла серии Elephant · Elephant</v>
      </c>
      <c r="M904" s="292" t="str">
        <f aca="false">IF(ISBLANK('Стёкла серии Elephant'!$O$40),"",'Стёкла серии Elephant'!$O$40)</f>
        <v>Redmi Note 8T</v>
      </c>
      <c r="N904" s="292" t="str">
        <f aca="false">""</f>
        <v/>
      </c>
      <c r="O904" s="292" t="str">
        <f aca="false">""</f>
        <v/>
      </c>
      <c r="P904" s="292" t="str">
        <f aca="false">IF(ISBLANK('Стёкла серии Elephant'!$P$40),"",'Стёкла серии Elephant'!$P$40)</f>
        <v>шт.</v>
      </c>
      <c r="Q904" s="292" t="n">
        <f aca="false">N('Стёкла серии Elephant'!$R$40)</f>
        <v>0</v>
      </c>
      <c r="R904" s="299" t="n">
        <f aca="false">IF(ISBLANK('Стёкла серии Elephant'!$Q$40),"",'Стёкла серии Elephant'!$Q$40)</f>
        <v>122.32</v>
      </c>
      <c r="S904" s="292" t="str">
        <f aca="false">IF(ISBLANK('Стёкла серии Elephant'!$S$40),"",'Стёкла серии Elephant'!$S$40)</f>
        <v/>
      </c>
    </row>
    <row r="905" customFormat="false" ht="66" hidden="false" customHeight="true" outlineLevel="0" collapsed="false">
      <c r="A905" s="291" t="str">
        <f aca="true">IF(ISNUMBER($J905),INDIRECT("L"&amp;($J905+4)),"")</f>
        <v/>
      </c>
      <c r="B905" s="291" t="str">
        <f aca="true">IF(ISNUMBER($J905),INDIRECT("M"&amp;($J905+4)),"")</f>
        <v/>
      </c>
      <c r="C905" s="296" t="str">
        <f aca="true">IF(ISNUMBER($J905),INDIRECT("N"&amp;($J905+4)),"")</f>
        <v/>
      </c>
      <c r="D905" s="291" t="str">
        <f aca="true">IF(ISNUMBER($J905),INDIRECT("O"&amp;($J905+4)),"")</f>
        <v/>
      </c>
      <c r="E905" s="291" t="str">
        <f aca="true">IF(ISNUMBER($J905),INDIRECT("P"&amp;($J905+4)),"")</f>
        <v/>
      </c>
      <c r="F905" s="300" t="str">
        <f aca="true">IF(ISNUMBER($J905),INDIRECT("Q"&amp;($J905+4)),"")</f>
        <v/>
      </c>
      <c r="G905" s="298" t="str">
        <f aca="true">IF(ISNUMBER($J905),INDIRECT("R"&amp;($J905+4)),"")</f>
        <v/>
      </c>
      <c r="H905" s="298" t="str">
        <f aca="true">IF(ISNUMBER($J905),INDIRECT("S"&amp;($J905+4)),"")</f>
        <v/>
      </c>
      <c r="J905" s="292" t="str">
        <f aca="true">IF(901&lt;=$K$1,MATCH(900.5,INDIRECT("$K$4:$K$1374"),1),"")</f>
        <v/>
      </c>
      <c r="K905" s="292" t="n">
        <f aca="false">$K$900+COUNTIF($Q$901:Q905,"&gt;0")</f>
        <v>0</v>
      </c>
      <c r="L905" s="292" t="str">
        <f aca="false">"Стёкла серии Elephant"&amp;" · "&amp;'Стёкла серии Elephant'!$N$41</f>
        <v>Стёкла серии Elephant · Elephant</v>
      </c>
      <c r="M905" s="292" t="str">
        <f aca="false">IF(ISBLANK('Стёкла серии Elephant'!$O$41),"",'Стёкла серии Elephant'!$O$41)</f>
        <v>Mi 8/8 Pro/8 UD</v>
      </c>
      <c r="N905" s="292" t="str">
        <f aca="false">""</f>
        <v/>
      </c>
      <c r="O905" s="292" t="str">
        <f aca="false">""</f>
        <v/>
      </c>
      <c r="P905" s="292" t="str">
        <f aca="false">IF(ISBLANK('Стёкла серии Elephant'!$P$41),"",'Стёкла серии Elephant'!$P$41)</f>
        <v>шт.</v>
      </c>
      <c r="Q905" s="292" t="n">
        <f aca="false">N('Стёкла серии Elephant'!$R$41)</f>
        <v>0</v>
      </c>
      <c r="R905" s="299" t="n">
        <f aca="false">IF(ISBLANK('Стёкла серии Elephant'!$Q$41),"",'Стёкла серии Elephant'!$Q$41)</f>
        <v>122.32</v>
      </c>
      <c r="S905" s="292" t="str">
        <f aca="false">IF(ISBLANK('Стёкла серии Elephant'!$S$41),"",'Стёкла серии Elephant'!$S$41)</f>
        <v/>
      </c>
    </row>
    <row r="906" customFormat="false" ht="66" hidden="false" customHeight="true" outlineLevel="0" collapsed="false">
      <c r="A906" s="291" t="str">
        <f aca="true">IF(ISNUMBER($J906),INDIRECT("L"&amp;($J906+4)),"")</f>
        <v/>
      </c>
      <c r="B906" s="291" t="str">
        <f aca="true">IF(ISNUMBER($J906),INDIRECT("M"&amp;($J906+4)),"")</f>
        <v/>
      </c>
      <c r="C906" s="296" t="str">
        <f aca="true">IF(ISNUMBER($J906),INDIRECT("N"&amp;($J906+4)),"")</f>
        <v/>
      </c>
      <c r="D906" s="291" t="str">
        <f aca="true">IF(ISNUMBER($J906),INDIRECT("O"&amp;($J906+4)),"")</f>
        <v/>
      </c>
      <c r="E906" s="291" t="str">
        <f aca="true">IF(ISNUMBER($J906),INDIRECT("P"&amp;($J906+4)),"")</f>
        <v/>
      </c>
      <c r="F906" s="300" t="str">
        <f aca="true">IF(ISNUMBER($J906),INDIRECT("Q"&amp;($J906+4)),"")</f>
        <v/>
      </c>
      <c r="G906" s="298" t="str">
        <f aca="true">IF(ISNUMBER($J906),INDIRECT("R"&amp;($J906+4)),"")</f>
        <v/>
      </c>
      <c r="H906" s="298" t="str">
        <f aca="true">IF(ISNUMBER($J906),INDIRECT("S"&amp;($J906+4)),"")</f>
        <v/>
      </c>
      <c r="J906" s="292" t="str">
        <f aca="true">IF(902&lt;=$K$1,MATCH(901.5,INDIRECT("$K$4:$K$1374"),1),"")</f>
        <v/>
      </c>
      <c r="K906" s="292" t="n">
        <f aca="false">$K$900+COUNTIF($Q$901:Q906,"&gt;0")</f>
        <v>0</v>
      </c>
      <c r="L906" s="292" t="str">
        <f aca="false">"Стёкла серии Elephant"&amp;" · "&amp;'Стёкла серии Elephant'!$N$42</f>
        <v>Стёкла серии Elephant · Elephant</v>
      </c>
      <c r="M906" s="292" t="str">
        <f aca="false">IF(ISBLANK('Стёкла серии Elephant'!$O$42),"",'Стёкла серии Elephant'!$O$42)</f>
        <v>J4/J6 Prime</v>
      </c>
      <c r="N906" s="292" t="str">
        <f aca="false">""</f>
        <v/>
      </c>
      <c r="O906" s="292" t="str">
        <f aca="false">""</f>
        <v/>
      </c>
      <c r="P906" s="292" t="str">
        <f aca="false">IF(ISBLANK('Стёкла серии Elephant'!$P$42),"",'Стёкла серии Elephant'!$P$42)</f>
        <v>шт.</v>
      </c>
      <c r="Q906" s="292" t="n">
        <f aca="false">N('Стёкла серии Elephant'!$R$42)</f>
        <v>0</v>
      </c>
      <c r="R906" s="299" t="n">
        <f aca="false">IF(ISBLANK('Стёкла серии Elephant'!$Q$42),"",'Стёкла серии Elephant'!$Q$42)</f>
        <v>122.32</v>
      </c>
      <c r="S906" s="292" t="str">
        <f aca="false">IF(ISBLANK('Стёкла серии Elephant'!$S$42),"",'Стёкла серии Elephant'!$S$42)</f>
        <v/>
      </c>
    </row>
    <row r="907" customFormat="false" ht="66" hidden="false" customHeight="true" outlineLevel="0" collapsed="false">
      <c r="A907" s="291" t="str">
        <f aca="true">IF(ISNUMBER($J907),INDIRECT("L"&amp;($J907+4)),"")</f>
        <v/>
      </c>
      <c r="B907" s="291" t="str">
        <f aca="true">IF(ISNUMBER($J907),INDIRECT("M"&amp;($J907+4)),"")</f>
        <v/>
      </c>
      <c r="C907" s="296" t="str">
        <f aca="true">IF(ISNUMBER($J907),INDIRECT("N"&amp;($J907+4)),"")</f>
        <v/>
      </c>
      <c r="D907" s="291" t="str">
        <f aca="true">IF(ISNUMBER($J907),INDIRECT("O"&amp;($J907+4)),"")</f>
        <v/>
      </c>
      <c r="E907" s="291" t="str">
        <f aca="true">IF(ISNUMBER($J907),INDIRECT("P"&amp;($J907+4)),"")</f>
        <v/>
      </c>
      <c r="F907" s="300" t="str">
        <f aca="true">IF(ISNUMBER($J907),INDIRECT("Q"&amp;($J907+4)),"")</f>
        <v/>
      </c>
      <c r="G907" s="298" t="str">
        <f aca="true">IF(ISNUMBER($J907),INDIRECT("R"&amp;($J907+4)),"")</f>
        <v/>
      </c>
      <c r="H907" s="298" t="str">
        <f aca="true">IF(ISNUMBER($J907),INDIRECT("S"&amp;($J907+4)),"")</f>
        <v/>
      </c>
      <c r="J907" s="292" t="str">
        <f aca="true">IF(903&lt;=$K$1,MATCH(902.5,INDIRECT("$K$4:$K$1374"),1),"")</f>
        <v/>
      </c>
      <c r="K907" s="292" t="n">
        <f aca="false">$K$900+COUNTIF($Q$901:Q907,"&gt;0")</f>
        <v>0</v>
      </c>
      <c r="L907" s="292" t="str">
        <f aca="false">"Стёкла серии Elephant"&amp;" · "&amp;'Стёкла серии Elephant'!$N$43</f>
        <v>Стёкла серии Elephant · Elephant</v>
      </c>
      <c r="M907" s="292" t="str">
        <f aca="false">IF(ISBLANK('Стёкла серии Elephant'!$O$43),"",'Стёкла серии Elephant'!$O$43)</f>
        <v>A32 4G</v>
      </c>
      <c r="N907" s="292" t="str">
        <f aca="false">""</f>
        <v/>
      </c>
      <c r="O907" s="292" t="str">
        <f aca="false">""</f>
        <v/>
      </c>
      <c r="P907" s="292" t="str">
        <f aca="false">IF(ISBLANK('Стёкла серии Elephant'!$P$43),"",'Стёкла серии Elephant'!$P$43)</f>
        <v>шт.</v>
      </c>
      <c r="Q907" s="292" t="n">
        <f aca="false">N('Стёкла серии Elephant'!$R$43)</f>
        <v>0</v>
      </c>
      <c r="R907" s="299" t="n">
        <f aca="false">IF(ISBLANK('Стёкла серии Elephant'!$Q$43),"",'Стёкла серии Elephant'!$Q$43)</f>
        <v>122.32</v>
      </c>
      <c r="S907" s="292" t="str">
        <f aca="false">IF(ISBLANK('Стёкла серии Elephant'!$S$43),"",'Стёкла серии Elephant'!$S$43)</f>
        <v/>
      </c>
    </row>
    <row r="908" customFormat="false" ht="66" hidden="false" customHeight="true" outlineLevel="0" collapsed="false">
      <c r="A908" s="291" t="str">
        <f aca="true">IF(ISNUMBER($J908),INDIRECT("L"&amp;($J908+4)),"")</f>
        <v/>
      </c>
      <c r="B908" s="291" t="str">
        <f aca="true">IF(ISNUMBER($J908),INDIRECT("M"&amp;($J908+4)),"")</f>
        <v/>
      </c>
      <c r="C908" s="296" t="str">
        <f aca="true">IF(ISNUMBER($J908),INDIRECT("N"&amp;($J908+4)),"")</f>
        <v/>
      </c>
      <c r="D908" s="291" t="str">
        <f aca="true">IF(ISNUMBER($J908),INDIRECT("O"&amp;($J908+4)),"")</f>
        <v/>
      </c>
      <c r="E908" s="291" t="str">
        <f aca="true">IF(ISNUMBER($J908),INDIRECT("P"&amp;($J908+4)),"")</f>
        <v/>
      </c>
      <c r="F908" s="300" t="str">
        <f aca="true">IF(ISNUMBER($J908),INDIRECT("Q"&amp;($J908+4)),"")</f>
        <v/>
      </c>
      <c r="G908" s="298" t="str">
        <f aca="true">IF(ISNUMBER($J908),INDIRECT("R"&amp;($J908+4)),"")</f>
        <v/>
      </c>
      <c r="H908" s="298" t="str">
        <f aca="true">IF(ISNUMBER($J908),INDIRECT("S"&amp;($J908+4)),"")</f>
        <v/>
      </c>
      <c r="J908" s="292" t="str">
        <f aca="true">IF(904&lt;=$K$1,MATCH(903.5,INDIRECT("$K$4:$K$1374"),1),"")</f>
        <v/>
      </c>
      <c r="K908" s="292" t="n">
        <f aca="false">$K$900+COUNTIF($Q$901:Q908,"&gt;0")</f>
        <v>0</v>
      </c>
      <c r="L908" s="292" t="str">
        <f aca="false">"Стёкла серии Elephant"&amp;" · "&amp;'Стёкла серии Elephant'!$N$44</f>
        <v>Стёкла серии Elephant · Elephant</v>
      </c>
      <c r="M908" s="292" t="str">
        <f aca="false">IF(ISBLANK('Стёкла серии Elephant'!$O$44),"",'Стёкла серии Elephant'!$O$44)</f>
        <v>F7/A3</v>
      </c>
      <c r="N908" s="292" t="str">
        <f aca="false">""</f>
        <v/>
      </c>
      <c r="O908" s="292" t="str">
        <f aca="false">""</f>
        <v/>
      </c>
      <c r="P908" s="292" t="str">
        <f aca="false">IF(ISBLANK('Стёкла серии Elephant'!$P$44),"",'Стёкла серии Elephant'!$P$44)</f>
        <v>шт.</v>
      </c>
      <c r="Q908" s="292" t="n">
        <f aca="false">N('Стёкла серии Elephant'!$R$44)</f>
        <v>0</v>
      </c>
      <c r="R908" s="299" t="n">
        <f aca="false">IF(ISBLANK('Стёкла серии Elephant'!$Q$44),"",'Стёкла серии Elephant'!$Q$44)</f>
        <v>122.32</v>
      </c>
      <c r="S908" s="292" t="str">
        <f aca="false">IF(ISBLANK('Стёкла серии Elephant'!$S$44),"",'Стёкла серии Elephant'!$S$44)</f>
        <v/>
      </c>
    </row>
    <row r="909" customFormat="false" ht="66" hidden="false" customHeight="true" outlineLevel="0" collapsed="false">
      <c r="A909" s="291" t="str">
        <f aca="true">IF(ISNUMBER($J909),INDIRECT("L"&amp;($J909+4)),"")</f>
        <v/>
      </c>
      <c r="B909" s="291" t="str">
        <f aca="true">IF(ISNUMBER($J909),INDIRECT("M"&amp;($J909+4)),"")</f>
        <v/>
      </c>
      <c r="C909" s="296" t="str">
        <f aca="true">IF(ISNUMBER($J909),INDIRECT("N"&amp;($J909+4)),"")</f>
        <v/>
      </c>
      <c r="D909" s="291" t="str">
        <f aca="true">IF(ISNUMBER($J909),INDIRECT("O"&amp;($J909+4)),"")</f>
        <v/>
      </c>
      <c r="E909" s="291" t="str">
        <f aca="true">IF(ISNUMBER($J909),INDIRECT("P"&amp;($J909+4)),"")</f>
        <v/>
      </c>
      <c r="F909" s="300" t="str">
        <f aca="true">IF(ISNUMBER($J909),INDIRECT("Q"&amp;($J909+4)),"")</f>
        <v/>
      </c>
      <c r="G909" s="298" t="str">
        <f aca="true">IF(ISNUMBER($J909),INDIRECT("R"&amp;($J909+4)),"")</f>
        <v/>
      </c>
      <c r="H909" s="298" t="str">
        <f aca="true">IF(ISNUMBER($J909),INDIRECT("S"&amp;($J909+4)),"")</f>
        <v/>
      </c>
      <c r="J909" s="292" t="str">
        <f aca="true">IF(905&lt;=$K$1,MATCH(904.5,INDIRECT("$K$4:$K$1374"),1),"")</f>
        <v/>
      </c>
      <c r="K909" s="292" t="n">
        <f aca="false">$K$900+COUNTIF($Q$901:Q909,"&gt;0")</f>
        <v>0</v>
      </c>
      <c r="L909" s="292" t="str">
        <f aca="false">"Стёкла серии Elephant"&amp;" · "&amp;'Стёкла серии Elephant'!$N$45</f>
        <v>Стёкла серии Elephant · Elephant</v>
      </c>
      <c r="M909" s="292" t="str">
        <f aca="false">IF(ISBLANK('Стёкла серии Elephant'!$O$45),"",'Стёкла серии Elephant'!$O$45)</f>
        <v>Realme x50m</v>
      </c>
      <c r="N909" s="292" t="str">
        <f aca="false">""</f>
        <v/>
      </c>
      <c r="O909" s="292" t="str">
        <f aca="false">""</f>
        <v/>
      </c>
      <c r="P909" s="292" t="str">
        <f aca="false">IF(ISBLANK('Стёкла серии Elephant'!$P$45),"",'Стёкла серии Elephant'!$P$45)</f>
        <v>шт.</v>
      </c>
      <c r="Q909" s="292" t="n">
        <f aca="false">N('Стёкла серии Elephant'!$R$45)</f>
        <v>0</v>
      </c>
      <c r="R909" s="299" t="n">
        <f aca="false">IF(ISBLANK('Стёкла серии Elephant'!$Q$45),"",'Стёкла серии Elephant'!$Q$45)</f>
        <v>122.32</v>
      </c>
      <c r="S909" s="292" t="str">
        <f aca="false">IF(ISBLANK('Стёкла серии Elephant'!$S$45),"",'Стёкла серии Elephant'!$S$45)</f>
        <v/>
      </c>
    </row>
    <row r="910" customFormat="false" ht="66" hidden="false" customHeight="true" outlineLevel="0" collapsed="false">
      <c r="A910" s="291" t="str">
        <f aca="true">IF(ISNUMBER($J910),INDIRECT("L"&amp;($J910+4)),"")</f>
        <v/>
      </c>
      <c r="B910" s="291" t="str">
        <f aca="true">IF(ISNUMBER($J910),INDIRECT("M"&amp;($J910+4)),"")</f>
        <v/>
      </c>
      <c r="C910" s="296" t="str">
        <f aca="true">IF(ISNUMBER($J910),INDIRECT("N"&amp;($J910+4)),"")</f>
        <v/>
      </c>
      <c r="D910" s="291" t="str">
        <f aca="true">IF(ISNUMBER($J910),INDIRECT("O"&amp;($J910+4)),"")</f>
        <v/>
      </c>
      <c r="E910" s="291" t="str">
        <f aca="true">IF(ISNUMBER($J910),INDIRECT("P"&amp;($J910+4)),"")</f>
        <v/>
      </c>
      <c r="F910" s="300" t="str">
        <f aca="true">IF(ISNUMBER($J910),INDIRECT("Q"&amp;($J910+4)),"")</f>
        <v/>
      </c>
      <c r="G910" s="298" t="str">
        <f aca="true">IF(ISNUMBER($J910),INDIRECT("R"&amp;($J910+4)),"")</f>
        <v/>
      </c>
      <c r="H910" s="298" t="str">
        <f aca="true">IF(ISNUMBER($J910),INDIRECT("S"&amp;($J910+4)),"")</f>
        <v/>
      </c>
      <c r="J910" s="292" t="str">
        <f aca="true">IF(906&lt;=$K$1,MATCH(905.5,INDIRECT("$K$4:$K$1374"),1),"")</f>
        <v/>
      </c>
      <c r="K910" s="292" t="n">
        <f aca="false">$K$900+COUNTIF($Q$901:Q910,"&gt;0")</f>
        <v>0</v>
      </c>
      <c r="L910" s="292" t="str">
        <f aca="false">"Стёкла серии Elephant"&amp;" · "&amp;'Стёкла серии Elephant'!$N$46</f>
        <v>Стёкла серии Elephant · Elephant</v>
      </c>
      <c r="M910" s="292" t="str">
        <f aca="false">IF(ISBLANK('Стёкла серии Elephant'!$O$46),"",'Стёкла серии Elephant'!$O$46)</f>
        <v>V17 PRO</v>
      </c>
      <c r="N910" s="292" t="str">
        <f aca="false">""</f>
        <v/>
      </c>
      <c r="O910" s="292" t="str">
        <f aca="false">""</f>
        <v/>
      </c>
      <c r="P910" s="292" t="str">
        <f aca="false">IF(ISBLANK('Стёкла серии Elephant'!$P$46),"",'Стёкла серии Elephant'!$P$46)</f>
        <v>шт.</v>
      </c>
      <c r="Q910" s="292" t="n">
        <f aca="false">N('Стёкла серии Elephant'!$R$46)</f>
        <v>0</v>
      </c>
      <c r="R910" s="299" t="n">
        <f aca="false">IF(ISBLANK('Стёкла серии Elephant'!$Q$46),"",'Стёкла серии Elephant'!$Q$46)</f>
        <v>122.32</v>
      </c>
      <c r="S910" s="292" t="str">
        <f aca="false">IF(ISBLANK('Стёкла серии Elephant'!$S$46),"",'Стёкла серии Elephant'!$S$46)</f>
        <v/>
      </c>
    </row>
    <row r="911" customFormat="false" ht="66" hidden="false" customHeight="true" outlineLevel="0" collapsed="false">
      <c r="A911" s="291" t="str">
        <f aca="true">IF(ISNUMBER($J911),INDIRECT("L"&amp;($J911+4)),"")</f>
        <v/>
      </c>
      <c r="B911" s="291" t="str">
        <f aca="true">IF(ISNUMBER($J911),INDIRECT("M"&amp;($J911+4)),"")</f>
        <v/>
      </c>
      <c r="C911" s="296" t="str">
        <f aca="true">IF(ISNUMBER($J911),INDIRECT("N"&amp;($J911+4)),"")</f>
        <v/>
      </c>
      <c r="D911" s="291" t="str">
        <f aca="true">IF(ISNUMBER($J911),INDIRECT("O"&amp;($J911+4)),"")</f>
        <v/>
      </c>
      <c r="E911" s="291" t="str">
        <f aca="true">IF(ISNUMBER($J911),INDIRECT("P"&amp;($J911+4)),"")</f>
        <v/>
      </c>
      <c r="F911" s="300" t="str">
        <f aca="true">IF(ISNUMBER($J911),INDIRECT("Q"&amp;($J911+4)),"")</f>
        <v/>
      </c>
      <c r="G911" s="298" t="str">
        <f aca="true">IF(ISNUMBER($J911),INDIRECT("R"&amp;($J911+4)),"")</f>
        <v/>
      </c>
      <c r="H911" s="298" t="str">
        <f aca="true">IF(ISNUMBER($J911),INDIRECT("S"&amp;($J911+4)),"")</f>
        <v/>
      </c>
      <c r="J911" s="292" t="str">
        <f aca="true">IF(907&lt;=$K$1,MATCH(906.5,INDIRECT("$K$4:$K$1374"),1),"")</f>
        <v/>
      </c>
      <c r="K911" s="292" t="n">
        <f aca="false">$K$900+COUNTIF($Q$901:Q911,"&gt;0")</f>
        <v>0</v>
      </c>
      <c r="L911" s="292" t="str">
        <f aca="false">"Стёкла серии Elephant"&amp;" · "&amp;'Стёкла серии Elephant'!$N$47</f>
        <v>Стёкла серии Elephant · Elephant</v>
      </c>
      <c r="M911" s="292" t="str">
        <f aca="false">IF(ISBLANK('Стёкла серии Elephant'!$O$47),"",'Стёкла серии Elephant'!$O$47)</f>
        <v>iP Xr（6.1）</v>
      </c>
      <c r="N911" s="292" t="str">
        <f aca="false">""</f>
        <v/>
      </c>
      <c r="O911" s="292" t="str">
        <f aca="false">""</f>
        <v/>
      </c>
      <c r="P911" s="292" t="str">
        <f aca="false">IF(ISBLANK('Стёкла серии Elephant'!$P$47),"",'Стёкла серии Elephant'!$P$47)</f>
        <v>шт.</v>
      </c>
      <c r="Q911" s="292" t="n">
        <f aca="false">N('Стёкла серии Elephant'!$R$47)</f>
        <v>0</v>
      </c>
      <c r="R911" s="299" t="n">
        <f aca="false">IF(ISBLANK('Стёкла серии Elephant'!$Q$47),"",'Стёкла серии Elephant'!$Q$47)</f>
        <v>122.32</v>
      </c>
      <c r="S911" s="292" t="str">
        <f aca="false">IF(ISBLANK('Стёкла серии Elephant'!$S$47),"",'Стёкла серии Elephant'!$S$47)</f>
        <v/>
      </c>
    </row>
    <row r="912" customFormat="false" ht="66" hidden="false" customHeight="true" outlineLevel="0" collapsed="false">
      <c r="A912" s="291" t="str">
        <f aca="true">IF(ISNUMBER($J912),INDIRECT("L"&amp;($J912+4)),"")</f>
        <v/>
      </c>
      <c r="B912" s="291" t="str">
        <f aca="true">IF(ISNUMBER($J912),INDIRECT("M"&amp;($J912+4)),"")</f>
        <v/>
      </c>
      <c r="C912" s="296" t="str">
        <f aca="true">IF(ISNUMBER($J912),INDIRECT("N"&amp;($J912+4)),"")</f>
        <v/>
      </c>
      <c r="D912" s="291" t="str">
        <f aca="true">IF(ISNUMBER($J912),INDIRECT("O"&amp;($J912+4)),"")</f>
        <v/>
      </c>
      <c r="E912" s="291" t="str">
        <f aca="true">IF(ISNUMBER($J912),INDIRECT("P"&amp;($J912+4)),"")</f>
        <v/>
      </c>
      <c r="F912" s="300" t="str">
        <f aca="true">IF(ISNUMBER($J912),INDIRECT("Q"&amp;($J912+4)),"")</f>
        <v/>
      </c>
      <c r="G912" s="298" t="str">
        <f aca="true">IF(ISNUMBER($J912),INDIRECT("R"&amp;($J912+4)),"")</f>
        <v/>
      </c>
      <c r="H912" s="298" t="str">
        <f aca="true">IF(ISNUMBER($J912),INDIRECT("S"&amp;($J912+4)),"")</f>
        <v/>
      </c>
      <c r="J912" s="292" t="str">
        <f aca="true">IF(908&lt;=$K$1,MATCH(907.5,INDIRECT("$K$4:$K$1374"),1),"")</f>
        <v/>
      </c>
      <c r="K912" s="292" t="n">
        <f aca="false">$K$900+COUNTIF($Q$901:Q912,"&gt;0")</f>
        <v>0</v>
      </c>
      <c r="L912" s="292" t="str">
        <f aca="false">"Стёкла серии Elephant"&amp;" · "&amp;'Стёкла серии Elephant'!$N$48</f>
        <v>Стёкла серии Elephant · Elephant</v>
      </c>
      <c r="M912" s="292" t="str">
        <f aca="false">IF(ISBLANK('Стёкла серии Elephant'!$O$48),"",'Стёкла серии Elephant'!$O$48)</f>
        <v>P40 LITE (5G)</v>
      </c>
      <c r="N912" s="292" t="str">
        <f aca="false">""</f>
        <v/>
      </c>
      <c r="O912" s="292" t="str">
        <f aca="false">""</f>
        <v/>
      </c>
      <c r="P912" s="292" t="str">
        <f aca="false">IF(ISBLANK('Стёкла серии Elephant'!$P$48),"",'Стёкла серии Elephant'!$P$48)</f>
        <v>шт.</v>
      </c>
      <c r="Q912" s="292" t="n">
        <f aca="false">N('Стёкла серии Elephant'!$R$48)</f>
        <v>0</v>
      </c>
      <c r="R912" s="299" t="n">
        <f aca="false">IF(ISBLANK('Стёкла серии Elephant'!$Q$48),"",'Стёкла серии Elephant'!$Q$48)</f>
        <v>122.32</v>
      </c>
      <c r="S912" s="292" t="str">
        <f aca="false">IF(ISBLANK('Стёкла серии Elephant'!$S$48),"",'Стёкла серии Elephant'!$S$48)</f>
        <v/>
      </c>
    </row>
    <row r="913" customFormat="false" ht="66" hidden="false" customHeight="true" outlineLevel="0" collapsed="false">
      <c r="A913" s="291" t="str">
        <f aca="true">IF(ISNUMBER($J913),INDIRECT("L"&amp;($J913+4)),"")</f>
        <v/>
      </c>
      <c r="B913" s="291" t="str">
        <f aca="true">IF(ISNUMBER($J913),INDIRECT("M"&amp;($J913+4)),"")</f>
        <v/>
      </c>
      <c r="C913" s="296" t="str">
        <f aca="true">IF(ISNUMBER($J913),INDIRECT("N"&amp;($J913+4)),"")</f>
        <v/>
      </c>
      <c r="D913" s="291" t="str">
        <f aca="true">IF(ISNUMBER($J913),INDIRECT("O"&amp;($J913+4)),"")</f>
        <v/>
      </c>
      <c r="E913" s="291" t="str">
        <f aca="true">IF(ISNUMBER($J913),INDIRECT("P"&amp;($J913+4)),"")</f>
        <v/>
      </c>
      <c r="F913" s="300" t="str">
        <f aca="true">IF(ISNUMBER($J913),INDIRECT("Q"&amp;($J913+4)),"")</f>
        <v/>
      </c>
      <c r="G913" s="298" t="str">
        <f aca="true">IF(ISNUMBER($J913),INDIRECT("R"&amp;($J913+4)),"")</f>
        <v/>
      </c>
      <c r="H913" s="298" t="str">
        <f aca="true">IF(ISNUMBER($J913),INDIRECT("S"&amp;($J913+4)),"")</f>
        <v/>
      </c>
      <c r="J913" s="292" t="str">
        <f aca="true">IF(909&lt;=$K$1,MATCH(908.5,INDIRECT("$K$4:$K$1374"),1),"")</f>
        <v/>
      </c>
      <c r="K913" s="292" t="n">
        <f aca="false">$K$900+COUNTIF($Q$901:Q913,"&gt;0")</f>
        <v>0</v>
      </c>
      <c r="L913" s="292" t="str">
        <f aca="false">"Стёкла серии Elephant"&amp;" · "&amp;'Стёкла серии Elephant'!$N$49</f>
        <v>Стёкла серии Elephant · Elephant</v>
      </c>
      <c r="M913" s="292" t="str">
        <f aca="false">IF(ISBLANK('Стёкла серии Elephant'!$O$49),"",'Стёкла серии Elephant'!$O$49)</f>
        <v>Enjoy9E/A5S</v>
      </c>
      <c r="N913" s="292" t="str">
        <f aca="false">""</f>
        <v/>
      </c>
      <c r="O913" s="292" t="str">
        <f aca="false">""</f>
        <v/>
      </c>
      <c r="P913" s="292" t="str">
        <f aca="false">IF(ISBLANK('Стёкла серии Elephant'!$P$49),"",'Стёкла серии Elephant'!$P$49)</f>
        <v>шт.</v>
      </c>
      <c r="Q913" s="292" t="n">
        <f aca="false">N('Стёкла серии Elephant'!$R$49)</f>
        <v>0</v>
      </c>
      <c r="R913" s="299" t="n">
        <f aca="false">IF(ISBLANK('Стёкла серии Elephant'!$Q$49),"",'Стёкла серии Elephant'!$Q$49)</f>
        <v>122.32</v>
      </c>
      <c r="S913" s="292" t="str">
        <f aca="false">IF(ISBLANK('Стёкла серии Elephant'!$S$49),"",'Стёкла серии Elephant'!$S$49)</f>
        <v/>
      </c>
    </row>
    <row r="914" customFormat="false" ht="66" hidden="false" customHeight="true" outlineLevel="0" collapsed="false">
      <c r="A914" s="291" t="str">
        <f aca="true">IF(ISNUMBER($J914),INDIRECT("L"&amp;($J914+4)),"")</f>
        <v/>
      </c>
      <c r="B914" s="291" t="str">
        <f aca="true">IF(ISNUMBER($J914),INDIRECT("M"&amp;($J914+4)),"")</f>
        <v/>
      </c>
      <c r="C914" s="296" t="str">
        <f aca="true">IF(ISNUMBER($J914),INDIRECT("N"&amp;($J914+4)),"")</f>
        <v/>
      </c>
      <c r="D914" s="291" t="str">
        <f aca="true">IF(ISNUMBER($J914),INDIRECT("O"&amp;($J914+4)),"")</f>
        <v/>
      </c>
      <c r="E914" s="291" t="str">
        <f aca="true">IF(ISNUMBER($J914),INDIRECT("P"&amp;($J914+4)),"")</f>
        <v/>
      </c>
      <c r="F914" s="300" t="str">
        <f aca="true">IF(ISNUMBER($J914),INDIRECT("Q"&amp;($J914+4)),"")</f>
        <v/>
      </c>
      <c r="G914" s="298" t="str">
        <f aca="true">IF(ISNUMBER($J914),INDIRECT("R"&amp;($J914+4)),"")</f>
        <v/>
      </c>
      <c r="H914" s="298" t="str">
        <f aca="true">IF(ISNUMBER($J914),INDIRECT("S"&amp;($J914+4)),"")</f>
        <v/>
      </c>
      <c r="J914" s="292" t="str">
        <f aca="true">IF(910&lt;=$K$1,MATCH(909.5,INDIRECT("$K$4:$K$1374"),1),"")</f>
        <v/>
      </c>
      <c r="K914" s="292" t="n">
        <f aca="false">$K$900+COUNTIF($Q$901:Q914,"&gt;0")</f>
        <v>0</v>
      </c>
      <c r="L914" s="292" t="str">
        <f aca="false">"Стёкла серии Elephant"&amp;" · "&amp;'Стёкла серии Elephant'!$N$50</f>
        <v>Стёкла серии Elephant · Elephant</v>
      </c>
      <c r="M914" s="292" t="str">
        <f aca="false">IF(ISBLANK('Стёкла серии Elephant'!$O$50),"",'Стёкла серии Elephant'!$O$50)</f>
        <v>Redmi Note8</v>
      </c>
      <c r="N914" s="292" t="str">
        <f aca="false">""</f>
        <v/>
      </c>
      <c r="O914" s="292" t="str">
        <f aca="false">""</f>
        <v/>
      </c>
      <c r="P914" s="292" t="str">
        <f aca="false">IF(ISBLANK('Стёкла серии Elephant'!$P$50),"",'Стёкла серии Elephant'!$P$50)</f>
        <v>шт.</v>
      </c>
      <c r="Q914" s="292" t="n">
        <f aca="false">N('Стёкла серии Elephant'!$R$50)</f>
        <v>0</v>
      </c>
      <c r="R914" s="299" t="n">
        <f aca="false">IF(ISBLANK('Стёкла серии Elephant'!$Q$50),"",'Стёкла серии Elephant'!$Q$50)</f>
        <v>122.32</v>
      </c>
      <c r="S914" s="292" t="str">
        <f aca="false">IF(ISBLANK('Стёкла серии Elephant'!$S$50),"",'Стёкла серии Elephant'!$S$50)</f>
        <v/>
      </c>
    </row>
    <row r="915" customFormat="false" ht="66" hidden="false" customHeight="true" outlineLevel="0" collapsed="false">
      <c r="A915" s="291" t="str">
        <f aca="true">IF(ISNUMBER($J915),INDIRECT("L"&amp;($J915+4)),"")</f>
        <v/>
      </c>
      <c r="B915" s="291" t="str">
        <f aca="true">IF(ISNUMBER($J915),INDIRECT("M"&amp;($J915+4)),"")</f>
        <v/>
      </c>
      <c r="C915" s="296" t="str">
        <f aca="true">IF(ISNUMBER($J915),INDIRECT("N"&amp;($J915+4)),"")</f>
        <v/>
      </c>
      <c r="D915" s="291" t="str">
        <f aca="true">IF(ISNUMBER($J915),INDIRECT("O"&amp;($J915+4)),"")</f>
        <v/>
      </c>
      <c r="E915" s="291" t="str">
        <f aca="true">IF(ISNUMBER($J915),INDIRECT("P"&amp;($J915+4)),"")</f>
        <v/>
      </c>
      <c r="F915" s="300" t="str">
        <f aca="true">IF(ISNUMBER($J915),INDIRECT("Q"&amp;($J915+4)),"")</f>
        <v/>
      </c>
      <c r="G915" s="298" t="str">
        <f aca="true">IF(ISNUMBER($J915),INDIRECT("R"&amp;($J915+4)),"")</f>
        <v/>
      </c>
      <c r="H915" s="298" t="str">
        <f aca="true">IF(ISNUMBER($J915),INDIRECT("S"&amp;($J915+4)),"")</f>
        <v/>
      </c>
      <c r="J915" s="292" t="str">
        <f aca="true">IF(911&lt;=$K$1,MATCH(910.5,INDIRECT("$K$4:$K$1374"),1),"")</f>
        <v/>
      </c>
      <c r="K915" s="292" t="n">
        <f aca="false">$K$900+COUNTIF($Q$901:Q915,"&gt;0")</f>
        <v>0</v>
      </c>
      <c r="L915" s="292" t="str">
        <f aca="false">"Стёкла серии Elephant"&amp;" · "&amp;'Стёкла серии Elephant'!$N$51</f>
        <v>Стёкла серии Elephant · Elephant</v>
      </c>
      <c r="M915" s="292" t="str">
        <f aca="false">IF(ISBLANK('Стёкла серии Elephant'!$O$51),"",'Стёкла серии Elephant'!$O$51)</f>
        <v>Mi A3</v>
      </c>
      <c r="N915" s="292" t="str">
        <f aca="false">""</f>
        <v/>
      </c>
      <c r="O915" s="292" t="str">
        <f aca="false">""</f>
        <v/>
      </c>
      <c r="P915" s="292" t="str">
        <f aca="false">IF(ISBLANK('Стёкла серии Elephant'!$P$51),"",'Стёкла серии Elephant'!$P$51)</f>
        <v>шт.</v>
      </c>
      <c r="Q915" s="292" t="n">
        <f aca="false">N('Стёкла серии Elephant'!$R$51)</f>
        <v>0</v>
      </c>
      <c r="R915" s="299" t="n">
        <f aca="false">IF(ISBLANK('Стёкла серии Elephant'!$Q$51),"",'Стёкла серии Elephant'!$Q$51)</f>
        <v>122.32</v>
      </c>
      <c r="S915" s="292" t="str">
        <f aca="false">IF(ISBLANK('Стёкла серии Elephant'!$S$51),"",'Стёкла серии Elephant'!$S$51)</f>
        <v/>
      </c>
    </row>
    <row r="916" customFormat="false" ht="66" hidden="false" customHeight="true" outlineLevel="0" collapsed="false">
      <c r="A916" s="291" t="str">
        <f aca="true">IF(ISNUMBER($J916),INDIRECT("L"&amp;($J916+4)),"")</f>
        <v/>
      </c>
      <c r="B916" s="291" t="str">
        <f aca="true">IF(ISNUMBER($J916),INDIRECT("M"&amp;($J916+4)),"")</f>
        <v/>
      </c>
      <c r="C916" s="296" t="str">
        <f aca="true">IF(ISNUMBER($J916),INDIRECT("N"&amp;($J916+4)),"")</f>
        <v/>
      </c>
      <c r="D916" s="291" t="str">
        <f aca="true">IF(ISNUMBER($J916),INDIRECT("O"&amp;($J916+4)),"")</f>
        <v/>
      </c>
      <c r="E916" s="291" t="str">
        <f aca="true">IF(ISNUMBER($J916),INDIRECT("P"&amp;($J916+4)),"")</f>
        <v/>
      </c>
      <c r="F916" s="300" t="str">
        <f aca="true">IF(ISNUMBER($J916),INDIRECT("Q"&amp;($J916+4)),"")</f>
        <v/>
      </c>
      <c r="G916" s="298" t="str">
        <f aca="true">IF(ISNUMBER($J916),INDIRECT("R"&amp;($J916+4)),"")</f>
        <v/>
      </c>
      <c r="H916" s="298" t="str">
        <f aca="true">IF(ISNUMBER($J916),INDIRECT("S"&amp;($J916+4)),"")</f>
        <v/>
      </c>
      <c r="J916" s="292" t="str">
        <f aca="true">IF(912&lt;=$K$1,MATCH(911.5,INDIRECT("$K$4:$K$1374"),1),"")</f>
        <v/>
      </c>
      <c r="K916" s="292" t="n">
        <f aca="false">$K$900+COUNTIF($Q$901:Q916,"&gt;0")</f>
        <v>0</v>
      </c>
      <c r="L916" s="292" t="str">
        <f aca="false">"Стёкла серии Elephant"&amp;" · "&amp;'Стёкла серии Elephant'!$N$52</f>
        <v>Стёкла серии Elephant · Elephant</v>
      </c>
      <c r="M916" s="292" t="str">
        <f aca="false">IF(ISBLANK('Стёкла серии Elephant'!$O$52),"",'Стёкла серии Elephant'!$O$52)</f>
        <v>J4 Core</v>
      </c>
      <c r="N916" s="292" t="str">
        <f aca="false">""</f>
        <v/>
      </c>
      <c r="O916" s="292" t="str">
        <f aca="false">""</f>
        <v/>
      </c>
      <c r="P916" s="292" t="str">
        <f aca="false">IF(ISBLANK('Стёкла серии Elephant'!$P$52),"",'Стёкла серии Elephant'!$P$52)</f>
        <v>шт.</v>
      </c>
      <c r="Q916" s="292" t="n">
        <f aca="false">N('Стёкла серии Elephant'!$R$52)</f>
        <v>0</v>
      </c>
      <c r="R916" s="299" t="n">
        <f aca="false">IF(ISBLANK('Стёкла серии Elephant'!$Q$52),"",'Стёкла серии Elephant'!$Q$52)</f>
        <v>122.32</v>
      </c>
      <c r="S916" s="292" t="str">
        <f aca="false">IF(ISBLANK('Стёкла серии Elephant'!$S$52),"",'Стёкла серии Elephant'!$S$52)</f>
        <v/>
      </c>
    </row>
    <row r="917" customFormat="false" ht="66" hidden="false" customHeight="true" outlineLevel="0" collapsed="false">
      <c r="A917" s="291" t="str">
        <f aca="true">IF(ISNUMBER($J917),INDIRECT("L"&amp;($J917+4)),"")</f>
        <v/>
      </c>
      <c r="B917" s="291" t="str">
        <f aca="true">IF(ISNUMBER($J917),INDIRECT("M"&amp;($J917+4)),"")</f>
        <v/>
      </c>
      <c r="C917" s="296" t="str">
        <f aca="true">IF(ISNUMBER($J917),INDIRECT("N"&amp;($J917+4)),"")</f>
        <v/>
      </c>
      <c r="D917" s="291" t="str">
        <f aca="true">IF(ISNUMBER($J917),INDIRECT("O"&amp;($J917+4)),"")</f>
        <v/>
      </c>
      <c r="E917" s="291" t="str">
        <f aca="true">IF(ISNUMBER($J917),INDIRECT("P"&amp;($J917+4)),"")</f>
        <v/>
      </c>
      <c r="F917" s="300" t="str">
        <f aca="true">IF(ISNUMBER($J917),INDIRECT("Q"&amp;($J917+4)),"")</f>
        <v/>
      </c>
      <c r="G917" s="298" t="str">
        <f aca="true">IF(ISNUMBER($J917),INDIRECT("R"&amp;($J917+4)),"")</f>
        <v/>
      </c>
      <c r="H917" s="298" t="str">
        <f aca="true">IF(ISNUMBER($J917),INDIRECT("S"&amp;($J917+4)),"")</f>
        <v/>
      </c>
      <c r="J917" s="292" t="str">
        <f aca="true">IF(913&lt;=$K$1,MATCH(912.5,INDIRECT("$K$4:$K$1374"),1),"")</f>
        <v/>
      </c>
      <c r="K917" s="292" t="n">
        <f aca="false">$K$900+COUNTIF($Q$901:Q917,"&gt;0")</f>
        <v>0</v>
      </c>
      <c r="L917" s="292" t="str">
        <f aca="false">"Стёкла серии Elephant"&amp;" · "&amp;'Стёкла серии Elephant'!$N$53</f>
        <v>Стёкла серии Elephant · Elephant</v>
      </c>
      <c r="M917" s="292" t="str">
        <f aca="false">IF(ISBLANK('Стёкла серии Elephant'!$O$53),"",'Стёкла серии Elephant'!$O$53)</f>
        <v>A12/M12/F12</v>
      </c>
      <c r="N917" s="292" t="str">
        <f aca="false">""</f>
        <v/>
      </c>
      <c r="O917" s="292" t="str">
        <f aca="false">""</f>
        <v/>
      </c>
      <c r="P917" s="292" t="str">
        <f aca="false">IF(ISBLANK('Стёкла серии Elephant'!$P$53),"",'Стёкла серии Elephant'!$P$53)</f>
        <v>шт.</v>
      </c>
      <c r="Q917" s="292" t="n">
        <f aca="false">N('Стёкла серии Elephant'!$R$53)</f>
        <v>0</v>
      </c>
      <c r="R917" s="299" t="n">
        <f aca="false">IF(ISBLANK('Стёкла серии Elephant'!$Q$53),"",'Стёкла серии Elephant'!$Q$53)</f>
        <v>122.32</v>
      </c>
      <c r="S917" s="292" t="str">
        <f aca="false">IF(ISBLANK('Стёкла серии Elephant'!$S$53),"",'Стёкла серии Elephant'!$S$53)</f>
        <v/>
      </c>
    </row>
    <row r="918" customFormat="false" ht="66" hidden="false" customHeight="true" outlineLevel="0" collapsed="false">
      <c r="A918" s="291" t="str">
        <f aca="true">IF(ISNUMBER($J918),INDIRECT("L"&amp;($J918+4)),"")</f>
        <v/>
      </c>
      <c r="B918" s="291" t="str">
        <f aca="true">IF(ISNUMBER($J918),INDIRECT("M"&amp;($J918+4)),"")</f>
        <v/>
      </c>
      <c r="C918" s="296" t="str">
        <f aca="true">IF(ISNUMBER($J918),INDIRECT("N"&amp;($J918+4)),"")</f>
        <v/>
      </c>
      <c r="D918" s="291" t="str">
        <f aca="true">IF(ISNUMBER($J918),INDIRECT("O"&amp;($J918+4)),"")</f>
        <v/>
      </c>
      <c r="E918" s="291" t="str">
        <f aca="true">IF(ISNUMBER($J918),INDIRECT("P"&amp;($J918+4)),"")</f>
        <v/>
      </c>
      <c r="F918" s="300" t="str">
        <f aca="true">IF(ISNUMBER($J918),INDIRECT("Q"&amp;($J918+4)),"")</f>
        <v/>
      </c>
      <c r="G918" s="298" t="str">
        <f aca="true">IF(ISNUMBER($J918),INDIRECT("R"&amp;($J918+4)),"")</f>
        <v/>
      </c>
      <c r="H918" s="298" t="str">
        <f aca="true">IF(ISNUMBER($J918),INDIRECT("S"&amp;($J918+4)),"")</f>
        <v/>
      </c>
      <c r="J918" s="292" t="str">
        <f aca="true">IF(914&lt;=$K$1,MATCH(913.5,INDIRECT("$K$4:$K$1374"),1),"")</f>
        <v/>
      </c>
      <c r="K918" s="292" t="n">
        <f aca="false">$K$900+COUNTIF($Q$901:Q918,"&gt;0")</f>
        <v>0</v>
      </c>
      <c r="L918" s="292" t="str">
        <f aca="false">"Стёкла серии Elephant"&amp;" · "&amp;'Стёкла серии Elephant'!$N$54</f>
        <v>Стёкла серии Elephant · Elephant</v>
      </c>
      <c r="M918" s="292" t="str">
        <f aca="false">IF(ISBLANK('Стёкла серии Elephant'!$O$54),"",'Стёкла серии Elephant'!$O$54)</f>
        <v>F5/A73/A75</v>
      </c>
      <c r="N918" s="292" t="str">
        <f aca="false">""</f>
        <v/>
      </c>
      <c r="O918" s="292" t="str">
        <f aca="false">""</f>
        <v/>
      </c>
      <c r="P918" s="292" t="str">
        <f aca="false">IF(ISBLANK('Стёкла серии Elephant'!$P$54),"",'Стёкла серии Elephant'!$P$54)</f>
        <v>шт.</v>
      </c>
      <c r="Q918" s="292" t="n">
        <f aca="false">N('Стёкла серии Elephant'!$R$54)</f>
        <v>0</v>
      </c>
      <c r="R918" s="299" t="n">
        <f aca="false">IF(ISBLANK('Стёкла серии Elephant'!$Q$54),"",'Стёкла серии Elephant'!$Q$54)</f>
        <v>122.32</v>
      </c>
      <c r="S918" s="292" t="str">
        <f aca="false">IF(ISBLANK('Стёкла серии Elephant'!$S$54),"",'Стёкла серии Elephant'!$S$54)</f>
        <v/>
      </c>
    </row>
    <row r="919" customFormat="false" ht="66" hidden="false" customHeight="true" outlineLevel="0" collapsed="false">
      <c r="A919" s="291" t="str">
        <f aca="true">IF(ISNUMBER($J919),INDIRECT("L"&amp;($J919+4)),"")</f>
        <v/>
      </c>
      <c r="B919" s="291" t="str">
        <f aca="true">IF(ISNUMBER($J919),INDIRECT("M"&amp;($J919+4)),"")</f>
        <v/>
      </c>
      <c r="C919" s="296" t="str">
        <f aca="true">IF(ISNUMBER($J919),INDIRECT("N"&amp;($J919+4)),"")</f>
        <v/>
      </c>
      <c r="D919" s="291" t="str">
        <f aca="true">IF(ISNUMBER($J919),INDIRECT("O"&amp;($J919+4)),"")</f>
        <v/>
      </c>
      <c r="E919" s="291" t="str">
        <f aca="true">IF(ISNUMBER($J919),INDIRECT("P"&amp;($J919+4)),"")</f>
        <v/>
      </c>
      <c r="F919" s="300" t="str">
        <f aca="true">IF(ISNUMBER($J919),INDIRECT("Q"&amp;($J919+4)),"")</f>
        <v/>
      </c>
      <c r="G919" s="298" t="str">
        <f aca="true">IF(ISNUMBER($J919),INDIRECT("R"&amp;($J919+4)),"")</f>
        <v/>
      </c>
      <c r="H919" s="298" t="str">
        <f aca="true">IF(ISNUMBER($J919),INDIRECT("S"&amp;($J919+4)),"")</f>
        <v/>
      </c>
      <c r="J919" s="292" t="str">
        <f aca="true">IF(915&lt;=$K$1,MATCH(914.5,INDIRECT("$K$4:$K$1374"),1),"")</f>
        <v/>
      </c>
      <c r="K919" s="292" t="n">
        <f aca="false">$K$900+COUNTIF($Q$901:Q919,"&gt;0")</f>
        <v>0</v>
      </c>
      <c r="L919" s="292" t="str">
        <f aca="false">"Стёкла серии Elephant"&amp;" · "&amp;'Стёкла серии Elephant'!$N$55</f>
        <v>Стёкла серии Elephant · Elephant</v>
      </c>
      <c r="M919" s="292" t="str">
        <f aca="false">IF(ISBLANK('Стёкла серии Elephant'!$O$55),"",'Стёкла серии Elephant'!$O$55)</f>
        <v>Realme x50</v>
      </c>
      <c r="N919" s="292" t="str">
        <f aca="false">""</f>
        <v/>
      </c>
      <c r="O919" s="292" t="str">
        <f aca="false">""</f>
        <v/>
      </c>
      <c r="P919" s="292" t="str">
        <f aca="false">IF(ISBLANK('Стёкла серии Elephant'!$P$55),"",'Стёкла серии Elephant'!$P$55)</f>
        <v>шт.</v>
      </c>
      <c r="Q919" s="292" t="n">
        <f aca="false">N('Стёкла серии Elephant'!$R$55)</f>
        <v>0</v>
      </c>
      <c r="R919" s="299" t="n">
        <f aca="false">IF(ISBLANK('Стёкла серии Elephant'!$Q$55),"",'Стёкла серии Elephant'!$Q$55)</f>
        <v>122.32</v>
      </c>
      <c r="S919" s="292" t="str">
        <f aca="false">IF(ISBLANK('Стёкла серии Elephant'!$S$55),"",'Стёкла серии Elephant'!$S$55)</f>
        <v/>
      </c>
    </row>
    <row r="920" customFormat="false" ht="66" hidden="false" customHeight="true" outlineLevel="0" collapsed="false">
      <c r="A920" s="291" t="str">
        <f aca="true">IF(ISNUMBER($J920),INDIRECT("L"&amp;($J920+4)),"")</f>
        <v/>
      </c>
      <c r="B920" s="291" t="str">
        <f aca="true">IF(ISNUMBER($J920),INDIRECT("M"&amp;($J920+4)),"")</f>
        <v/>
      </c>
      <c r="C920" s="296" t="str">
        <f aca="true">IF(ISNUMBER($J920),INDIRECT("N"&amp;($J920+4)),"")</f>
        <v/>
      </c>
      <c r="D920" s="291" t="str">
        <f aca="true">IF(ISNUMBER($J920),INDIRECT("O"&amp;($J920+4)),"")</f>
        <v/>
      </c>
      <c r="E920" s="291" t="str">
        <f aca="true">IF(ISNUMBER($J920),INDIRECT("P"&amp;($J920+4)),"")</f>
        <v/>
      </c>
      <c r="F920" s="300" t="str">
        <f aca="true">IF(ISNUMBER($J920),INDIRECT("Q"&amp;($J920+4)),"")</f>
        <v/>
      </c>
      <c r="G920" s="298" t="str">
        <f aca="true">IF(ISNUMBER($J920),INDIRECT("R"&amp;($J920+4)),"")</f>
        <v/>
      </c>
      <c r="H920" s="298" t="str">
        <f aca="true">IF(ISNUMBER($J920),INDIRECT("S"&amp;($J920+4)),"")</f>
        <v/>
      </c>
      <c r="J920" s="292" t="str">
        <f aca="true">IF(916&lt;=$K$1,MATCH(915.5,INDIRECT("$K$4:$K$1374"),1),"")</f>
        <v/>
      </c>
      <c r="K920" s="292" t="n">
        <f aca="false">$K$900+COUNTIF($Q$901:Q920,"&gt;0")</f>
        <v>0</v>
      </c>
      <c r="L920" s="292" t="str">
        <f aca="false">"Стёкла серии Elephant"&amp;" · "&amp;'Стёкла серии Elephant'!$N$56</f>
        <v>Стёкла серии Elephant · Elephant</v>
      </c>
      <c r="M920" s="292" t="str">
        <f aca="false">IF(ISBLANK('Стёкла серии Elephant'!$O$56),"",'Стёкла серии Elephant'!$O$56)</f>
        <v>V17</v>
      </c>
      <c r="N920" s="292" t="str">
        <f aca="false">""</f>
        <v/>
      </c>
      <c r="O920" s="292" t="str">
        <f aca="false">""</f>
        <v/>
      </c>
      <c r="P920" s="292" t="str">
        <f aca="false">IF(ISBLANK('Стёкла серии Elephant'!$P$56),"",'Стёкла серии Elephant'!$P$56)</f>
        <v>шт.</v>
      </c>
      <c r="Q920" s="292" t="n">
        <f aca="false">N('Стёкла серии Elephant'!$R$56)</f>
        <v>0</v>
      </c>
      <c r="R920" s="299" t="n">
        <f aca="false">IF(ISBLANK('Стёкла серии Elephant'!$Q$56),"",'Стёкла серии Elephant'!$Q$56)</f>
        <v>122.32</v>
      </c>
      <c r="S920" s="292" t="str">
        <f aca="false">IF(ISBLANK('Стёкла серии Elephant'!$S$56),"",'Стёкла серии Elephant'!$S$56)</f>
        <v/>
      </c>
    </row>
    <row r="921" customFormat="false" ht="66" hidden="false" customHeight="true" outlineLevel="0" collapsed="false">
      <c r="A921" s="291" t="str">
        <f aca="true">IF(ISNUMBER($J921),INDIRECT("L"&amp;($J921+4)),"")</f>
        <v/>
      </c>
      <c r="B921" s="291" t="str">
        <f aca="true">IF(ISNUMBER($J921),INDIRECT("M"&amp;($J921+4)),"")</f>
        <v/>
      </c>
      <c r="C921" s="296" t="str">
        <f aca="true">IF(ISNUMBER($J921),INDIRECT("N"&amp;($J921+4)),"")</f>
        <v/>
      </c>
      <c r="D921" s="291" t="str">
        <f aca="true">IF(ISNUMBER($J921),INDIRECT("O"&amp;($J921+4)),"")</f>
        <v/>
      </c>
      <c r="E921" s="291" t="str">
        <f aca="true">IF(ISNUMBER($J921),INDIRECT("P"&amp;($J921+4)),"")</f>
        <v/>
      </c>
      <c r="F921" s="300" t="str">
        <f aca="true">IF(ISNUMBER($J921),INDIRECT("Q"&amp;($J921+4)),"")</f>
        <v/>
      </c>
      <c r="G921" s="298" t="str">
        <f aca="true">IF(ISNUMBER($J921),INDIRECT("R"&amp;($J921+4)),"")</f>
        <v/>
      </c>
      <c r="H921" s="298" t="str">
        <f aca="true">IF(ISNUMBER($J921),INDIRECT("S"&amp;($J921+4)),"")</f>
        <v/>
      </c>
      <c r="J921" s="292" t="str">
        <f aca="true">IF(917&lt;=$K$1,MATCH(916.5,INDIRECT("$K$4:$K$1374"),1),"")</f>
        <v/>
      </c>
      <c r="K921" s="292" t="n">
        <f aca="false">$K$900+COUNTIF($Q$901:Q921,"&gt;0")</f>
        <v>0</v>
      </c>
      <c r="L921" s="292" t="str">
        <f aca="false">"Стёкла серии Elephant"&amp;" · "&amp;'Стёкла серии Elephant'!$N$57</f>
        <v>Стёкла серии Elephant · Elephant</v>
      </c>
      <c r="M921" s="292" t="str">
        <f aca="false">IF(ISBLANK('Стёкла серии Elephant'!$O$57),"",'Стёкла серии Elephant'!$O$57)</f>
        <v>iP Xs Max（6.5）</v>
      </c>
      <c r="N921" s="292" t="str">
        <f aca="false">""</f>
        <v/>
      </c>
      <c r="O921" s="292" t="str">
        <f aca="false">""</f>
        <v/>
      </c>
      <c r="P921" s="292" t="str">
        <f aca="false">IF(ISBLANK('Стёкла серии Elephant'!$P$57),"",'Стёкла серии Elephant'!$P$57)</f>
        <v>шт.</v>
      </c>
      <c r="Q921" s="292" t="n">
        <f aca="false">N('Стёкла серии Elephant'!$R$57)</f>
        <v>0</v>
      </c>
      <c r="R921" s="299" t="n">
        <f aca="false">IF(ISBLANK('Стёкла серии Elephant'!$Q$57),"",'Стёкла серии Elephant'!$Q$57)</f>
        <v>122.32</v>
      </c>
      <c r="S921" s="292" t="str">
        <f aca="false">IF(ISBLANK('Стёкла серии Elephant'!$S$57),"",'Стёкла серии Elephant'!$S$57)</f>
        <v/>
      </c>
    </row>
    <row r="922" customFormat="false" ht="66" hidden="false" customHeight="true" outlineLevel="0" collapsed="false">
      <c r="A922" s="291" t="str">
        <f aca="true">IF(ISNUMBER($J922),INDIRECT("L"&amp;($J922+4)),"")</f>
        <v/>
      </c>
      <c r="B922" s="291" t="str">
        <f aca="true">IF(ISNUMBER($J922),INDIRECT("M"&amp;($J922+4)),"")</f>
        <v/>
      </c>
      <c r="C922" s="296" t="str">
        <f aca="true">IF(ISNUMBER($J922),INDIRECT("N"&amp;($J922+4)),"")</f>
        <v/>
      </c>
      <c r="D922" s="291" t="str">
        <f aca="true">IF(ISNUMBER($J922),INDIRECT("O"&amp;($J922+4)),"")</f>
        <v/>
      </c>
      <c r="E922" s="291" t="str">
        <f aca="true">IF(ISNUMBER($J922),INDIRECT("P"&amp;($J922+4)),"")</f>
        <v/>
      </c>
      <c r="F922" s="300" t="str">
        <f aca="true">IF(ISNUMBER($J922),INDIRECT("Q"&amp;($J922+4)),"")</f>
        <v/>
      </c>
      <c r="G922" s="298" t="str">
        <f aca="true">IF(ISNUMBER($J922),INDIRECT("R"&amp;($J922+4)),"")</f>
        <v/>
      </c>
      <c r="H922" s="298" t="str">
        <f aca="true">IF(ISNUMBER($J922),INDIRECT("S"&amp;($J922+4)),"")</f>
        <v/>
      </c>
      <c r="J922" s="292" t="str">
        <f aca="true">IF(918&lt;=$K$1,MATCH(917.5,INDIRECT("$K$4:$K$1374"),1),"")</f>
        <v/>
      </c>
      <c r="K922" s="292" t="n">
        <f aca="false">$K$900+COUNTIF($Q$901:Q922,"&gt;0")</f>
        <v>0</v>
      </c>
      <c r="L922" s="292" t="str">
        <f aca="false">"Стёкла серии Elephant"&amp;" · "&amp;'Стёкла серии Elephant'!$N$58</f>
        <v>Стёкла серии Elephant · Elephant</v>
      </c>
      <c r="M922" s="292" t="str">
        <f aca="false">IF(ISBLANK('Стёкла серии Elephant'!$O$58),"",'Стёкла серии Elephant'!$O$58)</f>
        <v>P40 LITE E/Y7P</v>
      </c>
      <c r="N922" s="292" t="str">
        <f aca="false">""</f>
        <v/>
      </c>
      <c r="O922" s="292" t="str">
        <f aca="false">""</f>
        <v/>
      </c>
      <c r="P922" s="292" t="str">
        <f aca="false">IF(ISBLANK('Стёкла серии Elephant'!$P$58),"",'Стёкла серии Elephant'!$P$58)</f>
        <v>шт.</v>
      </c>
      <c r="Q922" s="292" t="n">
        <f aca="false">N('Стёкла серии Elephant'!$R$58)</f>
        <v>0</v>
      </c>
      <c r="R922" s="299" t="n">
        <f aca="false">IF(ISBLANK('Стёкла серии Elephant'!$Q$58),"",'Стёкла серии Elephant'!$Q$58)</f>
        <v>122.32</v>
      </c>
      <c r="S922" s="292" t="str">
        <f aca="false">IF(ISBLANK('Стёкла серии Elephant'!$S$58),"",'Стёкла серии Elephant'!$S$58)</f>
        <v/>
      </c>
    </row>
    <row r="923" customFormat="false" ht="66" hidden="false" customHeight="true" outlineLevel="0" collapsed="false">
      <c r="A923" s="291" t="str">
        <f aca="true">IF(ISNUMBER($J923),INDIRECT("L"&amp;($J923+4)),"")</f>
        <v/>
      </c>
      <c r="B923" s="291" t="str">
        <f aca="true">IF(ISNUMBER($J923),INDIRECT("M"&amp;($J923+4)),"")</f>
        <v/>
      </c>
      <c r="C923" s="296" t="str">
        <f aca="true">IF(ISNUMBER($J923),INDIRECT("N"&amp;($J923+4)),"")</f>
        <v/>
      </c>
      <c r="D923" s="291" t="str">
        <f aca="true">IF(ISNUMBER($J923),INDIRECT("O"&amp;($J923+4)),"")</f>
        <v/>
      </c>
      <c r="E923" s="291" t="str">
        <f aca="true">IF(ISNUMBER($J923),INDIRECT("P"&amp;($J923+4)),"")</f>
        <v/>
      </c>
      <c r="F923" s="300" t="str">
        <f aca="true">IF(ISNUMBER($J923),INDIRECT("Q"&amp;($J923+4)),"")</f>
        <v/>
      </c>
      <c r="G923" s="298" t="str">
        <f aca="true">IF(ISNUMBER($J923),INDIRECT("R"&amp;($J923+4)),"")</f>
        <v/>
      </c>
      <c r="H923" s="298" t="str">
        <f aca="true">IF(ISNUMBER($J923),INDIRECT("S"&amp;($J923+4)),"")</f>
        <v/>
      </c>
      <c r="J923" s="292" t="str">
        <f aca="true">IF(919&lt;=$K$1,MATCH(918.5,INDIRECT("$K$4:$K$1374"),1),"")</f>
        <v/>
      </c>
      <c r="K923" s="292" t="n">
        <f aca="false">$K$900+COUNTIF($Q$901:Q923,"&gt;0")</f>
        <v>0</v>
      </c>
      <c r="L923" s="292" t="str">
        <f aca="false">"Стёкла серии Elephant"&amp;" · "&amp;'Стёкла серии Elephant'!$N$59</f>
        <v>Стёкла серии Elephant · Elephant</v>
      </c>
      <c r="M923" s="292" t="str">
        <f aca="false">IF(ISBLANK('Стёкла серии Elephant'!$O$59),"",'Стёкла серии Elephant'!$O$59)</f>
        <v>Enjoy8/Play7C</v>
      </c>
      <c r="N923" s="292" t="str">
        <f aca="false">""</f>
        <v/>
      </c>
      <c r="O923" s="292" t="str">
        <f aca="false">""</f>
        <v/>
      </c>
      <c r="P923" s="292" t="str">
        <f aca="false">IF(ISBLANK('Стёкла серии Elephant'!$P$59),"",'Стёкла серии Elephant'!$P$59)</f>
        <v>шт.</v>
      </c>
      <c r="Q923" s="292" t="n">
        <f aca="false">N('Стёкла серии Elephant'!$R$59)</f>
        <v>0</v>
      </c>
      <c r="R923" s="299" t="n">
        <f aca="false">IF(ISBLANK('Стёкла серии Elephant'!$Q$59),"",'Стёкла серии Elephant'!$Q$59)</f>
        <v>122.32</v>
      </c>
      <c r="S923" s="292" t="str">
        <f aca="false">IF(ISBLANK('Стёкла серии Elephant'!$S$59),"",'Стёкла серии Elephant'!$S$59)</f>
        <v/>
      </c>
    </row>
    <row r="924" customFormat="false" ht="66" hidden="false" customHeight="true" outlineLevel="0" collapsed="false">
      <c r="A924" s="291" t="str">
        <f aca="true">IF(ISNUMBER($J924),INDIRECT("L"&amp;($J924+4)),"")</f>
        <v/>
      </c>
      <c r="B924" s="291" t="str">
        <f aca="true">IF(ISNUMBER($J924),INDIRECT("M"&amp;($J924+4)),"")</f>
        <v/>
      </c>
      <c r="C924" s="296" t="str">
        <f aca="true">IF(ISNUMBER($J924),INDIRECT("N"&amp;($J924+4)),"")</f>
        <v/>
      </c>
      <c r="D924" s="291" t="str">
        <f aca="true">IF(ISNUMBER($J924),INDIRECT("O"&amp;($J924+4)),"")</f>
        <v/>
      </c>
      <c r="E924" s="291" t="str">
        <f aca="true">IF(ISNUMBER($J924),INDIRECT("P"&amp;($J924+4)),"")</f>
        <v/>
      </c>
      <c r="F924" s="300" t="str">
        <f aca="true">IF(ISNUMBER($J924),INDIRECT("Q"&amp;($J924+4)),"")</f>
        <v/>
      </c>
      <c r="G924" s="298" t="str">
        <f aca="true">IF(ISNUMBER($J924),INDIRECT("R"&amp;($J924+4)),"")</f>
        <v/>
      </c>
      <c r="H924" s="298" t="str">
        <f aca="true">IF(ISNUMBER($J924),INDIRECT("S"&amp;($J924+4)),"")</f>
        <v/>
      </c>
      <c r="J924" s="292" t="str">
        <f aca="true">IF(920&lt;=$K$1,MATCH(919.5,INDIRECT("$K$4:$K$1374"),1),"")</f>
        <v/>
      </c>
      <c r="K924" s="292" t="n">
        <f aca="false">$K$900+COUNTIF($Q$901:Q924,"&gt;0")</f>
        <v>0</v>
      </c>
      <c r="L924" s="292" t="str">
        <f aca="false">"Стёкла серии Elephant"&amp;" · "&amp;'Стёкла серии Elephant'!$N$60</f>
        <v>Стёкла серии Elephant · Elephant</v>
      </c>
      <c r="M924" s="292" t="str">
        <f aca="false">IF(ISBLANK('Стёкла серии Elephant'!$O$60),"",'Стёкла серии Elephant'!$O$60)</f>
        <v>Redmi Note8 Pro</v>
      </c>
      <c r="N924" s="292" t="str">
        <f aca="false">""</f>
        <v/>
      </c>
      <c r="O924" s="292" t="str">
        <f aca="false">""</f>
        <v/>
      </c>
      <c r="P924" s="292" t="str">
        <f aca="false">IF(ISBLANK('Стёкла серии Elephant'!$P$60),"",'Стёкла серии Elephant'!$P$60)</f>
        <v>шт.</v>
      </c>
      <c r="Q924" s="292" t="n">
        <f aca="false">N('Стёкла серии Elephant'!$R$60)</f>
        <v>0</v>
      </c>
      <c r="R924" s="299" t="n">
        <f aca="false">IF(ISBLANK('Стёкла серии Elephant'!$Q$60),"",'Стёкла серии Elephant'!$Q$60)</f>
        <v>122.32</v>
      </c>
      <c r="S924" s="292" t="str">
        <f aca="false">IF(ISBLANK('Стёкла серии Elephant'!$S$60),"",'Стёкла серии Elephant'!$S$60)</f>
        <v/>
      </c>
    </row>
    <row r="925" customFormat="false" ht="66" hidden="false" customHeight="true" outlineLevel="0" collapsed="false">
      <c r="A925" s="291" t="str">
        <f aca="true">IF(ISNUMBER($J925),INDIRECT("L"&amp;($J925+4)),"")</f>
        <v/>
      </c>
      <c r="B925" s="291" t="str">
        <f aca="true">IF(ISNUMBER($J925),INDIRECT("M"&amp;($J925+4)),"")</f>
        <v/>
      </c>
      <c r="C925" s="296" t="str">
        <f aca="true">IF(ISNUMBER($J925),INDIRECT("N"&amp;($J925+4)),"")</f>
        <v/>
      </c>
      <c r="D925" s="291" t="str">
        <f aca="true">IF(ISNUMBER($J925),INDIRECT("O"&amp;($J925+4)),"")</f>
        <v/>
      </c>
      <c r="E925" s="291" t="str">
        <f aca="true">IF(ISNUMBER($J925),INDIRECT("P"&amp;($J925+4)),"")</f>
        <v/>
      </c>
      <c r="F925" s="300" t="str">
        <f aca="true">IF(ISNUMBER($J925),INDIRECT("Q"&amp;($J925+4)),"")</f>
        <v/>
      </c>
      <c r="G925" s="298" t="str">
        <f aca="true">IF(ISNUMBER($J925),INDIRECT("R"&amp;($J925+4)),"")</f>
        <v/>
      </c>
      <c r="H925" s="298" t="str">
        <f aca="true">IF(ISNUMBER($J925),INDIRECT("S"&amp;($J925+4)),"")</f>
        <v/>
      </c>
      <c r="J925" s="292" t="str">
        <f aca="true">IF(921&lt;=$K$1,MATCH(920.5,INDIRECT("$K$4:$K$1374"),1),"")</f>
        <v/>
      </c>
      <c r="K925" s="292" t="n">
        <f aca="false">$K$900+COUNTIF($Q$901:Q925,"&gt;0")</f>
        <v>0</v>
      </c>
      <c r="L925" s="292" t="str">
        <f aca="false">"Стёкла серии Elephant"&amp;" · "&amp;'Стёкла серии Elephant'!$N$61</f>
        <v>Стёкла серии Elephant · Elephant</v>
      </c>
      <c r="M925" s="292" t="str">
        <f aca="false">IF(ISBLANK('Стёкла серии Elephant'!$O$61),"",'Стёкла серии Elephant'!$O$61)</f>
        <v>Mi A3 Pro</v>
      </c>
      <c r="N925" s="292" t="str">
        <f aca="false">""</f>
        <v/>
      </c>
      <c r="O925" s="292" t="str">
        <f aca="false">""</f>
        <v/>
      </c>
      <c r="P925" s="292" t="str">
        <f aca="false">IF(ISBLANK('Стёкла серии Elephant'!$P$61),"",'Стёкла серии Elephant'!$P$61)</f>
        <v>шт.</v>
      </c>
      <c r="Q925" s="292" t="n">
        <f aca="false">N('Стёкла серии Elephant'!$R$61)</f>
        <v>0</v>
      </c>
      <c r="R925" s="299" t="n">
        <f aca="false">IF(ISBLANK('Стёкла серии Elephant'!$Q$61),"",'Стёкла серии Elephant'!$Q$61)</f>
        <v>122.32</v>
      </c>
      <c r="S925" s="292" t="str">
        <f aca="false">IF(ISBLANK('Стёкла серии Elephant'!$S$61),"",'Стёкла серии Elephant'!$S$61)</f>
        <v/>
      </c>
    </row>
    <row r="926" customFormat="false" ht="66" hidden="false" customHeight="true" outlineLevel="0" collapsed="false">
      <c r="A926" s="291" t="str">
        <f aca="true">IF(ISNUMBER($J926),INDIRECT("L"&amp;($J926+4)),"")</f>
        <v/>
      </c>
      <c r="B926" s="291" t="str">
        <f aca="true">IF(ISNUMBER($J926),INDIRECT("M"&amp;($J926+4)),"")</f>
        <v/>
      </c>
      <c r="C926" s="296" t="str">
        <f aca="true">IF(ISNUMBER($J926),INDIRECT("N"&amp;($J926+4)),"")</f>
        <v/>
      </c>
      <c r="D926" s="291" t="str">
        <f aca="true">IF(ISNUMBER($J926),INDIRECT("O"&amp;($J926+4)),"")</f>
        <v/>
      </c>
      <c r="E926" s="291" t="str">
        <f aca="true">IF(ISNUMBER($J926),INDIRECT("P"&amp;($J926+4)),"")</f>
        <v/>
      </c>
      <c r="F926" s="300" t="str">
        <f aca="true">IF(ISNUMBER($J926),INDIRECT("Q"&amp;($J926+4)),"")</f>
        <v/>
      </c>
      <c r="G926" s="298" t="str">
        <f aca="true">IF(ISNUMBER($J926),INDIRECT("R"&amp;($J926+4)),"")</f>
        <v/>
      </c>
      <c r="H926" s="298" t="str">
        <f aca="true">IF(ISNUMBER($J926),INDIRECT("S"&amp;($J926+4)),"")</f>
        <v/>
      </c>
      <c r="J926" s="292" t="str">
        <f aca="true">IF(922&lt;=$K$1,MATCH(921.5,INDIRECT("$K$4:$K$1374"),1),"")</f>
        <v/>
      </c>
      <c r="K926" s="292" t="n">
        <f aca="false">$K$900+COUNTIF($Q$901:Q926,"&gt;0")</f>
        <v>0</v>
      </c>
      <c r="L926" s="292" t="str">
        <f aca="false">"Стёкла серии Elephant"&amp;" · "&amp;'Стёкла серии Elephant'!$N$62</f>
        <v>Стёкла серии Elephant · Elephant</v>
      </c>
      <c r="M926" s="292" t="str">
        <f aca="false">IF(ISBLANK('Стёкла серии Elephant'!$O$62),"",'Стёкла серии Elephant'!$O$62)</f>
        <v>J7 Prime</v>
      </c>
      <c r="N926" s="292" t="str">
        <f aca="false">""</f>
        <v/>
      </c>
      <c r="O926" s="292" t="str">
        <f aca="false">""</f>
        <v/>
      </c>
      <c r="P926" s="292" t="str">
        <f aca="false">IF(ISBLANK('Стёкла серии Elephant'!$P$62),"",'Стёкла серии Elephant'!$P$62)</f>
        <v>шт.</v>
      </c>
      <c r="Q926" s="292" t="n">
        <f aca="false">N('Стёкла серии Elephant'!$R$62)</f>
        <v>0</v>
      </c>
      <c r="R926" s="299" t="n">
        <f aca="false">IF(ISBLANK('Стёкла серии Elephant'!$Q$62),"",'Стёкла серии Elephant'!$Q$62)</f>
        <v>122.32</v>
      </c>
      <c r="S926" s="292" t="str">
        <f aca="false">IF(ISBLANK('Стёкла серии Elephant'!$S$62),"",'Стёкла серии Elephant'!$S$62)</f>
        <v/>
      </c>
    </row>
    <row r="927" customFormat="false" ht="66" hidden="false" customHeight="true" outlineLevel="0" collapsed="false">
      <c r="A927" s="291" t="str">
        <f aca="true">IF(ISNUMBER($J927),INDIRECT("L"&amp;($J927+4)),"")</f>
        <v/>
      </c>
      <c r="B927" s="291" t="str">
        <f aca="true">IF(ISNUMBER($J927),INDIRECT("M"&amp;($J927+4)),"")</f>
        <v/>
      </c>
      <c r="C927" s="296" t="str">
        <f aca="true">IF(ISNUMBER($J927),INDIRECT("N"&amp;($J927+4)),"")</f>
        <v/>
      </c>
      <c r="D927" s="291" t="str">
        <f aca="true">IF(ISNUMBER($J927),INDIRECT("O"&amp;($J927+4)),"")</f>
        <v/>
      </c>
      <c r="E927" s="291" t="str">
        <f aca="true">IF(ISNUMBER($J927),INDIRECT("P"&amp;($J927+4)),"")</f>
        <v/>
      </c>
      <c r="F927" s="300" t="str">
        <f aca="true">IF(ISNUMBER($J927),INDIRECT("Q"&amp;($J927+4)),"")</f>
        <v/>
      </c>
      <c r="G927" s="298" t="str">
        <f aca="true">IF(ISNUMBER($J927),INDIRECT("R"&amp;($J927+4)),"")</f>
        <v/>
      </c>
      <c r="H927" s="298" t="str">
        <f aca="true">IF(ISNUMBER($J927),INDIRECT("S"&amp;($J927+4)),"")</f>
        <v/>
      </c>
      <c r="J927" s="292" t="str">
        <f aca="true">IF(923&lt;=$K$1,MATCH(922.5,INDIRECT("$K$4:$K$1374"),1),"")</f>
        <v/>
      </c>
      <c r="K927" s="292" t="n">
        <f aca="false">$K$900+COUNTIF($Q$901:Q927,"&gt;0")</f>
        <v>0</v>
      </c>
      <c r="L927" s="292" t="str">
        <f aca="false">"Стёкла серии Elephant"&amp;" · "&amp;'Стёкла серии Elephant'!$N$63</f>
        <v>Стёкла серии Elephant · Elephant</v>
      </c>
      <c r="M927" s="292" t="str">
        <f aca="false">IF(ISBLANK('Стёкла серии Elephant'!$O$63),"",'Стёкла серии Elephant'!$O$63)</f>
        <v>F52</v>
      </c>
      <c r="N927" s="292" t="str">
        <f aca="false">""</f>
        <v/>
      </c>
      <c r="O927" s="292" t="str">
        <f aca="false">""</f>
        <v/>
      </c>
      <c r="P927" s="292" t="str">
        <f aca="false">IF(ISBLANK('Стёкла серии Elephant'!$P$63),"",'Стёкла серии Elephant'!$P$63)</f>
        <v>шт.</v>
      </c>
      <c r="Q927" s="292" t="n">
        <f aca="false">N('Стёкла серии Elephant'!$R$63)</f>
        <v>0</v>
      </c>
      <c r="R927" s="299" t="n">
        <f aca="false">IF(ISBLANK('Стёкла серии Elephant'!$Q$63),"",'Стёкла серии Elephant'!$Q$63)</f>
        <v>122.32</v>
      </c>
      <c r="S927" s="292" t="str">
        <f aca="false">IF(ISBLANK('Стёкла серии Elephant'!$S$63),"",'Стёкла серии Elephant'!$S$63)</f>
        <v/>
      </c>
    </row>
    <row r="928" customFormat="false" ht="66" hidden="false" customHeight="true" outlineLevel="0" collapsed="false">
      <c r="A928" s="291" t="str">
        <f aca="true">IF(ISNUMBER($J928),INDIRECT("L"&amp;($J928+4)),"")</f>
        <v/>
      </c>
      <c r="B928" s="291" t="str">
        <f aca="true">IF(ISNUMBER($J928),INDIRECT("M"&amp;($J928+4)),"")</f>
        <v/>
      </c>
      <c r="C928" s="296" t="str">
        <f aca="true">IF(ISNUMBER($J928),INDIRECT("N"&amp;($J928+4)),"")</f>
        <v/>
      </c>
      <c r="D928" s="291" t="str">
        <f aca="true">IF(ISNUMBER($J928),INDIRECT("O"&amp;($J928+4)),"")</f>
        <v/>
      </c>
      <c r="E928" s="291" t="str">
        <f aca="true">IF(ISNUMBER($J928),INDIRECT("P"&amp;($J928+4)),"")</f>
        <v/>
      </c>
      <c r="F928" s="300" t="str">
        <f aca="true">IF(ISNUMBER($J928),INDIRECT("Q"&amp;($J928+4)),"")</f>
        <v/>
      </c>
      <c r="G928" s="298" t="str">
        <f aca="true">IF(ISNUMBER($J928),INDIRECT("R"&amp;($J928+4)),"")</f>
        <v/>
      </c>
      <c r="H928" s="298" t="str">
        <f aca="true">IF(ISNUMBER($J928),INDIRECT("S"&amp;($J928+4)),"")</f>
        <v/>
      </c>
      <c r="J928" s="292" t="str">
        <f aca="true">IF(924&lt;=$K$1,MATCH(923.5,INDIRECT("$K$4:$K$1374"),1),"")</f>
        <v/>
      </c>
      <c r="K928" s="292" t="n">
        <f aca="false">$K$900+COUNTIF($Q$901:Q928,"&gt;0")</f>
        <v>0</v>
      </c>
      <c r="L928" s="292" t="str">
        <f aca="false">"Стёкла серии Elephant"&amp;" · "&amp;'Стёкла серии Elephant'!$N$64</f>
        <v>Стёкла серии Elephant · Elephant</v>
      </c>
      <c r="M928" s="292" t="str">
        <f aca="false">IF(ISBLANK('Стёкла серии Elephant'!$O$64),"",'Стёкла серии Elephant'!$O$64)</f>
        <v>A91</v>
      </c>
      <c r="N928" s="292" t="str">
        <f aca="false">""</f>
        <v/>
      </c>
      <c r="O928" s="292" t="str">
        <f aca="false">""</f>
        <v/>
      </c>
      <c r="P928" s="292" t="str">
        <f aca="false">IF(ISBLANK('Стёкла серии Elephant'!$P$64),"",'Стёкла серии Elephant'!$P$64)</f>
        <v>шт.</v>
      </c>
      <c r="Q928" s="292" t="n">
        <f aca="false">N('Стёкла серии Elephant'!$R$64)</f>
        <v>0</v>
      </c>
      <c r="R928" s="299" t="n">
        <f aca="false">IF(ISBLANK('Стёкла серии Elephant'!$Q$64),"",'Стёкла серии Elephant'!$Q$64)</f>
        <v>122.32</v>
      </c>
      <c r="S928" s="292" t="str">
        <f aca="false">IF(ISBLANK('Стёкла серии Elephant'!$S$64),"",'Стёкла серии Elephant'!$S$64)</f>
        <v/>
      </c>
    </row>
    <row r="929" customFormat="false" ht="66" hidden="false" customHeight="true" outlineLevel="0" collapsed="false">
      <c r="A929" s="291" t="str">
        <f aca="true">IF(ISNUMBER($J929),INDIRECT("L"&amp;($J929+4)),"")</f>
        <v/>
      </c>
      <c r="B929" s="291" t="str">
        <f aca="true">IF(ISNUMBER($J929),INDIRECT("M"&amp;($J929+4)),"")</f>
        <v/>
      </c>
      <c r="C929" s="296" t="str">
        <f aca="true">IF(ISNUMBER($J929),INDIRECT("N"&amp;($J929+4)),"")</f>
        <v/>
      </c>
      <c r="D929" s="291" t="str">
        <f aca="true">IF(ISNUMBER($J929),INDIRECT("O"&amp;($J929+4)),"")</f>
        <v/>
      </c>
      <c r="E929" s="291" t="str">
        <f aca="true">IF(ISNUMBER($J929),INDIRECT("P"&amp;($J929+4)),"")</f>
        <v/>
      </c>
      <c r="F929" s="300" t="str">
        <f aca="true">IF(ISNUMBER($J929),INDIRECT("Q"&amp;($J929+4)),"")</f>
        <v/>
      </c>
      <c r="G929" s="298" t="str">
        <f aca="true">IF(ISNUMBER($J929),INDIRECT("R"&amp;($J929+4)),"")</f>
        <v/>
      </c>
      <c r="H929" s="298" t="str">
        <f aca="true">IF(ISNUMBER($J929),INDIRECT("S"&amp;($J929+4)),"")</f>
        <v/>
      </c>
      <c r="J929" s="292" t="str">
        <f aca="true">IF(925&lt;=$K$1,MATCH(924.5,INDIRECT("$K$4:$K$1374"),1),"")</f>
        <v/>
      </c>
      <c r="K929" s="292" t="n">
        <f aca="false">$K$900+COUNTIF($Q$901:Q929,"&gt;0")</f>
        <v>0</v>
      </c>
      <c r="L929" s="292" t="str">
        <f aca="false">"Стёкла серии Elephant"&amp;" · "&amp;'Стёкла серии Elephant'!$N$65</f>
        <v>Стёкла серии Elephant · Elephant</v>
      </c>
      <c r="M929" s="292" t="str">
        <f aca="false">IF(ISBLANK('Стёкла серии Elephant'!$O$65),"",'Стёкла серии Elephant'!$O$65)</f>
        <v>A11</v>
      </c>
      <c r="N929" s="292" t="str">
        <f aca="false">""</f>
        <v/>
      </c>
      <c r="O929" s="292" t="str">
        <f aca="false">""</f>
        <v/>
      </c>
      <c r="P929" s="292" t="str">
        <f aca="false">IF(ISBLANK('Стёкла серии Elephant'!$P$65),"",'Стёкла серии Elephant'!$P$65)</f>
        <v>шт.</v>
      </c>
      <c r="Q929" s="292" t="n">
        <f aca="false">N('Стёкла серии Elephant'!$R$65)</f>
        <v>0</v>
      </c>
      <c r="R929" s="299" t="n">
        <f aca="false">IF(ISBLANK('Стёкла серии Elephant'!$Q$65),"",'Стёкла серии Elephant'!$Q$65)</f>
        <v>122.32</v>
      </c>
      <c r="S929" s="292" t="str">
        <f aca="false">IF(ISBLANK('Стёкла серии Elephant'!$S$65),"",'Стёкла серии Elephant'!$S$65)</f>
        <v/>
      </c>
    </row>
    <row r="930" customFormat="false" ht="66" hidden="false" customHeight="true" outlineLevel="0" collapsed="false">
      <c r="A930" s="291" t="str">
        <f aca="true">IF(ISNUMBER($J930),INDIRECT("L"&amp;($J930+4)),"")</f>
        <v/>
      </c>
      <c r="B930" s="291" t="str">
        <f aca="true">IF(ISNUMBER($J930),INDIRECT("M"&amp;($J930+4)),"")</f>
        <v/>
      </c>
      <c r="C930" s="296" t="str">
        <f aca="true">IF(ISNUMBER($J930),INDIRECT("N"&amp;($J930+4)),"")</f>
        <v/>
      </c>
      <c r="D930" s="291" t="str">
        <f aca="true">IF(ISNUMBER($J930),INDIRECT("O"&amp;($J930+4)),"")</f>
        <v/>
      </c>
      <c r="E930" s="291" t="str">
        <f aca="true">IF(ISNUMBER($J930),INDIRECT("P"&amp;($J930+4)),"")</f>
        <v/>
      </c>
      <c r="F930" s="300" t="str">
        <f aca="true">IF(ISNUMBER($J930),INDIRECT("Q"&amp;($J930+4)),"")</f>
        <v/>
      </c>
      <c r="G930" s="298" t="str">
        <f aca="true">IF(ISNUMBER($J930),INDIRECT("R"&amp;($J930+4)),"")</f>
        <v/>
      </c>
      <c r="H930" s="298" t="str">
        <f aca="true">IF(ISNUMBER($J930),INDIRECT("S"&amp;($J930+4)),"")</f>
        <v/>
      </c>
      <c r="J930" s="292" t="str">
        <f aca="true">IF(926&lt;=$K$1,MATCH(925.5,INDIRECT("$K$4:$K$1374"),1),"")</f>
        <v/>
      </c>
      <c r="K930" s="292" t="n">
        <f aca="false">$K$900+COUNTIF($Q$901:Q930,"&gt;0")</f>
        <v>0</v>
      </c>
      <c r="L930" s="292" t="str">
        <f aca="false">"Стёкла серии Elephant"&amp;" · "&amp;'Стёкла серии Elephant'!$N$66</f>
        <v>Стёкла серии Elephant · Elephant</v>
      </c>
      <c r="M930" s="292" t="str">
        <f aca="false">IF(ISBLANK('Стёкла серии Elephant'!$O$66),"",'Стёкла серии Elephant'!$O$66)</f>
        <v>V15/S1（domestic edition ）/NEX</v>
      </c>
      <c r="N930" s="292" t="str">
        <f aca="false">""</f>
        <v/>
      </c>
      <c r="O930" s="292" t="str">
        <f aca="false">""</f>
        <v/>
      </c>
      <c r="P930" s="292" t="str">
        <f aca="false">IF(ISBLANK('Стёкла серии Elephant'!$P$66),"",'Стёкла серии Elephant'!$P$66)</f>
        <v>шт.</v>
      </c>
      <c r="Q930" s="292" t="n">
        <f aca="false">N('Стёкла серии Elephant'!$R$66)</f>
        <v>0</v>
      </c>
      <c r="R930" s="299" t="n">
        <f aca="false">IF(ISBLANK('Стёкла серии Elephant'!$Q$66),"",'Стёкла серии Elephant'!$Q$66)</f>
        <v>122.32</v>
      </c>
      <c r="S930" s="292" t="str">
        <f aca="false">IF(ISBLANK('Стёкла серии Elephant'!$S$66),"",'Стёкла серии Elephant'!$S$66)</f>
        <v/>
      </c>
    </row>
    <row r="931" customFormat="false" ht="66" hidden="false" customHeight="true" outlineLevel="0" collapsed="false">
      <c r="A931" s="291" t="str">
        <f aca="true">IF(ISNUMBER($J931),INDIRECT("L"&amp;($J931+4)),"")</f>
        <v/>
      </c>
      <c r="B931" s="291" t="str">
        <f aca="true">IF(ISNUMBER($J931),INDIRECT("M"&amp;($J931+4)),"")</f>
        <v/>
      </c>
      <c r="C931" s="296" t="str">
        <f aca="true">IF(ISNUMBER($J931),INDIRECT("N"&amp;($J931+4)),"")</f>
        <v/>
      </c>
      <c r="D931" s="291" t="str">
        <f aca="true">IF(ISNUMBER($J931),INDIRECT("O"&amp;($J931+4)),"")</f>
        <v/>
      </c>
      <c r="E931" s="291" t="str">
        <f aca="true">IF(ISNUMBER($J931),INDIRECT("P"&amp;($J931+4)),"")</f>
        <v/>
      </c>
      <c r="F931" s="300" t="str">
        <f aca="true">IF(ISNUMBER($J931),INDIRECT("Q"&amp;($J931+4)),"")</f>
        <v/>
      </c>
      <c r="G931" s="298" t="str">
        <f aca="true">IF(ISNUMBER($J931),INDIRECT("R"&amp;($J931+4)),"")</f>
        <v/>
      </c>
      <c r="H931" s="298" t="str">
        <f aca="true">IF(ISNUMBER($J931),INDIRECT("S"&amp;($J931+4)),"")</f>
        <v/>
      </c>
      <c r="J931" s="292" t="str">
        <f aca="true">IF(927&lt;=$K$1,MATCH(926.5,INDIRECT("$K$4:$K$1374"),1),"")</f>
        <v/>
      </c>
      <c r="K931" s="292" t="n">
        <f aca="false">$K$900+COUNTIF($Q$901:Q931,"&gt;0")</f>
        <v>0</v>
      </c>
      <c r="L931" s="292" t="str">
        <f aca="false">"Стёкла серии Elephant"&amp;" · "&amp;'Стёкла серии Elephant'!$N$67</f>
        <v>Стёкла серии Elephant · Elephant</v>
      </c>
      <c r="M931" s="292" t="str">
        <f aca="false">IF(ISBLANK('Стёкла серии Elephant'!$O$67),"",'Стёкла серии Elephant'!$O$67)</f>
        <v>iP 6-4.7</v>
      </c>
      <c r="N931" s="292" t="str">
        <f aca="false">""</f>
        <v/>
      </c>
      <c r="O931" s="292" t="str">
        <f aca="false">""</f>
        <v/>
      </c>
      <c r="P931" s="292" t="str">
        <f aca="false">IF(ISBLANK('Стёкла серии Elephant'!$P$67),"",'Стёкла серии Elephant'!$P$67)</f>
        <v>шт.</v>
      </c>
      <c r="Q931" s="292" t="n">
        <f aca="false">N('Стёкла серии Elephant'!$R$67)</f>
        <v>0</v>
      </c>
      <c r="R931" s="299" t="n">
        <f aca="false">IF(ISBLANK('Стёкла серии Elephant'!$Q$67),"",'Стёкла серии Elephant'!$Q$67)</f>
        <v>122.32</v>
      </c>
      <c r="S931" s="292" t="str">
        <f aca="false">IF(ISBLANK('Стёкла серии Elephant'!$S$67),"",'Стёкла серии Elephant'!$S$67)</f>
        <v/>
      </c>
    </row>
    <row r="932" customFormat="false" ht="66" hidden="false" customHeight="true" outlineLevel="0" collapsed="false">
      <c r="A932" s="291" t="str">
        <f aca="true">IF(ISNUMBER($J932),INDIRECT("L"&amp;($J932+4)),"")</f>
        <v/>
      </c>
      <c r="B932" s="291" t="str">
        <f aca="true">IF(ISNUMBER($J932),INDIRECT("M"&amp;($J932+4)),"")</f>
        <v/>
      </c>
      <c r="C932" s="296" t="str">
        <f aca="true">IF(ISNUMBER($J932),INDIRECT("N"&amp;($J932+4)),"")</f>
        <v/>
      </c>
      <c r="D932" s="291" t="str">
        <f aca="true">IF(ISNUMBER($J932),INDIRECT("O"&amp;($J932+4)),"")</f>
        <v/>
      </c>
      <c r="E932" s="291" t="str">
        <f aca="true">IF(ISNUMBER($J932),INDIRECT("P"&amp;($J932+4)),"")</f>
        <v/>
      </c>
      <c r="F932" s="300" t="str">
        <f aca="true">IF(ISNUMBER($J932),INDIRECT("Q"&amp;($J932+4)),"")</f>
        <v/>
      </c>
      <c r="G932" s="298" t="str">
        <f aca="true">IF(ISNUMBER($J932),INDIRECT("R"&amp;($J932+4)),"")</f>
        <v/>
      </c>
      <c r="H932" s="298" t="str">
        <f aca="true">IF(ISNUMBER($J932),INDIRECT("S"&amp;($J932+4)),"")</f>
        <v/>
      </c>
      <c r="J932" s="292" t="str">
        <f aca="true">IF(928&lt;=$K$1,MATCH(927.5,INDIRECT("$K$4:$K$1374"),1),"")</f>
        <v/>
      </c>
      <c r="K932" s="292" t="n">
        <f aca="false">$K$900+COUNTIF($Q$901:Q932,"&gt;0")</f>
        <v>0</v>
      </c>
      <c r="L932" s="292" t="str">
        <f aca="false">"Стёкла серии Elephant"&amp;" · "&amp;'Стёкла серии Elephant'!$N$68</f>
        <v>Стёкла серии Elephant · Elephant</v>
      </c>
      <c r="M932" s="292" t="str">
        <f aca="false">IF(ISBLANK('Стёкла серии Elephant'!$O$68),"",'Стёкла серии Elephant'!$O$68)</f>
        <v>P30 Lite/Nova4E</v>
      </c>
      <c r="N932" s="292" t="str">
        <f aca="false">""</f>
        <v/>
      </c>
      <c r="O932" s="292" t="str">
        <f aca="false">""</f>
        <v/>
      </c>
      <c r="P932" s="292" t="str">
        <f aca="false">IF(ISBLANK('Стёкла серии Elephant'!$P$68),"",'Стёкла серии Elephant'!$P$68)</f>
        <v>шт.</v>
      </c>
      <c r="Q932" s="292" t="n">
        <f aca="false">N('Стёкла серии Elephant'!$R$68)</f>
        <v>0</v>
      </c>
      <c r="R932" s="299" t="n">
        <f aca="false">IF(ISBLANK('Стёкла серии Elephant'!$Q$68),"",'Стёкла серии Elephant'!$Q$68)</f>
        <v>122.32</v>
      </c>
      <c r="S932" s="292" t="str">
        <f aca="false">IF(ISBLANK('Стёкла серии Elephant'!$S$68),"",'Стёкла серии Elephant'!$S$68)</f>
        <v/>
      </c>
    </row>
    <row r="933" customFormat="false" ht="66" hidden="false" customHeight="true" outlineLevel="0" collapsed="false">
      <c r="A933" s="291" t="str">
        <f aca="true">IF(ISNUMBER($J933),INDIRECT("L"&amp;($J933+4)),"")</f>
        <v/>
      </c>
      <c r="B933" s="291" t="str">
        <f aca="true">IF(ISNUMBER($J933),INDIRECT("M"&amp;($J933+4)),"")</f>
        <v/>
      </c>
      <c r="C933" s="296" t="str">
        <f aca="true">IF(ISNUMBER($J933),INDIRECT("N"&amp;($J933+4)),"")</f>
        <v/>
      </c>
      <c r="D933" s="291" t="str">
        <f aca="true">IF(ISNUMBER($J933),INDIRECT("O"&amp;($J933+4)),"")</f>
        <v/>
      </c>
      <c r="E933" s="291" t="str">
        <f aca="true">IF(ISNUMBER($J933),INDIRECT("P"&amp;($J933+4)),"")</f>
        <v/>
      </c>
      <c r="F933" s="300" t="str">
        <f aca="true">IF(ISNUMBER($J933),INDIRECT("Q"&amp;($J933+4)),"")</f>
        <v/>
      </c>
      <c r="G933" s="298" t="str">
        <f aca="true">IF(ISNUMBER($J933),INDIRECT("R"&amp;($J933+4)),"")</f>
        <v/>
      </c>
      <c r="H933" s="298" t="str">
        <f aca="true">IF(ISNUMBER($J933),INDIRECT("S"&amp;($J933+4)),"")</f>
        <v/>
      </c>
      <c r="J933" s="292" t="str">
        <f aca="true">IF(929&lt;=$K$1,MATCH(928.5,INDIRECT("$K$4:$K$1374"),1),"")</f>
        <v/>
      </c>
      <c r="K933" s="292" t="n">
        <f aca="false">$K$900+COUNTIF($Q$901:Q933,"&gt;0")</f>
        <v>0</v>
      </c>
      <c r="L933" s="292" t="str">
        <f aca="false">"Стёкла серии Elephant"&amp;" · "&amp;'Стёкла серии Elephant'!$N$69</f>
        <v>Стёкла серии Elephant · Elephant</v>
      </c>
      <c r="M933" s="292" t="str">
        <f aca="false">IF(ISBLANK('Стёкла серии Elephant'!$O$69),"",'Стёкла серии Elephant'!$O$69)</f>
        <v>Enjoy8E/Play7A</v>
      </c>
      <c r="N933" s="292" t="str">
        <f aca="false">""</f>
        <v/>
      </c>
      <c r="O933" s="292" t="str">
        <f aca="false">""</f>
        <v/>
      </c>
      <c r="P933" s="292" t="str">
        <f aca="false">IF(ISBLANK('Стёкла серии Elephant'!$P$69),"",'Стёкла серии Elephant'!$P$69)</f>
        <v>шт.</v>
      </c>
      <c r="Q933" s="292" t="n">
        <f aca="false">N('Стёкла серии Elephant'!$R$69)</f>
        <v>0</v>
      </c>
      <c r="R933" s="299" t="n">
        <f aca="false">IF(ISBLANK('Стёкла серии Elephant'!$Q$69),"",'Стёкла серии Elephant'!$Q$69)</f>
        <v>122.32</v>
      </c>
      <c r="S933" s="292" t="str">
        <f aca="false">IF(ISBLANK('Стёкла серии Elephant'!$S$69),"",'Стёкла серии Elephant'!$S$69)</f>
        <v/>
      </c>
    </row>
    <row r="934" customFormat="false" ht="66" hidden="false" customHeight="true" outlineLevel="0" collapsed="false">
      <c r="A934" s="291" t="str">
        <f aca="true">IF(ISNUMBER($J934),INDIRECT("L"&amp;($J934+4)),"")</f>
        <v/>
      </c>
      <c r="B934" s="291" t="str">
        <f aca="true">IF(ISNUMBER($J934),INDIRECT("M"&amp;($J934+4)),"")</f>
        <v/>
      </c>
      <c r="C934" s="296" t="str">
        <f aca="true">IF(ISNUMBER($J934),INDIRECT("N"&amp;($J934+4)),"")</f>
        <v/>
      </c>
      <c r="D934" s="291" t="str">
        <f aca="true">IF(ISNUMBER($J934),INDIRECT("O"&amp;($J934+4)),"")</f>
        <v/>
      </c>
      <c r="E934" s="291" t="str">
        <f aca="true">IF(ISNUMBER($J934),INDIRECT("P"&amp;($J934+4)),"")</f>
        <v/>
      </c>
      <c r="F934" s="300" t="str">
        <f aca="true">IF(ISNUMBER($J934),INDIRECT("Q"&amp;($J934+4)),"")</f>
        <v/>
      </c>
      <c r="G934" s="298" t="str">
        <f aca="true">IF(ISNUMBER($J934),INDIRECT("R"&amp;($J934+4)),"")</f>
        <v/>
      </c>
      <c r="H934" s="298" t="str">
        <f aca="true">IF(ISNUMBER($J934),INDIRECT("S"&amp;($J934+4)),"")</f>
        <v/>
      </c>
      <c r="J934" s="292" t="str">
        <f aca="true">IF(930&lt;=$K$1,MATCH(929.5,INDIRECT("$K$4:$K$1374"),1),"")</f>
        <v/>
      </c>
      <c r="K934" s="292" t="n">
        <f aca="false">$K$900+COUNTIF($Q$901:Q934,"&gt;0")</f>
        <v>0</v>
      </c>
      <c r="L934" s="292" t="str">
        <f aca="false">"Стёкла серии Elephant"&amp;" · "&amp;'Стёкла серии Elephant'!$N$70</f>
        <v>Стёкла серии Elephant · Elephant</v>
      </c>
      <c r="M934" s="292" t="str">
        <f aca="false">IF(ISBLANK('Стёкла серии Elephant'!$O$70),"",'Стёкла серии Elephant'!$O$70)</f>
        <v>Redmi 7</v>
      </c>
      <c r="N934" s="292" t="str">
        <f aca="false">""</f>
        <v/>
      </c>
      <c r="O934" s="292" t="str">
        <f aca="false">""</f>
        <v/>
      </c>
      <c r="P934" s="292" t="str">
        <f aca="false">IF(ISBLANK('Стёкла серии Elephant'!$P$70),"",'Стёкла серии Elephant'!$P$70)</f>
        <v>шт.</v>
      </c>
      <c r="Q934" s="292" t="n">
        <f aca="false">N('Стёкла серии Elephant'!$R$70)</f>
        <v>0</v>
      </c>
      <c r="R934" s="299" t="n">
        <f aca="false">IF(ISBLANK('Стёкла серии Elephant'!$Q$70),"",'Стёкла серии Elephant'!$Q$70)</f>
        <v>122.32</v>
      </c>
      <c r="S934" s="292" t="str">
        <f aca="false">IF(ISBLANK('Стёкла серии Elephant'!$S$70),"",'Стёкла серии Elephant'!$S$70)</f>
        <v/>
      </c>
    </row>
    <row r="935" customFormat="false" ht="66" hidden="false" customHeight="true" outlineLevel="0" collapsed="false">
      <c r="A935" s="291" t="str">
        <f aca="true">IF(ISNUMBER($J935),INDIRECT("L"&amp;($J935+4)),"")</f>
        <v/>
      </c>
      <c r="B935" s="291" t="str">
        <f aca="true">IF(ISNUMBER($J935),INDIRECT("M"&amp;($J935+4)),"")</f>
        <v/>
      </c>
      <c r="C935" s="296" t="str">
        <f aca="true">IF(ISNUMBER($J935),INDIRECT("N"&amp;($J935+4)),"")</f>
        <v/>
      </c>
      <c r="D935" s="291" t="str">
        <f aca="true">IF(ISNUMBER($J935),INDIRECT("O"&amp;($J935+4)),"")</f>
        <v/>
      </c>
      <c r="E935" s="291" t="str">
        <f aca="true">IF(ISNUMBER($J935),INDIRECT("P"&amp;($J935+4)),"")</f>
        <v/>
      </c>
      <c r="F935" s="300" t="str">
        <f aca="true">IF(ISNUMBER($J935),INDIRECT("Q"&amp;($J935+4)),"")</f>
        <v/>
      </c>
      <c r="G935" s="298" t="str">
        <f aca="true">IF(ISNUMBER($J935),INDIRECT("R"&amp;($J935+4)),"")</f>
        <v/>
      </c>
      <c r="H935" s="298" t="str">
        <f aca="true">IF(ISNUMBER($J935),INDIRECT("S"&amp;($J935+4)),"")</f>
        <v/>
      </c>
      <c r="J935" s="292" t="str">
        <f aca="true">IF(931&lt;=$K$1,MATCH(930.5,INDIRECT("$K$4:$K$1374"),1),"")</f>
        <v/>
      </c>
      <c r="K935" s="292" t="n">
        <f aca="false">$K$900+COUNTIF($Q$901:Q935,"&gt;0")</f>
        <v>0</v>
      </c>
      <c r="L935" s="292" t="str">
        <f aca="false">"Стёкла серии Elephant"&amp;" · "&amp;'Стёкла серии Elephant'!$N$71</f>
        <v>Стёкла серии Elephant · Elephant</v>
      </c>
      <c r="M935" s="292" t="str">
        <f aca="false">IF(ISBLANK('Стёкла серии Elephant'!$O$71),"",'Стёкла серии Elephant'!$O$71)</f>
        <v>Mi 6X/A2</v>
      </c>
      <c r="N935" s="292" t="str">
        <f aca="false">""</f>
        <v/>
      </c>
      <c r="O935" s="292" t="str">
        <f aca="false">""</f>
        <v/>
      </c>
      <c r="P935" s="292" t="str">
        <f aca="false">IF(ISBLANK('Стёкла серии Elephant'!$P$71),"",'Стёкла серии Elephant'!$P$71)</f>
        <v>шт.</v>
      </c>
      <c r="Q935" s="292" t="n">
        <f aca="false">N('Стёкла серии Elephant'!$R$71)</f>
        <v>0</v>
      </c>
      <c r="R935" s="299" t="n">
        <f aca="false">IF(ISBLANK('Стёкла серии Elephant'!$Q$71),"",'Стёкла серии Elephant'!$Q$71)</f>
        <v>122.32</v>
      </c>
      <c r="S935" s="292" t="str">
        <f aca="false">IF(ISBLANK('Стёкла серии Elephant'!$S$71),"",'Стёкла серии Elephant'!$S$71)</f>
        <v/>
      </c>
    </row>
    <row r="936" customFormat="false" ht="66" hidden="false" customHeight="true" outlineLevel="0" collapsed="false">
      <c r="A936" s="291" t="str">
        <f aca="true">IF(ISNUMBER($J936),INDIRECT("L"&amp;($J936+4)),"")</f>
        <v/>
      </c>
      <c r="B936" s="291" t="str">
        <f aca="true">IF(ISNUMBER($J936),INDIRECT("M"&amp;($J936+4)),"")</f>
        <v/>
      </c>
      <c r="C936" s="296" t="str">
        <f aca="true">IF(ISNUMBER($J936),INDIRECT("N"&amp;($J936+4)),"")</f>
        <v/>
      </c>
      <c r="D936" s="291" t="str">
        <f aca="true">IF(ISNUMBER($J936),INDIRECT("O"&amp;($J936+4)),"")</f>
        <v/>
      </c>
      <c r="E936" s="291" t="str">
        <f aca="true">IF(ISNUMBER($J936),INDIRECT("P"&amp;($J936+4)),"")</f>
        <v/>
      </c>
      <c r="F936" s="300" t="str">
        <f aca="true">IF(ISNUMBER($J936),INDIRECT("Q"&amp;($J936+4)),"")</f>
        <v/>
      </c>
      <c r="G936" s="298" t="str">
        <f aca="true">IF(ISNUMBER($J936),INDIRECT("R"&amp;($J936+4)),"")</f>
        <v/>
      </c>
      <c r="H936" s="298" t="str">
        <f aca="true">IF(ISNUMBER($J936),INDIRECT("S"&amp;($J936+4)),"")</f>
        <v/>
      </c>
      <c r="J936" s="292" t="str">
        <f aca="true">IF(932&lt;=$K$1,MATCH(931.5,INDIRECT("$K$4:$K$1374"),1),"")</f>
        <v/>
      </c>
      <c r="K936" s="292" t="n">
        <f aca="false">$K$900+COUNTIF($Q$901:Q936,"&gt;0")</f>
        <v>0</v>
      </c>
      <c r="L936" s="292" t="str">
        <f aca="false">"Стёкла серии Elephant"&amp;" · "&amp;'Стёкла серии Elephant'!$N$72</f>
        <v>Стёкла серии Elephant · Elephant</v>
      </c>
      <c r="M936" s="292" t="str">
        <f aca="false">IF(ISBLANK('Стёкла серии Elephant'!$O$72),"",'Стёкла серии Elephant'!$O$72)</f>
        <v>J7 Pro</v>
      </c>
      <c r="N936" s="292" t="str">
        <f aca="false">""</f>
        <v/>
      </c>
      <c r="O936" s="292" t="str">
        <f aca="false">""</f>
        <v/>
      </c>
      <c r="P936" s="292" t="str">
        <f aca="false">IF(ISBLANK('Стёкла серии Elephant'!$P$72),"",'Стёкла серии Elephant'!$P$72)</f>
        <v>шт.</v>
      </c>
      <c r="Q936" s="292" t="n">
        <f aca="false">N('Стёкла серии Elephant'!$R$72)</f>
        <v>0</v>
      </c>
      <c r="R936" s="299" t="n">
        <f aca="false">IF(ISBLANK('Стёкла серии Elephant'!$Q$72),"",'Стёкла серии Elephant'!$Q$72)</f>
        <v>122.32</v>
      </c>
      <c r="S936" s="292" t="str">
        <f aca="false">IF(ISBLANK('Стёкла серии Elephant'!$S$72),"",'Стёкла серии Elephant'!$S$72)</f>
        <v/>
      </c>
    </row>
    <row r="937" customFormat="false" ht="66" hidden="false" customHeight="true" outlineLevel="0" collapsed="false">
      <c r="A937" s="291" t="str">
        <f aca="true">IF(ISNUMBER($J937),INDIRECT("L"&amp;($J937+4)),"")</f>
        <v/>
      </c>
      <c r="B937" s="291" t="str">
        <f aca="true">IF(ISNUMBER($J937),INDIRECT("M"&amp;($J937+4)),"")</f>
        <v/>
      </c>
      <c r="C937" s="296" t="str">
        <f aca="true">IF(ISNUMBER($J937),INDIRECT("N"&amp;($J937+4)),"")</f>
        <v/>
      </c>
      <c r="D937" s="291" t="str">
        <f aca="true">IF(ISNUMBER($J937),INDIRECT("O"&amp;($J937+4)),"")</f>
        <v/>
      </c>
      <c r="E937" s="291" t="str">
        <f aca="true">IF(ISNUMBER($J937),INDIRECT("P"&amp;($J937+4)),"")</f>
        <v/>
      </c>
      <c r="F937" s="300" t="str">
        <f aca="true">IF(ISNUMBER($J937),INDIRECT("Q"&amp;($J937+4)),"")</f>
        <v/>
      </c>
      <c r="G937" s="298" t="str">
        <f aca="true">IF(ISNUMBER($J937),INDIRECT("R"&amp;($J937+4)),"")</f>
        <v/>
      </c>
      <c r="H937" s="298" t="str">
        <f aca="true">IF(ISNUMBER($J937),INDIRECT("S"&amp;($J937+4)),"")</f>
        <v/>
      </c>
      <c r="J937" s="292" t="str">
        <f aca="true">IF(933&lt;=$K$1,MATCH(932.5,INDIRECT("$K$4:$K$1374"),1),"")</f>
        <v/>
      </c>
      <c r="K937" s="292" t="n">
        <f aca="false">$K$900+COUNTIF($Q$901:Q937,"&gt;0")</f>
        <v>0</v>
      </c>
      <c r="L937" s="292" t="str">
        <f aca="false">"Стёкла серии Elephant"&amp;" · "&amp;'Стёкла серии Elephant'!$N$73</f>
        <v>Стёкла серии Elephant · Elephant</v>
      </c>
      <c r="M937" s="292" t="str">
        <f aca="false">IF(ISBLANK('Стёкла серии Elephant'!$O$73),"",'Стёкла серии Elephant'!$O$73)</f>
        <v>A02/M02</v>
      </c>
      <c r="N937" s="292" t="str">
        <f aca="false">""</f>
        <v/>
      </c>
      <c r="O937" s="292" t="str">
        <f aca="false">""</f>
        <v/>
      </c>
      <c r="P937" s="292" t="str">
        <f aca="false">IF(ISBLANK('Стёкла серии Elephant'!$P$73),"",'Стёкла серии Elephant'!$P$73)</f>
        <v>шт.</v>
      </c>
      <c r="Q937" s="292" t="n">
        <f aca="false">N('Стёкла серии Elephant'!$R$73)</f>
        <v>0</v>
      </c>
      <c r="R937" s="299" t="n">
        <f aca="false">IF(ISBLANK('Стёкла серии Elephant'!$Q$73),"",'Стёкла серии Elephant'!$Q$73)</f>
        <v>122.32</v>
      </c>
      <c r="S937" s="292" t="str">
        <f aca="false">IF(ISBLANK('Стёкла серии Elephant'!$S$73),"",'Стёкла серии Elephant'!$S$73)</f>
        <v/>
      </c>
    </row>
    <row r="938" customFormat="false" ht="66" hidden="false" customHeight="true" outlineLevel="0" collapsed="false">
      <c r="A938" s="291" t="str">
        <f aca="true">IF(ISNUMBER($J938),INDIRECT("L"&amp;($J938+4)),"")</f>
        <v/>
      </c>
      <c r="B938" s="291" t="str">
        <f aca="true">IF(ISNUMBER($J938),INDIRECT("M"&amp;($J938+4)),"")</f>
        <v/>
      </c>
      <c r="C938" s="296" t="str">
        <f aca="true">IF(ISNUMBER($J938),INDIRECT("N"&amp;($J938+4)),"")</f>
        <v/>
      </c>
      <c r="D938" s="291" t="str">
        <f aca="true">IF(ISNUMBER($J938),INDIRECT("O"&amp;($J938+4)),"")</f>
        <v/>
      </c>
      <c r="E938" s="291" t="str">
        <f aca="true">IF(ISNUMBER($J938),INDIRECT("P"&amp;($J938+4)),"")</f>
        <v/>
      </c>
      <c r="F938" s="300" t="str">
        <f aca="true">IF(ISNUMBER($J938),INDIRECT("Q"&amp;($J938+4)),"")</f>
        <v/>
      </c>
      <c r="G938" s="298" t="str">
        <f aca="true">IF(ISNUMBER($J938),INDIRECT("R"&amp;($J938+4)),"")</f>
        <v/>
      </c>
      <c r="H938" s="298" t="str">
        <f aca="true">IF(ISNUMBER($J938),INDIRECT("S"&amp;($J938+4)),"")</f>
        <v/>
      </c>
      <c r="J938" s="292" t="str">
        <f aca="true">IF(934&lt;=$K$1,MATCH(933.5,INDIRECT("$K$4:$K$1374"),1),"")</f>
        <v/>
      </c>
      <c r="K938" s="292" t="n">
        <f aca="false">$K$900+COUNTIF($Q$901:Q938,"&gt;0")</f>
        <v>0</v>
      </c>
      <c r="L938" s="292" t="str">
        <f aca="false">"Стёкла серии Elephant"&amp;" · "&amp;'Стёкла серии Elephant'!$N$74</f>
        <v>Стёкла серии Elephant · Elephant</v>
      </c>
      <c r="M938" s="292" t="str">
        <f aca="false">IF(ISBLANK('Стёкла серии Elephant'!$O$74),"",'Стёкла серии Elephant'!$O$74)</f>
        <v>A9-2020</v>
      </c>
      <c r="N938" s="292" t="str">
        <f aca="false">""</f>
        <v/>
      </c>
      <c r="O938" s="292" t="str">
        <f aca="false">""</f>
        <v/>
      </c>
      <c r="P938" s="292" t="str">
        <f aca="false">IF(ISBLANK('Стёкла серии Elephant'!$P$74),"",'Стёкла серии Elephant'!$P$74)</f>
        <v>шт.</v>
      </c>
      <c r="Q938" s="292" t="n">
        <f aca="false">N('Стёкла серии Elephant'!$R$74)</f>
        <v>0</v>
      </c>
      <c r="R938" s="299" t="n">
        <f aca="false">IF(ISBLANK('Стёкла серии Elephant'!$Q$74),"",'Стёкла серии Elephant'!$Q$74)</f>
        <v>122.32</v>
      </c>
      <c r="S938" s="292" t="str">
        <f aca="false">IF(ISBLANK('Стёкла серии Elephant'!$S$74),"",'Стёкла серии Elephant'!$S$74)</f>
        <v/>
      </c>
    </row>
    <row r="939" customFormat="false" ht="66" hidden="false" customHeight="true" outlineLevel="0" collapsed="false">
      <c r="A939" s="291" t="str">
        <f aca="true">IF(ISNUMBER($J939),INDIRECT("L"&amp;($J939+4)),"")</f>
        <v/>
      </c>
      <c r="B939" s="291" t="str">
        <f aca="true">IF(ISNUMBER($J939),INDIRECT("M"&amp;($J939+4)),"")</f>
        <v/>
      </c>
      <c r="C939" s="296" t="str">
        <f aca="true">IF(ISNUMBER($J939),INDIRECT("N"&amp;($J939+4)),"")</f>
        <v/>
      </c>
      <c r="D939" s="291" t="str">
        <f aca="true">IF(ISNUMBER($J939),INDIRECT("O"&amp;($J939+4)),"")</f>
        <v/>
      </c>
      <c r="E939" s="291" t="str">
        <f aca="true">IF(ISNUMBER($J939),INDIRECT("P"&amp;($J939+4)),"")</f>
        <v/>
      </c>
      <c r="F939" s="300" t="str">
        <f aca="true">IF(ISNUMBER($J939),INDIRECT("Q"&amp;($J939+4)),"")</f>
        <v/>
      </c>
      <c r="G939" s="298" t="str">
        <f aca="true">IF(ISNUMBER($J939),INDIRECT("R"&amp;($J939+4)),"")</f>
        <v/>
      </c>
      <c r="H939" s="298" t="str">
        <f aca="true">IF(ISNUMBER($J939),INDIRECT("S"&amp;($J939+4)),"")</f>
        <v/>
      </c>
      <c r="J939" s="292" t="str">
        <f aca="true">IF(935&lt;=$K$1,MATCH(934.5,INDIRECT("$K$4:$K$1374"),1),"")</f>
        <v/>
      </c>
      <c r="K939" s="292" t="n">
        <f aca="false">$K$900+COUNTIF($Q$901:Q939,"&gt;0")</f>
        <v>0</v>
      </c>
      <c r="L939" s="292" t="str">
        <f aca="false">"Стёкла серии Elephant"&amp;" · "&amp;'Стёкла серии Elephant'!$N$75</f>
        <v>Стёкла серии Elephant · Elephant</v>
      </c>
      <c r="M939" s="292" t="str">
        <f aca="false">IF(ISBLANK('Стёкла серии Elephant'!$O$75),"",'Стёкла серии Elephant'!$O$75)</f>
        <v>A11X</v>
      </c>
      <c r="N939" s="292" t="str">
        <f aca="false">""</f>
        <v/>
      </c>
      <c r="O939" s="292" t="str">
        <f aca="false">""</f>
        <v/>
      </c>
      <c r="P939" s="292" t="str">
        <f aca="false">IF(ISBLANK('Стёкла серии Elephant'!$P$75),"",'Стёкла серии Elephant'!$P$75)</f>
        <v>шт.</v>
      </c>
      <c r="Q939" s="292" t="n">
        <f aca="false">N('Стёкла серии Elephant'!$R$75)</f>
        <v>0</v>
      </c>
      <c r="R939" s="299" t="n">
        <f aca="false">IF(ISBLANK('Стёкла серии Elephant'!$Q$75),"",'Стёкла серии Elephant'!$Q$75)</f>
        <v>122.32</v>
      </c>
      <c r="S939" s="292" t="str">
        <f aca="false">IF(ISBLANK('Стёкла серии Elephant'!$S$75),"",'Стёкла серии Elephant'!$S$75)</f>
        <v/>
      </c>
    </row>
    <row r="940" customFormat="false" ht="66" hidden="false" customHeight="true" outlineLevel="0" collapsed="false">
      <c r="A940" s="291" t="str">
        <f aca="true">IF(ISNUMBER($J940),INDIRECT("L"&amp;($J940+4)),"")</f>
        <v/>
      </c>
      <c r="B940" s="291" t="str">
        <f aca="true">IF(ISNUMBER($J940),INDIRECT("M"&amp;($J940+4)),"")</f>
        <v/>
      </c>
      <c r="C940" s="296" t="str">
        <f aca="true">IF(ISNUMBER($J940),INDIRECT("N"&amp;($J940+4)),"")</f>
        <v/>
      </c>
      <c r="D940" s="291" t="str">
        <f aca="true">IF(ISNUMBER($J940),INDIRECT("O"&amp;($J940+4)),"")</f>
        <v/>
      </c>
      <c r="E940" s="291" t="str">
        <f aca="true">IF(ISNUMBER($J940),INDIRECT("P"&amp;($J940+4)),"")</f>
        <v/>
      </c>
      <c r="F940" s="300" t="str">
        <f aca="true">IF(ISNUMBER($J940),INDIRECT("Q"&amp;($J940+4)),"")</f>
        <v/>
      </c>
      <c r="G940" s="298" t="str">
        <f aca="true">IF(ISNUMBER($J940),INDIRECT("R"&amp;($J940+4)),"")</f>
        <v/>
      </c>
      <c r="H940" s="298" t="str">
        <f aca="true">IF(ISNUMBER($J940),INDIRECT("S"&amp;($J940+4)),"")</f>
        <v/>
      </c>
      <c r="J940" s="292" t="str">
        <f aca="true">IF(936&lt;=$K$1,MATCH(935.5,INDIRECT("$K$4:$K$1374"),1),"")</f>
        <v/>
      </c>
      <c r="K940" s="292" t="n">
        <f aca="false">$K$900+COUNTIF($Q$901:Q940,"&gt;0")</f>
        <v>0</v>
      </c>
      <c r="L940" s="292" t="str">
        <f aca="false">"Стёкла серии Elephant"&amp;" · "&amp;'Стёкла серии Elephant'!$N$76</f>
        <v>Стёкла серии Elephant · Elephant</v>
      </c>
      <c r="M940" s="292" t="str">
        <f aca="false">IF(ISBLANK('Стёкла серии Elephant'!$O$76),"",'Стёкла серии Elephant'!$O$76)</f>
        <v>V15 Pro/S1 Pro（domestic edition ）/X27/NEX 2</v>
      </c>
      <c r="N940" s="292" t="str">
        <f aca="false">""</f>
        <v/>
      </c>
      <c r="O940" s="292" t="str">
        <f aca="false">""</f>
        <v/>
      </c>
      <c r="P940" s="292" t="str">
        <f aca="false">IF(ISBLANK('Стёкла серии Elephant'!$P$76),"",'Стёкла серии Elephant'!$P$76)</f>
        <v>шт.</v>
      </c>
      <c r="Q940" s="292" t="n">
        <f aca="false">N('Стёкла серии Elephant'!$R$76)</f>
        <v>0</v>
      </c>
      <c r="R940" s="299" t="n">
        <f aca="false">IF(ISBLANK('Стёкла серии Elephant'!$Q$76),"",'Стёкла серии Elephant'!$Q$76)</f>
        <v>122.32</v>
      </c>
      <c r="S940" s="292" t="str">
        <f aca="false">IF(ISBLANK('Стёкла серии Elephant'!$S$76),"",'Стёкла серии Elephant'!$S$76)</f>
        <v/>
      </c>
    </row>
    <row r="941" customFormat="false" ht="66" hidden="false" customHeight="true" outlineLevel="0" collapsed="false">
      <c r="A941" s="291" t="str">
        <f aca="true">IF(ISNUMBER($J941),INDIRECT("L"&amp;($J941+4)),"")</f>
        <v/>
      </c>
      <c r="B941" s="291" t="str">
        <f aca="true">IF(ISNUMBER($J941),INDIRECT("M"&amp;($J941+4)),"")</f>
        <v/>
      </c>
      <c r="C941" s="296" t="str">
        <f aca="true">IF(ISNUMBER($J941),INDIRECT("N"&amp;($J941+4)),"")</f>
        <v/>
      </c>
      <c r="D941" s="291" t="str">
        <f aca="true">IF(ISNUMBER($J941),INDIRECT("O"&amp;($J941+4)),"")</f>
        <v/>
      </c>
      <c r="E941" s="291" t="str">
        <f aca="true">IF(ISNUMBER($J941),INDIRECT("P"&amp;($J941+4)),"")</f>
        <v/>
      </c>
      <c r="F941" s="300" t="str">
        <f aca="true">IF(ISNUMBER($J941),INDIRECT("Q"&amp;($J941+4)),"")</f>
        <v/>
      </c>
      <c r="G941" s="298" t="str">
        <f aca="true">IF(ISNUMBER($J941),INDIRECT("R"&amp;($J941+4)),"")</f>
        <v/>
      </c>
      <c r="H941" s="298" t="str">
        <f aca="true">IF(ISNUMBER($J941),INDIRECT("S"&amp;($J941+4)),"")</f>
        <v/>
      </c>
      <c r="J941" s="292" t="str">
        <f aca="true">IF(937&lt;=$K$1,MATCH(936.5,INDIRECT("$K$4:$K$1374"),1),"")</f>
        <v/>
      </c>
      <c r="K941" s="292" t="n">
        <f aca="false">$K$900+COUNTIF($Q$901:Q941,"&gt;0")</f>
        <v>0</v>
      </c>
      <c r="L941" s="292" t="str">
        <f aca="false">"Стёкла серии Elephant"&amp;" · "&amp;'Стёкла серии Elephant'!$N$77</f>
        <v>Стёкла серии Elephant · Elephant</v>
      </c>
      <c r="M941" s="292" t="str">
        <f aca="false">IF(ISBLANK('Стёкла серии Elephant'!$O$77),"",'Стёкла серии Elephant'!$O$77)</f>
        <v>iP 6-5.5</v>
      </c>
      <c r="N941" s="292" t="str">
        <f aca="false">""</f>
        <v/>
      </c>
      <c r="O941" s="292" t="str">
        <f aca="false">""</f>
        <v/>
      </c>
      <c r="P941" s="292" t="str">
        <f aca="false">IF(ISBLANK('Стёкла серии Elephant'!$P$77),"",'Стёкла серии Elephant'!$P$77)</f>
        <v>шт.</v>
      </c>
      <c r="Q941" s="292" t="n">
        <f aca="false">N('Стёкла серии Elephant'!$R$77)</f>
        <v>0</v>
      </c>
      <c r="R941" s="299" t="n">
        <f aca="false">IF(ISBLANK('Стёкла серии Elephant'!$Q$77),"",'Стёкла серии Elephant'!$Q$77)</f>
        <v>122.32</v>
      </c>
      <c r="S941" s="292" t="str">
        <f aca="false">IF(ISBLANK('Стёкла серии Elephant'!$S$77),"",'Стёкла серии Elephant'!$S$77)</f>
        <v/>
      </c>
    </row>
    <row r="942" customFormat="false" ht="66" hidden="false" customHeight="true" outlineLevel="0" collapsed="false">
      <c r="A942" s="291" t="str">
        <f aca="true">IF(ISNUMBER($J942),INDIRECT("L"&amp;($J942+4)),"")</f>
        <v/>
      </c>
      <c r="B942" s="291" t="str">
        <f aca="true">IF(ISNUMBER($J942),INDIRECT("M"&amp;($J942+4)),"")</f>
        <v/>
      </c>
      <c r="C942" s="296" t="str">
        <f aca="true">IF(ISNUMBER($J942),INDIRECT("N"&amp;($J942+4)),"")</f>
        <v/>
      </c>
      <c r="D942" s="291" t="str">
        <f aca="true">IF(ISNUMBER($J942),INDIRECT("O"&amp;($J942+4)),"")</f>
        <v/>
      </c>
      <c r="E942" s="291" t="str">
        <f aca="true">IF(ISNUMBER($J942),INDIRECT("P"&amp;($J942+4)),"")</f>
        <v/>
      </c>
      <c r="F942" s="300" t="str">
        <f aca="true">IF(ISNUMBER($J942),INDIRECT("Q"&amp;($J942+4)),"")</f>
        <v/>
      </c>
      <c r="G942" s="298" t="str">
        <f aca="true">IF(ISNUMBER($J942),INDIRECT("R"&amp;($J942+4)),"")</f>
        <v/>
      </c>
      <c r="H942" s="298" t="str">
        <f aca="true">IF(ISNUMBER($J942),INDIRECT("S"&amp;($J942+4)),"")</f>
        <v/>
      </c>
      <c r="J942" s="292" t="str">
        <f aca="true">IF(938&lt;=$K$1,MATCH(937.5,INDIRECT("$K$4:$K$1374"),1),"")</f>
        <v/>
      </c>
      <c r="K942" s="292" t="n">
        <f aca="false">$K$900+COUNTIF($Q$901:Q942,"&gt;0")</f>
        <v>0</v>
      </c>
      <c r="L942" s="292" t="str">
        <f aca="false">"Стёкла серии Elephant"&amp;" · "&amp;'Стёкла серии Elephant'!$N$78</f>
        <v>Стёкла серии Elephant · Elephant</v>
      </c>
      <c r="M942" s="292" t="str">
        <f aca="false">IF(ISBLANK('Стёкла серии Elephant'!$O$78),"",'Стёкла серии Elephant'!$O$78)</f>
        <v>P20 Lite-2019/Nova5i</v>
      </c>
      <c r="N942" s="292" t="str">
        <f aca="false">""</f>
        <v/>
      </c>
      <c r="O942" s="292" t="str">
        <f aca="false">""</f>
        <v/>
      </c>
      <c r="P942" s="292" t="str">
        <f aca="false">IF(ISBLANK('Стёкла серии Elephant'!$P$78),"",'Стёкла серии Elephant'!$P$78)</f>
        <v>шт.</v>
      </c>
      <c r="Q942" s="292" t="n">
        <f aca="false">N('Стёкла серии Elephant'!$R$78)</f>
        <v>0</v>
      </c>
      <c r="R942" s="299" t="n">
        <f aca="false">IF(ISBLANK('Стёкла серии Elephant'!$Q$78),"",'Стёкла серии Elephant'!$Q$78)</f>
        <v>122.32</v>
      </c>
      <c r="S942" s="292" t="str">
        <f aca="false">IF(ISBLANK('Стёкла серии Elephant'!$S$78),"",'Стёкла серии Elephant'!$S$78)</f>
        <v/>
      </c>
    </row>
    <row r="943" customFormat="false" ht="66" hidden="false" customHeight="true" outlineLevel="0" collapsed="false">
      <c r="A943" s="291" t="str">
        <f aca="true">IF(ISNUMBER($J943),INDIRECT("L"&amp;($J943+4)),"")</f>
        <v/>
      </c>
      <c r="B943" s="291" t="str">
        <f aca="true">IF(ISNUMBER($J943),INDIRECT("M"&amp;($J943+4)),"")</f>
        <v/>
      </c>
      <c r="C943" s="296" t="str">
        <f aca="true">IF(ISNUMBER($J943),INDIRECT("N"&amp;($J943+4)),"")</f>
        <v/>
      </c>
      <c r="D943" s="291" t="str">
        <f aca="true">IF(ISNUMBER($J943),INDIRECT("O"&amp;($J943+4)),"")</f>
        <v/>
      </c>
      <c r="E943" s="291" t="str">
        <f aca="true">IF(ISNUMBER($J943),INDIRECT("P"&amp;($J943+4)),"")</f>
        <v/>
      </c>
      <c r="F943" s="300" t="str">
        <f aca="true">IF(ISNUMBER($J943),INDIRECT("Q"&amp;($J943+4)),"")</f>
        <v/>
      </c>
      <c r="G943" s="298" t="str">
        <f aca="true">IF(ISNUMBER($J943),INDIRECT("R"&amp;($J943+4)),"")</f>
        <v/>
      </c>
      <c r="H943" s="298" t="str">
        <f aca="true">IF(ISNUMBER($J943),INDIRECT("S"&amp;($J943+4)),"")</f>
        <v/>
      </c>
      <c r="J943" s="292" t="str">
        <f aca="true">IF(939&lt;=$K$1,MATCH(938.5,INDIRECT("$K$4:$K$1374"),1),"")</f>
        <v/>
      </c>
      <c r="K943" s="292" t="n">
        <f aca="false">$K$900+COUNTIF($Q$901:Q943,"&gt;0")</f>
        <v>0</v>
      </c>
      <c r="L943" s="292" t="str">
        <f aca="false">"Стёкла серии Elephant"&amp;" · "&amp;'Стёкла серии Elephant'!$N$79</f>
        <v>Стёкла серии Elephant · Elephant</v>
      </c>
      <c r="M943" s="292" t="str">
        <f aca="false">IF(ISBLANK('Стёкла серии Elephant'!$O$79),"",'Стёкла серии Elephant'!$O$79)</f>
        <v>Enjoy8E Lite/Play7</v>
      </c>
      <c r="N943" s="292" t="str">
        <f aca="false">""</f>
        <v/>
      </c>
      <c r="O943" s="292" t="str">
        <f aca="false">""</f>
        <v/>
      </c>
      <c r="P943" s="292" t="str">
        <f aca="false">IF(ISBLANK('Стёкла серии Elephant'!$P$79),"",'Стёкла серии Elephant'!$P$79)</f>
        <v>шт.</v>
      </c>
      <c r="Q943" s="292" t="n">
        <f aca="false">N('Стёкла серии Elephant'!$R$79)</f>
        <v>0</v>
      </c>
      <c r="R943" s="299" t="n">
        <f aca="false">IF(ISBLANK('Стёкла серии Elephant'!$Q$79),"",'Стёкла серии Elephant'!$Q$79)</f>
        <v>122.32</v>
      </c>
      <c r="S943" s="292" t="str">
        <f aca="false">IF(ISBLANK('Стёкла серии Elephant'!$S$79),"",'Стёкла серии Elephant'!$S$79)</f>
        <v/>
      </c>
    </row>
    <row r="944" customFormat="false" ht="66" hidden="false" customHeight="true" outlineLevel="0" collapsed="false">
      <c r="A944" s="291" t="str">
        <f aca="true">IF(ISNUMBER($J944),INDIRECT("L"&amp;($J944+4)),"")</f>
        <v/>
      </c>
      <c r="B944" s="291" t="str">
        <f aca="true">IF(ISNUMBER($J944),INDIRECT("M"&amp;($J944+4)),"")</f>
        <v/>
      </c>
      <c r="C944" s="296" t="str">
        <f aca="true">IF(ISNUMBER($J944),INDIRECT("N"&amp;($J944+4)),"")</f>
        <v/>
      </c>
      <c r="D944" s="291" t="str">
        <f aca="true">IF(ISNUMBER($J944),INDIRECT("O"&amp;($J944+4)),"")</f>
        <v/>
      </c>
      <c r="E944" s="291" t="str">
        <f aca="true">IF(ISNUMBER($J944),INDIRECT("P"&amp;($J944+4)),"")</f>
        <v/>
      </c>
      <c r="F944" s="300" t="str">
        <f aca="true">IF(ISNUMBER($J944),INDIRECT("Q"&amp;($J944+4)),"")</f>
        <v/>
      </c>
      <c r="G944" s="298" t="str">
        <f aca="true">IF(ISNUMBER($J944),INDIRECT("R"&amp;($J944+4)),"")</f>
        <v/>
      </c>
      <c r="H944" s="298" t="str">
        <f aca="true">IF(ISNUMBER($J944),INDIRECT("S"&amp;($J944+4)),"")</f>
        <v/>
      </c>
      <c r="J944" s="292" t="str">
        <f aca="true">IF(940&lt;=$K$1,MATCH(939.5,INDIRECT("$K$4:$K$1374"),1),"")</f>
        <v/>
      </c>
      <c r="K944" s="292" t="n">
        <f aca="false">$K$900+COUNTIF($Q$901:Q944,"&gt;0")</f>
        <v>0</v>
      </c>
      <c r="L944" s="292" t="str">
        <f aca="false">"Стёкла серии Elephant"&amp;" · "&amp;'Стёкла серии Elephant'!$N$80</f>
        <v>Стёкла серии Elephant · Elephant</v>
      </c>
      <c r="M944" s="292" t="str">
        <f aca="false">IF(ISBLANK('Стёкла серии Elephant'!$O$80),"",'Стёкла серии Elephant'!$O$80)</f>
        <v>Redmi 7A</v>
      </c>
      <c r="N944" s="292" t="str">
        <f aca="false">""</f>
        <v/>
      </c>
      <c r="O944" s="292" t="str">
        <f aca="false">""</f>
        <v/>
      </c>
      <c r="P944" s="292" t="str">
        <f aca="false">IF(ISBLANK('Стёкла серии Elephant'!$P$80),"",'Стёкла серии Elephant'!$P$80)</f>
        <v>шт.</v>
      </c>
      <c r="Q944" s="292" t="n">
        <f aca="false">N('Стёкла серии Elephant'!$R$80)</f>
        <v>0</v>
      </c>
      <c r="R944" s="299" t="n">
        <f aca="false">IF(ISBLANK('Стёкла серии Elephant'!$Q$80),"",'Стёкла серии Elephant'!$Q$80)</f>
        <v>122.32</v>
      </c>
      <c r="S944" s="292" t="str">
        <f aca="false">IF(ISBLANK('Стёкла серии Elephant'!$S$80),"",'Стёкла серии Elephant'!$S$80)</f>
        <v/>
      </c>
    </row>
    <row r="945" customFormat="false" ht="66" hidden="false" customHeight="true" outlineLevel="0" collapsed="false">
      <c r="A945" s="291" t="str">
        <f aca="true">IF(ISNUMBER($J945),INDIRECT("L"&amp;($J945+4)),"")</f>
        <v/>
      </c>
      <c r="B945" s="291" t="str">
        <f aca="true">IF(ISNUMBER($J945),INDIRECT("M"&amp;($J945+4)),"")</f>
        <v/>
      </c>
      <c r="C945" s="296" t="str">
        <f aca="true">IF(ISNUMBER($J945),INDIRECT("N"&amp;($J945+4)),"")</f>
        <v/>
      </c>
      <c r="D945" s="291" t="str">
        <f aca="true">IF(ISNUMBER($J945),INDIRECT("O"&amp;($J945+4)),"")</f>
        <v/>
      </c>
      <c r="E945" s="291" t="str">
        <f aca="true">IF(ISNUMBER($J945),INDIRECT("P"&amp;($J945+4)),"")</f>
        <v/>
      </c>
      <c r="F945" s="300" t="str">
        <f aca="true">IF(ISNUMBER($J945),INDIRECT("Q"&amp;($J945+4)),"")</f>
        <v/>
      </c>
      <c r="G945" s="298" t="str">
        <f aca="true">IF(ISNUMBER($J945),INDIRECT("R"&amp;($J945+4)),"")</f>
        <v/>
      </c>
      <c r="H945" s="298" t="str">
        <f aca="true">IF(ISNUMBER($J945),INDIRECT("S"&amp;($J945+4)),"")</f>
        <v/>
      </c>
      <c r="J945" s="292" t="str">
        <f aca="true">IF(941&lt;=$K$1,MATCH(940.5,INDIRECT("$K$4:$K$1374"),1),"")</f>
        <v/>
      </c>
      <c r="K945" s="292" t="n">
        <f aca="false">$K$900+COUNTIF($Q$901:Q945,"&gt;0")</f>
        <v>0</v>
      </c>
      <c r="L945" s="292" t="str">
        <f aca="false">"Стёкла серии Elephant"&amp;" · "&amp;'Стёкла серии Elephant'!$N$81</f>
        <v>Стёкла серии Elephant · Elephant</v>
      </c>
      <c r="M945" s="292" t="str">
        <f aca="false">IF(ISBLANK('Стёкла серии Elephant'!$O$81),"",'Стёкла серии Elephant'!$O$81)</f>
        <v>Mi 5X/A1</v>
      </c>
      <c r="N945" s="292" t="str">
        <f aca="false">""</f>
        <v/>
      </c>
      <c r="O945" s="292" t="str">
        <f aca="false">""</f>
        <v/>
      </c>
      <c r="P945" s="292" t="str">
        <f aca="false">IF(ISBLANK('Стёкла серии Elephant'!$P$81),"",'Стёкла серии Elephant'!$P$81)</f>
        <v>шт.</v>
      </c>
      <c r="Q945" s="292" t="n">
        <f aca="false">N('Стёкла серии Elephant'!$R$81)</f>
        <v>0</v>
      </c>
      <c r="R945" s="299" t="n">
        <f aca="false">IF(ISBLANK('Стёкла серии Elephant'!$Q$81),"",'Стёкла серии Elephant'!$Q$81)</f>
        <v>122.32</v>
      </c>
      <c r="S945" s="292" t="str">
        <f aca="false">IF(ISBLANK('Стёкла серии Elephant'!$S$81),"",'Стёкла серии Elephant'!$S$81)</f>
        <v/>
      </c>
    </row>
    <row r="946" customFormat="false" ht="66" hidden="false" customHeight="true" outlineLevel="0" collapsed="false">
      <c r="A946" s="291" t="str">
        <f aca="true">IF(ISNUMBER($J946),INDIRECT("L"&amp;($J946+4)),"")</f>
        <v/>
      </c>
      <c r="B946" s="291" t="str">
        <f aca="true">IF(ISNUMBER($J946),INDIRECT("M"&amp;($J946+4)),"")</f>
        <v/>
      </c>
      <c r="C946" s="296" t="str">
        <f aca="true">IF(ISNUMBER($J946),INDIRECT("N"&amp;($J946+4)),"")</f>
        <v/>
      </c>
      <c r="D946" s="291" t="str">
        <f aca="true">IF(ISNUMBER($J946),INDIRECT("O"&amp;($J946+4)),"")</f>
        <v/>
      </c>
      <c r="E946" s="291" t="str">
        <f aca="true">IF(ISNUMBER($J946),INDIRECT("P"&amp;($J946+4)),"")</f>
        <v/>
      </c>
      <c r="F946" s="300" t="str">
        <f aca="true">IF(ISNUMBER($J946),INDIRECT("Q"&amp;($J946+4)),"")</f>
        <v/>
      </c>
      <c r="G946" s="298" t="str">
        <f aca="true">IF(ISNUMBER($J946),INDIRECT("R"&amp;($J946+4)),"")</f>
        <v/>
      </c>
      <c r="H946" s="298" t="str">
        <f aca="true">IF(ISNUMBER($J946),INDIRECT("S"&amp;($J946+4)),"")</f>
        <v/>
      </c>
      <c r="J946" s="292" t="str">
        <f aca="true">IF(942&lt;=$K$1,MATCH(941.5,INDIRECT("$K$4:$K$1374"),1),"")</f>
        <v/>
      </c>
      <c r="K946" s="292" t="n">
        <f aca="false">$K$900+COUNTIF($Q$901:Q946,"&gt;0")</f>
        <v>0</v>
      </c>
      <c r="L946" s="292" t="str">
        <f aca="false">"Стёкла серии Elephant"&amp;" · "&amp;'Стёкла серии Elephant'!$N$82</f>
        <v>Стёкла серии Elephant · Elephant</v>
      </c>
      <c r="M946" s="292" t="str">
        <f aca="false">IF(ISBLANK('Стёкла серии Elephant'!$O$82),"",'Стёкла серии Elephant'!$O$82)</f>
        <v>J2 Core</v>
      </c>
      <c r="N946" s="292" t="str">
        <f aca="false">""</f>
        <v/>
      </c>
      <c r="O946" s="292" t="str">
        <f aca="false">""</f>
        <v/>
      </c>
      <c r="P946" s="292" t="str">
        <f aca="false">IF(ISBLANK('Стёкла серии Elephant'!$P$82),"",'Стёкла серии Elephant'!$P$82)</f>
        <v>шт.</v>
      </c>
      <c r="Q946" s="292" t="n">
        <f aca="false">N('Стёкла серии Elephant'!$R$82)</f>
        <v>0</v>
      </c>
      <c r="R946" s="299" t="n">
        <f aca="false">IF(ISBLANK('Стёкла серии Elephant'!$Q$82),"",'Стёкла серии Elephant'!$Q$82)</f>
        <v>122.32</v>
      </c>
      <c r="S946" s="292" t="str">
        <f aca="false">IF(ISBLANK('Стёкла серии Elephant'!$S$82),"",'Стёкла серии Elephant'!$S$82)</f>
        <v/>
      </c>
    </row>
    <row r="947" customFormat="false" ht="66" hidden="false" customHeight="true" outlineLevel="0" collapsed="false">
      <c r="A947" s="291" t="str">
        <f aca="true">IF(ISNUMBER($J947),INDIRECT("L"&amp;($J947+4)),"")</f>
        <v/>
      </c>
      <c r="B947" s="291" t="str">
        <f aca="true">IF(ISNUMBER($J947),INDIRECT("M"&amp;($J947+4)),"")</f>
        <v/>
      </c>
      <c r="C947" s="296" t="str">
        <f aca="true">IF(ISNUMBER($J947),INDIRECT("N"&amp;($J947+4)),"")</f>
        <v/>
      </c>
      <c r="D947" s="291" t="str">
        <f aca="true">IF(ISNUMBER($J947),INDIRECT("O"&amp;($J947+4)),"")</f>
        <v/>
      </c>
      <c r="E947" s="291" t="str">
        <f aca="true">IF(ISNUMBER($J947),INDIRECT("P"&amp;($J947+4)),"")</f>
        <v/>
      </c>
      <c r="F947" s="300" t="str">
        <f aca="true">IF(ISNUMBER($J947),INDIRECT("Q"&amp;($J947+4)),"")</f>
        <v/>
      </c>
      <c r="G947" s="298" t="str">
        <f aca="true">IF(ISNUMBER($J947),INDIRECT("R"&amp;($J947+4)),"")</f>
        <v/>
      </c>
      <c r="H947" s="298" t="str">
        <f aca="true">IF(ISNUMBER($J947),INDIRECT("S"&amp;($J947+4)),"")</f>
        <v/>
      </c>
      <c r="J947" s="292" t="str">
        <f aca="true">IF(943&lt;=$K$1,MATCH(942.5,INDIRECT("$K$4:$K$1374"),1),"")</f>
        <v/>
      </c>
      <c r="K947" s="292" t="n">
        <f aca="false">$K$900+COUNTIF($Q$901:Q947,"&gt;0")</f>
        <v>0</v>
      </c>
      <c r="L947" s="292" t="str">
        <f aca="false">"Стёкла серии Elephant"&amp;" · "&amp;'Стёкла серии Elephant'!$N$83</f>
        <v>Стёкла серии Elephant · Elephant</v>
      </c>
      <c r="M947" s="292" t="str">
        <f aca="false">IF(ISBLANK('Стёкла серии Elephant'!$O$83),"",'Стёкла серии Elephant'!$O$83)</f>
        <v>A02S/M02S/F02S</v>
      </c>
      <c r="N947" s="292" t="str">
        <f aca="false">""</f>
        <v/>
      </c>
      <c r="O947" s="292" t="str">
        <f aca="false">""</f>
        <v/>
      </c>
      <c r="P947" s="292" t="str">
        <f aca="false">IF(ISBLANK('Стёкла серии Elephant'!$P$83),"",'Стёкла серии Elephant'!$P$83)</f>
        <v>шт.</v>
      </c>
      <c r="Q947" s="292" t="n">
        <f aca="false">N('Стёкла серии Elephant'!$R$83)</f>
        <v>0</v>
      </c>
      <c r="R947" s="299" t="n">
        <f aca="false">IF(ISBLANK('Стёкла серии Elephant'!$Q$83),"",'Стёкла серии Elephant'!$Q$83)</f>
        <v>122.32</v>
      </c>
      <c r="S947" s="292" t="str">
        <f aca="false">IF(ISBLANK('Стёкла серии Elephant'!$S$83),"",'Стёкла серии Elephant'!$S$83)</f>
        <v/>
      </c>
    </row>
    <row r="948" customFormat="false" ht="66" hidden="false" customHeight="true" outlineLevel="0" collapsed="false">
      <c r="A948" s="291" t="str">
        <f aca="true">IF(ISNUMBER($J948),INDIRECT("L"&amp;($J948+4)),"")</f>
        <v/>
      </c>
      <c r="B948" s="291" t="str">
        <f aca="true">IF(ISNUMBER($J948),INDIRECT("M"&amp;($J948+4)),"")</f>
        <v/>
      </c>
      <c r="C948" s="296" t="str">
        <f aca="true">IF(ISNUMBER($J948),INDIRECT("N"&amp;($J948+4)),"")</f>
        <v/>
      </c>
      <c r="D948" s="291" t="str">
        <f aca="true">IF(ISNUMBER($J948),INDIRECT("O"&amp;($J948+4)),"")</f>
        <v/>
      </c>
      <c r="E948" s="291" t="str">
        <f aca="true">IF(ISNUMBER($J948),INDIRECT("P"&amp;($J948+4)),"")</f>
        <v/>
      </c>
      <c r="F948" s="300" t="str">
        <f aca="true">IF(ISNUMBER($J948),INDIRECT("Q"&amp;($J948+4)),"")</f>
        <v/>
      </c>
      <c r="G948" s="298" t="str">
        <f aca="true">IF(ISNUMBER($J948),INDIRECT("R"&amp;($J948+4)),"")</f>
        <v/>
      </c>
      <c r="H948" s="298" t="str">
        <f aca="true">IF(ISNUMBER($J948),INDIRECT("S"&amp;($J948+4)),"")</f>
        <v/>
      </c>
      <c r="J948" s="292" t="str">
        <f aca="true">IF(944&lt;=$K$1,MATCH(943.5,INDIRECT("$K$4:$K$1374"),1),"")</f>
        <v/>
      </c>
      <c r="K948" s="292" t="n">
        <f aca="false">$K$900+COUNTIF($Q$901:Q948,"&gt;0")</f>
        <v>0</v>
      </c>
      <c r="L948" s="292" t="str">
        <f aca="false">"Стёкла серии Elephant"&amp;" · "&amp;'Стёкла серии Elephant'!$N$84</f>
        <v>Стёкла серии Elephant · Elephant</v>
      </c>
      <c r="M948" s="292" t="str">
        <f aca="false">IF(ISBLANK('Стёкла серии Elephant'!$O$84),"",'Стёкла серии Elephant'!$O$84)</f>
        <v>A5-2020</v>
      </c>
      <c r="N948" s="292" t="str">
        <f aca="false">""</f>
        <v/>
      </c>
      <c r="O948" s="292" t="str">
        <f aca="false">""</f>
        <v/>
      </c>
      <c r="P948" s="292" t="str">
        <f aca="false">IF(ISBLANK('Стёкла серии Elephant'!$P$84),"",'Стёкла серии Elephant'!$P$84)</f>
        <v>шт.</v>
      </c>
      <c r="Q948" s="292" t="n">
        <f aca="false">N('Стёкла серии Elephant'!$R$84)</f>
        <v>0</v>
      </c>
      <c r="R948" s="299" t="n">
        <f aca="false">IF(ISBLANK('Стёкла серии Elephant'!$Q$84),"",'Стёкла серии Elephant'!$Q$84)</f>
        <v>122.32</v>
      </c>
      <c r="S948" s="292" t="str">
        <f aca="false">IF(ISBLANK('Стёкла серии Elephant'!$S$84),"",'Стёкла серии Elephant'!$S$84)</f>
        <v/>
      </c>
    </row>
    <row r="949" customFormat="false" ht="66" hidden="false" customHeight="true" outlineLevel="0" collapsed="false">
      <c r="A949" s="291" t="str">
        <f aca="true">IF(ISNUMBER($J949),INDIRECT("L"&amp;($J949+4)),"")</f>
        <v/>
      </c>
      <c r="B949" s="291" t="str">
        <f aca="true">IF(ISNUMBER($J949),INDIRECT("M"&amp;($J949+4)),"")</f>
        <v/>
      </c>
      <c r="C949" s="296" t="str">
        <f aca="true">IF(ISNUMBER($J949),INDIRECT("N"&amp;($J949+4)),"")</f>
        <v/>
      </c>
      <c r="D949" s="291" t="str">
        <f aca="true">IF(ISNUMBER($J949),INDIRECT("O"&amp;($J949+4)),"")</f>
        <v/>
      </c>
      <c r="E949" s="291" t="str">
        <f aca="true">IF(ISNUMBER($J949),INDIRECT("P"&amp;($J949+4)),"")</f>
        <v/>
      </c>
      <c r="F949" s="300" t="str">
        <f aca="true">IF(ISNUMBER($J949),INDIRECT("Q"&amp;($J949+4)),"")</f>
        <v/>
      </c>
      <c r="G949" s="298" t="str">
        <f aca="true">IF(ISNUMBER($J949),INDIRECT("R"&amp;($J949+4)),"")</f>
        <v/>
      </c>
      <c r="H949" s="298" t="str">
        <f aca="true">IF(ISNUMBER($J949),INDIRECT("S"&amp;($J949+4)),"")</f>
        <v/>
      </c>
      <c r="J949" s="292" t="str">
        <f aca="true">IF(945&lt;=$K$1,MATCH(944.5,INDIRECT("$K$4:$K$1374"),1),"")</f>
        <v/>
      </c>
      <c r="K949" s="292" t="n">
        <f aca="false">$K$900+COUNTIF($Q$901:Q949,"&gt;0")</f>
        <v>0</v>
      </c>
      <c r="L949" s="292" t="str">
        <f aca="false">"Стёкла серии Elephant"&amp;" · "&amp;'Стёкла серии Elephant'!$N$85</f>
        <v>Стёкла серии Elephant · Elephant</v>
      </c>
      <c r="M949" s="292" t="str">
        <f aca="false">IF(ISBLANK('Стёкла серии Elephant'!$O$85),"",'Стёкла серии Elephant'!$O$85)</f>
        <v>A11K</v>
      </c>
      <c r="N949" s="292" t="str">
        <f aca="false">""</f>
        <v/>
      </c>
      <c r="O949" s="292" t="str">
        <f aca="false">""</f>
        <v/>
      </c>
      <c r="P949" s="292" t="str">
        <f aca="false">IF(ISBLANK('Стёкла серии Elephant'!$P$85),"",'Стёкла серии Elephant'!$P$85)</f>
        <v>шт.</v>
      </c>
      <c r="Q949" s="292" t="n">
        <f aca="false">N('Стёкла серии Elephant'!$R$85)</f>
        <v>0</v>
      </c>
      <c r="R949" s="299" t="n">
        <f aca="false">IF(ISBLANK('Стёкла серии Elephant'!$Q$85),"",'Стёкла серии Elephant'!$Q$85)</f>
        <v>122.32</v>
      </c>
      <c r="S949" s="292" t="str">
        <f aca="false">IF(ISBLANK('Стёкла серии Elephant'!$S$85),"",'Стёкла серии Elephant'!$S$85)</f>
        <v/>
      </c>
    </row>
    <row r="950" customFormat="false" ht="66" hidden="false" customHeight="true" outlineLevel="0" collapsed="false">
      <c r="A950" s="291" t="str">
        <f aca="true">IF(ISNUMBER($J950),INDIRECT("L"&amp;($J950+4)),"")</f>
        <v/>
      </c>
      <c r="B950" s="291" t="str">
        <f aca="true">IF(ISNUMBER($J950),INDIRECT("M"&amp;($J950+4)),"")</f>
        <v/>
      </c>
      <c r="C950" s="296" t="str">
        <f aca="true">IF(ISNUMBER($J950),INDIRECT("N"&amp;($J950+4)),"")</f>
        <v/>
      </c>
      <c r="D950" s="291" t="str">
        <f aca="true">IF(ISNUMBER($J950),INDIRECT("O"&amp;($J950+4)),"")</f>
        <v/>
      </c>
      <c r="E950" s="291" t="str">
        <f aca="true">IF(ISNUMBER($J950),INDIRECT("P"&amp;($J950+4)),"")</f>
        <v/>
      </c>
      <c r="F950" s="300" t="str">
        <f aca="true">IF(ISNUMBER($J950),INDIRECT("Q"&amp;($J950+4)),"")</f>
        <v/>
      </c>
      <c r="G950" s="298" t="str">
        <f aca="true">IF(ISNUMBER($J950),INDIRECT("R"&amp;($J950+4)),"")</f>
        <v/>
      </c>
      <c r="H950" s="298" t="str">
        <f aca="true">IF(ISNUMBER($J950),INDIRECT("S"&amp;($J950+4)),"")</f>
        <v/>
      </c>
      <c r="J950" s="292" t="str">
        <f aca="true">IF(946&lt;=$K$1,MATCH(945.5,INDIRECT("$K$4:$K$1374"),1),"")</f>
        <v/>
      </c>
      <c r="K950" s="292" t="n">
        <f aca="false">$K$900+COUNTIF($Q$901:Q950,"&gt;0")</f>
        <v>0</v>
      </c>
      <c r="L950" s="292" t="str">
        <f aca="false">"Стёкла серии Elephant"&amp;" · "&amp;'Стёкла серии Elephant'!$N$86</f>
        <v>Стёкла серии Elephant · Elephant</v>
      </c>
      <c r="M950" s="292" t="str">
        <f aca="false">IF(ISBLANK('Стёкла серии Elephant'!$O$86),"",'Стёкла серии Elephant'!$O$86)</f>
        <v>V11/V11 Pro/X23/X21S</v>
      </c>
      <c r="N950" s="292" t="str">
        <f aca="false">""</f>
        <v/>
      </c>
      <c r="O950" s="292" t="str">
        <f aca="false">""</f>
        <v/>
      </c>
      <c r="P950" s="292" t="str">
        <f aca="false">IF(ISBLANK('Стёкла серии Elephant'!$P$86),"",'Стёкла серии Elephant'!$P$86)</f>
        <v>шт.</v>
      </c>
      <c r="Q950" s="292" t="n">
        <f aca="false">N('Стёкла серии Elephant'!$R$86)</f>
        <v>0</v>
      </c>
      <c r="R950" s="299" t="n">
        <f aca="false">IF(ISBLANK('Стёкла серии Elephant'!$Q$86),"",'Стёкла серии Elephant'!$Q$86)</f>
        <v>122.32</v>
      </c>
      <c r="S950" s="292" t="str">
        <f aca="false">IF(ISBLANK('Стёкла серии Elephant'!$S$86),"",'Стёкла серии Elephant'!$S$86)</f>
        <v/>
      </c>
    </row>
    <row r="951" customFormat="false" ht="66" hidden="false" customHeight="true" outlineLevel="0" collapsed="false">
      <c r="A951" s="291" t="str">
        <f aca="true">IF(ISNUMBER($J951),INDIRECT("L"&amp;($J951+4)),"")</f>
        <v/>
      </c>
      <c r="B951" s="291" t="str">
        <f aca="true">IF(ISNUMBER($J951),INDIRECT("M"&amp;($J951+4)),"")</f>
        <v/>
      </c>
      <c r="C951" s="296" t="str">
        <f aca="true">IF(ISNUMBER($J951),INDIRECT("N"&amp;($J951+4)),"")</f>
        <v/>
      </c>
      <c r="D951" s="291" t="str">
        <f aca="true">IF(ISNUMBER($J951),INDIRECT("O"&amp;($J951+4)),"")</f>
        <v/>
      </c>
      <c r="E951" s="291" t="str">
        <f aca="true">IF(ISNUMBER($J951),INDIRECT("P"&amp;($J951+4)),"")</f>
        <v/>
      </c>
      <c r="F951" s="300" t="str">
        <f aca="true">IF(ISNUMBER($J951),INDIRECT("Q"&amp;($J951+4)),"")</f>
        <v/>
      </c>
      <c r="G951" s="298" t="str">
        <f aca="true">IF(ISNUMBER($J951),INDIRECT("R"&amp;($J951+4)),"")</f>
        <v/>
      </c>
      <c r="H951" s="298" t="str">
        <f aca="true">IF(ISNUMBER($J951),INDIRECT("S"&amp;($J951+4)),"")</f>
        <v/>
      </c>
      <c r="J951" s="292" t="str">
        <f aca="true">IF(947&lt;=$K$1,MATCH(946.5,INDIRECT("$K$4:$K$1374"),1),"")</f>
        <v/>
      </c>
      <c r="K951" s="292" t="n">
        <f aca="false">$K$900+COUNTIF($Q$901:Q951,"&gt;0")</f>
        <v>0</v>
      </c>
      <c r="L951" s="292" t="str">
        <f aca="false">"Стёкла серии Elephant"&amp;" · "&amp;'Стёкла серии Elephant'!$N$87</f>
        <v>Стёкла серии Elephant · Elephant</v>
      </c>
      <c r="M951" s="292" t="str">
        <f aca="false">IF(ISBLANK('Стёкла серии Elephant'!$O$87),"",'Стёкла серии Elephant'!$O$87)</f>
        <v>iP 7/8-4.7</v>
      </c>
      <c r="N951" s="292" t="str">
        <f aca="false">""</f>
        <v/>
      </c>
      <c r="O951" s="292" t="str">
        <f aca="false">""</f>
        <v/>
      </c>
      <c r="P951" s="292" t="str">
        <f aca="false">IF(ISBLANK('Стёкла серии Elephant'!$P$87),"",'Стёкла серии Elephant'!$P$87)</f>
        <v>шт.</v>
      </c>
      <c r="Q951" s="292" t="n">
        <f aca="false">N('Стёкла серии Elephant'!$R$87)</f>
        <v>0</v>
      </c>
      <c r="R951" s="299" t="n">
        <f aca="false">IF(ISBLANK('Стёкла серии Elephant'!$Q$87),"",'Стёкла серии Elephant'!$Q$87)</f>
        <v>122.32</v>
      </c>
      <c r="S951" s="292" t="str">
        <f aca="false">IF(ISBLANK('Стёкла серии Elephant'!$S$87),"",'Стёкла серии Elephant'!$S$87)</f>
        <v/>
      </c>
    </row>
    <row r="952" customFormat="false" ht="66" hidden="false" customHeight="true" outlineLevel="0" collapsed="false">
      <c r="A952" s="291" t="str">
        <f aca="true">IF(ISNUMBER($J952),INDIRECT("L"&amp;($J952+4)),"")</f>
        <v/>
      </c>
      <c r="B952" s="291" t="str">
        <f aca="true">IF(ISNUMBER($J952),INDIRECT("M"&amp;($J952+4)),"")</f>
        <v/>
      </c>
      <c r="C952" s="296" t="str">
        <f aca="true">IF(ISNUMBER($J952),INDIRECT("N"&amp;($J952+4)),"")</f>
        <v/>
      </c>
      <c r="D952" s="291" t="str">
        <f aca="true">IF(ISNUMBER($J952),INDIRECT("O"&amp;($J952+4)),"")</f>
        <v/>
      </c>
      <c r="E952" s="291" t="str">
        <f aca="true">IF(ISNUMBER($J952),INDIRECT("P"&amp;($J952+4)),"")</f>
        <v/>
      </c>
      <c r="F952" s="300" t="str">
        <f aca="true">IF(ISNUMBER($J952),INDIRECT("Q"&amp;($J952+4)),"")</f>
        <v/>
      </c>
      <c r="G952" s="298" t="str">
        <f aca="true">IF(ISNUMBER($J952),INDIRECT("R"&amp;($J952+4)),"")</f>
        <v/>
      </c>
      <c r="H952" s="298" t="str">
        <f aca="true">IF(ISNUMBER($J952),INDIRECT("S"&amp;($J952+4)),"")</f>
        <v/>
      </c>
      <c r="J952" s="292" t="str">
        <f aca="true">IF(948&lt;=$K$1,MATCH(947.5,INDIRECT("$K$4:$K$1374"),1),"")</f>
        <v/>
      </c>
      <c r="K952" s="292" t="n">
        <f aca="false">$K$900+COUNTIF($Q$901:Q952,"&gt;0")</f>
        <v>0</v>
      </c>
      <c r="L952" s="292" t="str">
        <f aca="false">"Стёкла серии Elephant"&amp;" · "&amp;'Стёкла серии Elephant'!$N$88</f>
        <v>Стёкла серии Elephant · Elephant</v>
      </c>
      <c r="M952" s="292" t="str">
        <f aca="false">IF(ISBLANK('Стёкла серии Elephant'!$O$88),"",'Стёкла серии Elephant'!$O$88)</f>
        <v>P20 Lite/Nova3E</v>
      </c>
      <c r="N952" s="292" t="str">
        <f aca="false">""</f>
        <v/>
      </c>
      <c r="O952" s="292" t="str">
        <f aca="false">""</f>
        <v/>
      </c>
      <c r="P952" s="292" t="str">
        <f aca="false">IF(ISBLANK('Стёкла серии Elephant'!$P$88),"",'Стёкла серии Elephant'!$P$88)</f>
        <v>шт.</v>
      </c>
      <c r="Q952" s="292" t="n">
        <f aca="false">N('Стёкла серии Elephant'!$R$88)</f>
        <v>0</v>
      </c>
      <c r="R952" s="299" t="n">
        <f aca="false">IF(ISBLANK('Стёкла серии Elephant'!$Q$88),"",'Стёкла серии Elephant'!$Q$88)</f>
        <v>122.32</v>
      </c>
      <c r="S952" s="292" t="str">
        <f aca="false">IF(ISBLANK('Стёкла серии Elephant'!$S$88),"",'Стёкла серии Elephant'!$S$88)</f>
        <v/>
      </c>
    </row>
    <row r="953" customFormat="false" ht="66" hidden="false" customHeight="true" outlineLevel="0" collapsed="false">
      <c r="A953" s="291" t="str">
        <f aca="true">IF(ISNUMBER($J953),INDIRECT("L"&amp;($J953+4)),"")</f>
        <v/>
      </c>
      <c r="B953" s="291" t="str">
        <f aca="true">IF(ISNUMBER($J953),INDIRECT("M"&amp;($J953+4)),"")</f>
        <v/>
      </c>
      <c r="C953" s="296" t="str">
        <f aca="true">IF(ISNUMBER($J953),INDIRECT("N"&amp;($J953+4)),"")</f>
        <v/>
      </c>
      <c r="D953" s="291" t="str">
        <f aca="true">IF(ISNUMBER($J953),INDIRECT("O"&amp;($J953+4)),"")</f>
        <v/>
      </c>
      <c r="E953" s="291" t="str">
        <f aca="true">IF(ISNUMBER($J953),INDIRECT("P"&amp;($J953+4)),"")</f>
        <v/>
      </c>
      <c r="F953" s="300" t="str">
        <f aca="true">IF(ISNUMBER($J953),INDIRECT("Q"&amp;($J953+4)),"")</f>
        <v/>
      </c>
      <c r="G953" s="298" t="str">
        <f aca="true">IF(ISNUMBER($J953),INDIRECT("R"&amp;($J953+4)),"")</f>
        <v/>
      </c>
      <c r="H953" s="298" t="str">
        <f aca="true">IF(ISNUMBER($J953),INDIRECT("S"&amp;($J953+4)),"")</f>
        <v/>
      </c>
      <c r="J953" s="292" t="str">
        <f aca="true">IF(949&lt;=$K$1,MATCH(948.5,INDIRECT("$K$4:$K$1374"),1),"")</f>
        <v/>
      </c>
      <c r="K953" s="292" t="n">
        <f aca="false">$K$900+COUNTIF($Q$901:Q953,"&gt;0")</f>
        <v>0</v>
      </c>
      <c r="L953" s="292" t="str">
        <f aca="false">"Стёкла серии Elephant"&amp;" · "&amp;'Стёкла серии Elephant'!$N$89</f>
        <v>Стёкла серии Elephant · Elephant</v>
      </c>
      <c r="M953" s="292" t="str">
        <f aca="false">IF(ISBLANK('Стёкла серии Elephant'!$O$89),"",'Стёкла серии Elephant'!$O$89)</f>
        <v>Honor 30/30s</v>
      </c>
      <c r="N953" s="292" t="str">
        <f aca="false">""</f>
        <v/>
      </c>
      <c r="O953" s="292" t="str">
        <f aca="false">""</f>
        <v/>
      </c>
      <c r="P953" s="292" t="str">
        <f aca="false">IF(ISBLANK('Стёкла серии Elephant'!$P$89),"",'Стёкла серии Elephant'!$P$89)</f>
        <v>шт.</v>
      </c>
      <c r="Q953" s="292" t="n">
        <f aca="false">N('Стёкла серии Elephant'!$R$89)</f>
        <v>0</v>
      </c>
      <c r="R953" s="299" t="n">
        <f aca="false">IF(ISBLANK('Стёкла серии Elephant'!$Q$89),"",'Стёкла серии Elephant'!$Q$89)</f>
        <v>122.32</v>
      </c>
      <c r="S953" s="292" t="str">
        <f aca="false">IF(ISBLANK('Стёкла серии Elephant'!$S$89),"",'Стёкла серии Elephant'!$S$89)</f>
        <v/>
      </c>
    </row>
    <row r="954" customFormat="false" ht="66" hidden="false" customHeight="true" outlineLevel="0" collapsed="false">
      <c r="A954" s="291" t="str">
        <f aca="true">IF(ISNUMBER($J954),INDIRECT("L"&amp;($J954+4)),"")</f>
        <v/>
      </c>
      <c r="B954" s="291" t="str">
        <f aca="true">IF(ISNUMBER($J954),INDIRECT("M"&amp;($J954+4)),"")</f>
        <v/>
      </c>
      <c r="C954" s="296" t="str">
        <f aca="true">IF(ISNUMBER($J954),INDIRECT("N"&amp;($J954+4)),"")</f>
        <v/>
      </c>
      <c r="D954" s="291" t="str">
        <f aca="true">IF(ISNUMBER($J954),INDIRECT("O"&amp;($J954+4)),"")</f>
        <v/>
      </c>
      <c r="E954" s="291" t="str">
        <f aca="true">IF(ISNUMBER($J954),INDIRECT("P"&amp;($J954+4)),"")</f>
        <v/>
      </c>
      <c r="F954" s="300" t="str">
        <f aca="true">IF(ISNUMBER($J954),INDIRECT("Q"&amp;($J954+4)),"")</f>
        <v/>
      </c>
      <c r="G954" s="298" t="str">
        <f aca="true">IF(ISNUMBER($J954),INDIRECT("R"&amp;($J954+4)),"")</f>
        <v/>
      </c>
      <c r="H954" s="298" t="str">
        <f aca="true">IF(ISNUMBER($J954),INDIRECT("S"&amp;($J954+4)),"")</f>
        <v/>
      </c>
      <c r="J954" s="292" t="str">
        <f aca="true">IF(950&lt;=$K$1,MATCH(949.5,INDIRECT("$K$4:$K$1374"),1),"")</f>
        <v/>
      </c>
      <c r="K954" s="292" t="n">
        <f aca="false">$K$900+COUNTIF($Q$901:Q954,"&gt;0")</f>
        <v>0</v>
      </c>
      <c r="L954" s="292" t="str">
        <f aca="false">"Стёкла серии Elephant"&amp;" · "&amp;'Стёкла серии Elephant'!$N$90</f>
        <v>Стёкла серии Elephant · Elephant</v>
      </c>
      <c r="M954" s="292" t="str">
        <f aca="false">IF(ISBLANK('Стёкла серии Elephant'!$O$90),"",'Стёкла серии Elephant'!$O$90)</f>
        <v>Redmi Note7/Note7 Pro</v>
      </c>
      <c r="N954" s="292" t="str">
        <f aca="false">""</f>
        <v/>
      </c>
      <c r="O954" s="292" t="str">
        <f aca="false">""</f>
        <v/>
      </c>
      <c r="P954" s="292" t="str">
        <f aca="false">IF(ISBLANK('Стёкла серии Elephant'!$P$90),"",'Стёкла серии Elephant'!$P$90)</f>
        <v>шт.</v>
      </c>
      <c r="Q954" s="292" t="n">
        <f aca="false">N('Стёкла серии Elephant'!$R$90)</f>
        <v>0</v>
      </c>
      <c r="R954" s="299" t="n">
        <f aca="false">IF(ISBLANK('Стёкла серии Elephant'!$Q$90),"",'Стёкла серии Elephant'!$Q$90)</f>
        <v>122.32</v>
      </c>
      <c r="S954" s="292" t="str">
        <f aca="false">IF(ISBLANK('Стёкла серии Elephant'!$S$90),"",'Стёкла серии Elephant'!$S$90)</f>
        <v/>
      </c>
    </row>
    <row r="955" customFormat="false" ht="66" hidden="false" customHeight="true" outlineLevel="0" collapsed="false">
      <c r="A955" s="291" t="str">
        <f aca="true">IF(ISNUMBER($J955),INDIRECT("L"&amp;($J955+4)),"")</f>
        <v/>
      </c>
      <c r="B955" s="291" t="str">
        <f aca="true">IF(ISNUMBER($J955),INDIRECT("M"&amp;($J955+4)),"")</f>
        <v/>
      </c>
      <c r="C955" s="296" t="str">
        <f aca="true">IF(ISNUMBER($J955),INDIRECT("N"&amp;($J955+4)),"")</f>
        <v/>
      </c>
      <c r="D955" s="291" t="str">
        <f aca="true">IF(ISNUMBER($J955),INDIRECT("O"&amp;($J955+4)),"")</f>
        <v/>
      </c>
      <c r="E955" s="291" t="str">
        <f aca="true">IF(ISNUMBER($J955),INDIRECT("P"&amp;($J955+4)),"")</f>
        <v/>
      </c>
      <c r="F955" s="300" t="str">
        <f aca="true">IF(ISNUMBER($J955),INDIRECT("Q"&amp;($J955+4)),"")</f>
        <v/>
      </c>
      <c r="G955" s="298" t="str">
        <f aca="true">IF(ISNUMBER($J955),INDIRECT("R"&amp;($J955+4)),"")</f>
        <v/>
      </c>
      <c r="H955" s="298" t="str">
        <f aca="true">IF(ISNUMBER($J955),INDIRECT("S"&amp;($J955+4)),"")</f>
        <v/>
      </c>
      <c r="J955" s="292" t="str">
        <f aca="true">IF(951&lt;=$K$1,MATCH(950.5,INDIRECT("$K$4:$K$1374"),1),"")</f>
        <v/>
      </c>
      <c r="K955" s="292" t="n">
        <f aca="false">$K$900+COUNTIF($Q$901:Q955,"&gt;0")</f>
        <v>0</v>
      </c>
      <c r="L955" s="292" t="str">
        <f aca="false">"Стёкла серии Elephant"&amp;" · "&amp;'Стёкла серии Elephant'!$N$91</f>
        <v>Стёкла серии Elephant · Elephant</v>
      </c>
      <c r="M955" s="292" t="str">
        <f aca="false">IF(ISBLANK('Стёкла серии Elephant'!$O$91),"",'Стёкла серии Elephant'!$O$91)</f>
        <v>Mi  Play</v>
      </c>
      <c r="N955" s="292" t="str">
        <f aca="false">""</f>
        <v/>
      </c>
      <c r="O955" s="292" t="str">
        <f aca="false">""</f>
        <v/>
      </c>
      <c r="P955" s="292" t="str">
        <f aca="false">IF(ISBLANK('Стёкла серии Elephant'!$P$91),"",'Стёкла серии Elephant'!$P$91)</f>
        <v>шт.</v>
      </c>
      <c r="Q955" s="292" t="n">
        <f aca="false">N('Стёкла серии Elephant'!$R$91)</f>
        <v>0</v>
      </c>
      <c r="R955" s="299" t="n">
        <f aca="false">IF(ISBLANK('Стёкла серии Elephant'!$Q$91),"",'Стёкла серии Elephant'!$Q$91)</f>
        <v>122.32</v>
      </c>
      <c r="S955" s="292" t="str">
        <f aca="false">IF(ISBLANK('Стёкла серии Elephant'!$S$91),"",'Стёкла серии Elephant'!$S$91)</f>
        <v/>
      </c>
    </row>
    <row r="956" customFormat="false" ht="66" hidden="false" customHeight="true" outlineLevel="0" collapsed="false">
      <c r="A956" s="291" t="str">
        <f aca="true">IF(ISNUMBER($J956),INDIRECT("L"&amp;($J956+4)),"")</f>
        <v/>
      </c>
      <c r="B956" s="291" t="str">
        <f aca="true">IF(ISNUMBER($J956),INDIRECT("M"&amp;($J956+4)),"")</f>
        <v/>
      </c>
      <c r="C956" s="296" t="str">
        <f aca="true">IF(ISNUMBER($J956),INDIRECT("N"&amp;($J956+4)),"")</f>
        <v/>
      </c>
      <c r="D956" s="291" t="str">
        <f aca="true">IF(ISNUMBER($J956),INDIRECT("O"&amp;($J956+4)),"")</f>
        <v/>
      </c>
      <c r="E956" s="291" t="str">
        <f aca="true">IF(ISNUMBER($J956),INDIRECT("P"&amp;($J956+4)),"")</f>
        <v/>
      </c>
      <c r="F956" s="300" t="str">
        <f aca="true">IF(ISNUMBER($J956),INDIRECT("Q"&amp;($J956+4)),"")</f>
        <v/>
      </c>
      <c r="G956" s="298" t="str">
        <f aca="true">IF(ISNUMBER($J956),INDIRECT("R"&amp;($J956+4)),"")</f>
        <v/>
      </c>
      <c r="H956" s="298" t="str">
        <f aca="true">IF(ISNUMBER($J956),INDIRECT("S"&amp;($J956+4)),"")</f>
        <v/>
      </c>
      <c r="J956" s="292" t="str">
        <f aca="true">IF(952&lt;=$K$1,MATCH(951.5,INDIRECT("$K$4:$K$1374"),1),"")</f>
        <v/>
      </c>
      <c r="K956" s="292" t="n">
        <f aca="false">$K$900+COUNTIF($Q$901:Q956,"&gt;0")</f>
        <v>0</v>
      </c>
      <c r="L956" s="292" t="str">
        <f aca="false">"Стёкла серии Elephant"&amp;" · "&amp;'Стёкла серии Elephant'!$N$92</f>
        <v>Стёкла серии Elephant · Elephant</v>
      </c>
      <c r="M956" s="292" t="str">
        <f aca="false">IF(ISBLANK('Стёкла серии Elephant'!$O$92),"",'Стёкла серии Elephant'!$O$92)</f>
        <v>Jean 2</v>
      </c>
      <c r="N956" s="292" t="str">
        <f aca="false">""</f>
        <v/>
      </c>
      <c r="O956" s="292" t="str">
        <f aca="false">""</f>
        <v/>
      </c>
      <c r="P956" s="292" t="str">
        <f aca="false">IF(ISBLANK('Стёкла серии Elephant'!$P$92),"",'Стёкла серии Elephant'!$P$92)</f>
        <v>шт.</v>
      </c>
      <c r="Q956" s="292" t="n">
        <f aca="false">N('Стёкла серии Elephant'!$R$92)</f>
        <v>0</v>
      </c>
      <c r="R956" s="299" t="n">
        <f aca="false">IF(ISBLANK('Стёкла серии Elephant'!$Q$92),"",'Стёкла серии Elephant'!$Q$92)</f>
        <v>122.32</v>
      </c>
      <c r="S956" s="292" t="str">
        <f aca="false">IF(ISBLANK('Стёкла серии Elephant'!$S$92),"",'Стёкла серии Elephant'!$S$92)</f>
        <v/>
      </c>
    </row>
    <row r="957" customFormat="false" ht="66" hidden="false" customHeight="true" outlineLevel="0" collapsed="false">
      <c r="A957" s="291" t="str">
        <f aca="true">IF(ISNUMBER($J957),INDIRECT("L"&amp;($J957+4)),"")</f>
        <v/>
      </c>
      <c r="B957" s="291" t="str">
        <f aca="true">IF(ISNUMBER($J957),INDIRECT("M"&amp;($J957+4)),"")</f>
        <v/>
      </c>
      <c r="C957" s="296" t="str">
        <f aca="true">IF(ISNUMBER($J957),INDIRECT("N"&amp;($J957+4)),"")</f>
        <v/>
      </c>
      <c r="D957" s="291" t="str">
        <f aca="true">IF(ISNUMBER($J957),INDIRECT("O"&amp;($J957+4)),"")</f>
        <v/>
      </c>
      <c r="E957" s="291" t="str">
        <f aca="true">IF(ISNUMBER($J957),INDIRECT("P"&amp;($J957+4)),"")</f>
        <v/>
      </c>
      <c r="F957" s="300" t="str">
        <f aca="true">IF(ISNUMBER($J957),INDIRECT("Q"&amp;($J957+4)),"")</f>
        <v/>
      </c>
      <c r="G957" s="298" t="str">
        <f aca="true">IF(ISNUMBER($J957),INDIRECT("R"&amp;($J957+4)),"")</f>
        <v/>
      </c>
      <c r="H957" s="298" t="str">
        <f aca="true">IF(ISNUMBER($J957),INDIRECT("S"&amp;($J957+4)),"")</f>
        <v/>
      </c>
      <c r="J957" s="292" t="str">
        <f aca="true">IF(953&lt;=$K$1,MATCH(952.5,INDIRECT("$K$4:$K$1374"),1),"")</f>
        <v/>
      </c>
      <c r="K957" s="292" t="n">
        <f aca="false">$K$900+COUNTIF($Q$901:Q957,"&gt;0")</f>
        <v>0</v>
      </c>
      <c r="L957" s="292" t="str">
        <f aca="false">"Стёкла серии Elephant"&amp;" · "&amp;'Стёкла серии Elephant'!$N$93</f>
        <v>Стёкла серии Elephant · Elephant</v>
      </c>
      <c r="M957" s="292" t="str">
        <f aca="false">IF(ISBLANK('Стёкла серии Elephant'!$O$93),"",'Стёкла серии Elephant'!$O$93)</f>
        <v>A03S</v>
      </c>
      <c r="N957" s="292" t="str">
        <f aca="false">""</f>
        <v/>
      </c>
      <c r="O957" s="292" t="str">
        <f aca="false">""</f>
        <v/>
      </c>
      <c r="P957" s="292" t="str">
        <f aca="false">IF(ISBLANK('Стёкла серии Elephant'!$P$93),"",'Стёкла серии Elephant'!$P$93)</f>
        <v>шт.</v>
      </c>
      <c r="Q957" s="292" t="n">
        <f aca="false">N('Стёкла серии Elephant'!$R$93)</f>
        <v>0</v>
      </c>
      <c r="R957" s="299" t="n">
        <f aca="false">IF(ISBLANK('Стёкла серии Elephant'!$Q$93),"",'Стёкла серии Elephant'!$Q$93)</f>
        <v>122.32</v>
      </c>
      <c r="S957" s="292" t="str">
        <f aca="false">IF(ISBLANK('Стёкла серии Elephant'!$S$93),"",'Стёкла серии Elephant'!$S$93)</f>
        <v/>
      </c>
    </row>
    <row r="958" customFormat="false" ht="66" hidden="false" customHeight="true" outlineLevel="0" collapsed="false">
      <c r="A958" s="291" t="str">
        <f aca="true">IF(ISNUMBER($J958),INDIRECT("L"&amp;($J958+4)),"")</f>
        <v/>
      </c>
      <c r="B958" s="291" t="str">
        <f aca="true">IF(ISNUMBER($J958),INDIRECT("M"&amp;($J958+4)),"")</f>
        <v/>
      </c>
      <c r="C958" s="296" t="str">
        <f aca="true">IF(ISNUMBER($J958),INDIRECT("N"&amp;($J958+4)),"")</f>
        <v/>
      </c>
      <c r="D958" s="291" t="str">
        <f aca="true">IF(ISNUMBER($J958),INDIRECT("O"&amp;($J958+4)),"")</f>
        <v/>
      </c>
      <c r="E958" s="291" t="str">
        <f aca="true">IF(ISNUMBER($J958),INDIRECT("P"&amp;($J958+4)),"")</f>
        <v/>
      </c>
      <c r="F958" s="300" t="str">
        <f aca="true">IF(ISNUMBER($J958),INDIRECT("Q"&amp;($J958+4)),"")</f>
        <v/>
      </c>
      <c r="G958" s="298" t="str">
        <f aca="true">IF(ISNUMBER($J958),INDIRECT("R"&amp;($J958+4)),"")</f>
        <v/>
      </c>
      <c r="H958" s="298" t="str">
        <f aca="true">IF(ISNUMBER($J958),INDIRECT("S"&amp;($J958+4)),"")</f>
        <v/>
      </c>
      <c r="J958" s="292" t="str">
        <f aca="true">IF(954&lt;=$K$1,MATCH(953.5,INDIRECT("$K$4:$K$1374"),1),"")</f>
        <v/>
      </c>
      <c r="K958" s="292" t="n">
        <f aca="false">$K$900+COUNTIF($Q$901:Q958,"&gt;0")</f>
        <v>0</v>
      </c>
      <c r="L958" s="292" t="str">
        <f aca="false">"Стёкла серии Elephant"&amp;" · "&amp;'Стёкла серии Elephant'!$N$94</f>
        <v>Стёкла серии Elephant · Elephant</v>
      </c>
      <c r="M958" s="292" t="str">
        <f aca="false">IF(ISBLANK('Стёкла серии Elephant'!$O$94),"",'Стёкла серии Elephant'!$O$94)</f>
        <v>A1K</v>
      </c>
      <c r="N958" s="292" t="str">
        <f aca="false">""</f>
        <v/>
      </c>
      <c r="O958" s="292" t="str">
        <f aca="false">""</f>
        <v/>
      </c>
      <c r="P958" s="292" t="str">
        <f aca="false">IF(ISBLANK('Стёкла серии Elephant'!$P$94),"",'Стёкла серии Elephant'!$P$94)</f>
        <v>шт.</v>
      </c>
      <c r="Q958" s="292" t="n">
        <f aca="false">N('Стёкла серии Elephant'!$R$94)</f>
        <v>0</v>
      </c>
      <c r="R958" s="299" t="n">
        <f aca="false">IF(ISBLANK('Стёкла серии Elephant'!$Q$94),"",'Стёкла серии Elephant'!$Q$94)</f>
        <v>122.32</v>
      </c>
      <c r="S958" s="292" t="str">
        <f aca="false">IF(ISBLANK('Стёкла серии Elephant'!$S$94),"",'Стёкла серии Elephant'!$S$94)</f>
        <v/>
      </c>
    </row>
    <row r="959" customFormat="false" ht="66" hidden="false" customHeight="true" outlineLevel="0" collapsed="false">
      <c r="A959" s="291" t="str">
        <f aca="true">IF(ISNUMBER($J959),INDIRECT("L"&amp;($J959+4)),"")</f>
        <v/>
      </c>
      <c r="B959" s="291" t="str">
        <f aca="true">IF(ISNUMBER($J959),INDIRECT("M"&amp;($J959+4)),"")</f>
        <v/>
      </c>
      <c r="C959" s="296" t="str">
        <f aca="true">IF(ISNUMBER($J959),INDIRECT("N"&amp;($J959+4)),"")</f>
        <v/>
      </c>
      <c r="D959" s="291" t="str">
        <f aca="true">IF(ISNUMBER($J959),INDIRECT("O"&amp;($J959+4)),"")</f>
        <v/>
      </c>
      <c r="E959" s="291" t="str">
        <f aca="true">IF(ISNUMBER($J959),INDIRECT("P"&amp;($J959+4)),"")</f>
        <v/>
      </c>
      <c r="F959" s="300" t="str">
        <f aca="true">IF(ISNUMBER($J959),INDIRECT("Q"&amp;($J959+4)),"")</f>
        <v/>
      </c>
      <c r="G959" s="298" t="str">
        <f aca="true">IF(ISNUMBER($J959),INDIRECT("R"&amp;($J959+4)),"")</f>
        <v/>
      </c>
      <c r="H959" s="298" t="str">
        <f aca="true">IF(ISNUMBER($J959),INDIRECT("S"&amp;($J959+4)),"")</f>
        <v/>
      </c>
      <c r="J959" s="292" t="str">
        <f aca="true">IF(955&lt;=$K$1,MATCH(954.5,INDIRECT("$K$4:$K$1374"),1),"")</f>
        <v/>
      </c>
      <c r="K959" s="292" t="n">
        <f aca="false">$K$900+COUNTIF($Q$901:Q959,"&gt;0")</f>
        <v>0</v>
      </c>
      <c r="L959" s="292" t="str">
        <f aca="false">"Стёкла серии Elephant"&amp;" · "&amp;'Стёкла серии Elephant'!$N$95</f>
        <v>Стёкла серии Elephant · Elephant</v>
      </c>
      <c r="M959" s="292" t="str">
        <f aca="false">IF(ISBLANK('Стёкла серии Elephant'!$O$95),"",'Стёкла серии Elephant'!$O$95)</f>
        <v>A12</v>
      </c>
      <c r="N959" s="292" t="str">
        <f aca="false">""</f>
        <v/>
      </c>
      <c r="O959" s="292" t="str">
        <f aca="false">""</f>
        <v/>
      </c>
      <c r="P959" s="292" t="str">
        <f aca="false">IF(ISBLANK('Стёкла серии Elephant'!$P$95),"",'Стёкла серии Elephant'!$P$95)</f>
        <v>шт.</v>
      </c>
      <c r="Q959" s="292" t="n">
        <f aca="false">N('Стёкла серии Elephant'!$R$95)</f>
        <v>0</v>
      </c>
      <c r="R959" s="299" t="n">
        <f aca="false">IF(ISBLANK('Стёкла серии Elephant'!$Q$95),"",'Стёкла серии Elephant'!$Q$95)</f>
        <v>122.32</v>
      </c>
      <c r="S959" s="292" t="str">
        <f aca="false">IF(ISBLANK('Стёкла серии Elephant'!$S$95),"",'Стёкла серии Elephant'!$S$95)</f>
        <v/>
      </c>
    </row>
    <row r="960" customFormat="false" ht="66" hidden="false" customHeight="true" outlineLevel="0" collapsed="false">
      <c r="A960" s="291" t="str">
        <f aca="true">IF(ISNUMBER($J960),INDIRECT("L"&amp;($J960+4)),"")</f>
        <v/>
      </c>
      <c r="B960" s="291" t="str">
        <f aca="true">IF(ISNUMBER($J960),INDIRECT("M"&amp;($J960+4)),"")</f>
        <v/>
      </c>
      <c r="C960" s="296" t="str">
        <f aca="true">IF(ISNUMBER($J960),INDIRECT("N"&amp;($J960+4)),"")</f>
        <v/>
      </c>
      <c r="D960" s="291" t="str">
        <f aca="true">IF(ISNUMBER($J960),INDIRECT("O"&amp;($J960+4)),"")</f>
        <v/>
      </c>
      <c r="E960" s="291" t="str">
        <f aca="true">IF(ISNUMBER($J960),INDIRECT("P"&amp;($J960+4)),"")</f>
        <v/>
      </c>
      <c r="F960" s="300" t="str">
        <f aca="true">IF(ISNUMBER($J960),INDIRECT("Q"&amp;($J960+4)),"")</f>
        <v/>
      </c>
      <c r="G960" s="298" t="str">
        <f aca="true">IF(ISNUMBER($J960),INDIRECT("R"&amp;($J960+4)),"")</f>
        <v/>
      </c>
      <c r="H960" s="298" t="str">
        <f aca="true">IF(ISNUMBER($J960),INDIRECT("S"&amp;($J960+4)),"")</f>
        <v/>
      </c>
      <c r="J960" s="292" t="str">
        <f aca="true">IF(956&lt;=$K$1,MATCH(955.5,INDIRECT("$K$4:$K$1374"),1),"")</f>
        <v/>
      </c>
      <c r="K960" s="292" t="n">
        <f aca="false">$K$900+COUNTIF($Q$901:Q960,"&gt;0")</f>
        <v>0</v>
      </c>
      <c r="L960" s="292" t="str">
        <f aca="false">"Стёкла серии Elephant"&amp;" · "&amp;'Стёкла серии Elephant'!$N$96</f>
        <v>Стёкла серии Elephant · Elephant</v>
      </c>
      <c r="M960" s="292" t="str">
        <f aca="false">IF(ISBLANK('Стёкла серии Elephant'!$O$96),"",'Стёкла серии Elephant'!$O$96)</f>
        <v>V11i/V11India/Y97</v>
      </c>
      <c r="N960" s="292" t="str">
        <f aca="false">""</f>
        <v/>
      </c>
      <c r="O960" s="292" t="str">
        <f aca="false">""</f>
        <v/>
      </c>
      <c r="P960" s="292" t="str">
        <f aca="false">IF(ISBLANK('Стёкла серии Elephant'!$P$96),"",'Стёкла серии Elephant'!$P$96)</f>
        <v>шт.</v>
      </c>
      <c r="Q960" s="292" t="n">
        <f aca="false">N('Стёкла серии Elephant'!$R$96)</f>
        <v>0</v>
      </c>
      <c r="R960" s="299" t="n">
        <f aca="false">IF(ISBLANK('Стёкла серии Elephant'!$Q$96),"",'Стёкла серии Elephant'!$Q$96)</f>
        <v>122.32</v>
      </c>
      <c r="S960" s="292" t="str">
        <f aca="false">IF(ISBLANK('Стёкла серии Elephant'!$S$96),"",'Стёкла серии Elephant'!$S$96)</f>
        <v/>
      </c>
    </row>
    <row r="961" customFormat="false" ht="66" hidden="false" customHeight="true" outlineLevel="0" collapsed="false">
      <c r="A961" s="291" t="str">
        <f aca="true">IF(ISNUMBER($J961),INDIRECT("L"&amp;($J961+4)),"")</f>
        <v/>
      </c>
      <c r="B961" s="291" t="str">
        <f aca="true">IF(ISNUMBER($J961),INDIRECT("M"&amp;($J961+4)),"")</f>
        <v/>
      </c>
      <c r="C961" s="296" t="str">
        <f aca="true">IF(ISNUMBER($J961),INDIRECT("N"&amp;($J961+4)),"")</f>
        <v/>
      </c>
      <c r="D961" s="291" t="str">
        <f aca="true">IF(ISNUMBER($J961),INDIRECT("O"&amp;($J961+4)),"")</f>
        <v/>
      </c>
      <c r="E961" s="291" t="str">
        <f aca="true">IF(ISNUMBER($J961),INDIRECT("P"&amp;($J961+4)),"")</f>
        <v/>
      </c>
      <c r="F961" s="300" t="str">
        <f aca="true">IF(ISNUMBER($J961),INDIRECT("Q"&amp;($J961+4)),"")</f>
        <v/>
      </c>
      <c r="G961" s="298" t="str">
        <f aca="true">IF(ISNUMBER($J961),INDIRECT("R"&amp;($J961+4)),"")</f>
        <v/>
      </c>
      <c r="H961" s="298" t="str">
        <f aca="true">IF(ISNUMBER($J961),INDIRECT("S"&amp;($J961+4)),"")</f>
        <v/>
      </c>
      <c r="J961" s="292" t="str">
        <f aca="true">IF(957&lt;=$K$1,MATCH(956.5,INDIRECT("$K$4:$K$1374"),1),"")</f>
        <v/>
      </c>
      <c r="K961" s="292" t="n">
        <f aca="false">$K$900+COUNTIF($Q$901:Q961,"&gt;0")</f>
        <v>0</v>
      </c>
      <c r="L961" s="292" t="str">
        <f aca="false">"Стёкла серии Elephant"&amp;" · "&amp;'Стёкла серии Elephant'!$N$97</f>
        <v>Стёкла серии Elephant · Elephant</v>
      </c>
      <c r="M961" s="292" t="str">
        <f aca="false">IF(ISBLANK('Стёкла серии Elephant'!$O$97),"",'Стёкла серии Elephant'!$O$97)</f>
        <v>iP 7/8-5.5</v>
      </c>
      <c r="N961" s="292" t="str">
        <f aca="false">""</f>
        <v/>
      </c>
      <c r="O961" s="292" t="str">
        <f aca="false">""</f>
        <v/>
      </c>
      <c r="P961" s="292" t="str">
        <f aca="false">IF(ISBLANK('Стёкла серии Elephant'!$P$97),"",'Стёкла серии Elephant'!$P$97)</f>
        <v>шт.</v>
      </c>
      <c r="Q961" s="292" t="n">
        <f aca="false">N('Стёкла серии Elephant'!$R$97)</f>
        <v>0</v>
      </c>
      <c r="R961" s="299" t="n">
        <f aca="false">IF(ISBLANK('Стёкла серии Elephant'!$Q$97),"",'Стёкла серии Elephant'!$Q$97)</f>
        <v>122.32</v>
      </c>
      <c r="S961" s="292" t="str">
        <f aca="false">IF(ISBLANK('Стёкла серии Elephant'!$S$97),"",'Стёкла серии Elephant'!$S$97)</f>
        <v/>
      </c>
    </row>
    <row r="962" customFormat="false" ht="66" hidden="false" customHeight="true" outlineLevel="0" collapsed="false">
      <c r="A962" s="291" t="str">
        <f aca="true">IF(ISNUMBER($J962),INDIRECT("L"&amp;($J962+4)),"")</f>
        <v/>
      </c>
      <c r="B962" s="291" t="str">
        <f aca="true">IF(ISNUMBER($J962),INDIRECT("M"&amp;($J962+4)),"")</f>
        <v/>
      </c>
      <c r="C962" s="296" t="str">
        <f aca="true">IF(ISNUMBER($J962),INDIRECT("N"&amp;($J962+4)),"")</f>
        <v/>
      </c>
      <c r="D962" s="291" t="str">
        <f aca="true">IF(ISNUMBER($J962),INDIRECT("O"&amp;($J962+4)),"")</f>
        <v/>
      </c>
      <c r="E962" s="291" t="str">
        <f aca="true">IF(ISNUMBER($J962),INDIRECT("P"&amp;($J962+4)),"")</f>
        <v/>
      </c>
      <c r="F962" s="300" t="str">
        <f aca="true">IF(ISNUMBER($J962),INDIRECT("Q"&amp;($J962+4)),"")</f>
        <v/>
      </c>
      <c r="G962" s="298" t="str">
        <f aca="true">IF(ISNUMBER($J962),INDIRECT("R"&amp;($J962+4)),"")</f>
        <v/>
      </c>
      <c r="H962" s="298" t="str">
        <f aca="true">IF(ISNUMBER($J962),INDIRECT("S"&amp;($J962+4)),"")</f>
        <v/>
      </c>
      <c r="J962" s="292" t="str">
        <f aca="true">IF(958&lt;=$K$1,MATCH(957.5,INDIRECT("$K$4:$K$1374"),1),"")</f>
        <v/>
      </c>
      <c r="K962" s="292" t="n">
        <f aca="false">$K$900+COUNTIF($Q$901:Q962,"&gt;0")</f>
        <v>0</v>
      </c>
      <c r="L962" s="292" t="str">
        <f aca="false">"Стёкла серии Elephant"&amp;" · "&amp;'Стёкла серии Elephant'!$N$98</f>
        <v>Стёкла серии Elephant · Elephant</v>
      </c>
      <c r="M962" s="292" t="str">
        <f aca="false">IF(ISBLANK('Стёкла серии Elephant'!$O$98),"",'Стёкла серии Elephant'!$O$98)</f>
        <v>P Smart S</v>
      </c>
      <c r="N962" s="292" t="str">
        <f aca="false">""</f>
        <v/>
      </c>
      <c r="O962" s="292" t="str">
        <f aca="false">""</f>
        <v/>
      </c>
      <c r="P962" s="292" t="str">
        <f aca="false">IF(ISBLANK('Стёкла серии Elephant'!$P$98),"",'Стёкла серии Elephant'!$P$98)</f>
        <v>шт.</v>
      </c>
      <c r="Q962" s="292" t="n">
        <f aca="false">N('Стёкла серии Elephant'!$R$98)</f>
        <v>0</v>
      </c>
      <c r="R962" s="299" t="n">
        <f aca="false">IF(ISBLANK('Стёкла серии Elephant'!$Q$98),"",'Стёкла серии Elephant'!$Q$98)</f>
        <v>122.32</v>
      </c>
      <c r="S962" s="292" t="str">
        <f aca="false">IF(ISBLANK('Стёкла серии Elephant'!$S$98),"",'Стёкла серии Elephant'!$S$98)</f>
        <v/>
      </c>
    </row>
    <row r="963" customFormat="false" ht="66" hidden="false" customHeight="true" outlineLevel="0" collapsed="false">
      <c r="A963" s="291" t="str">
        <f aca="true">IF(ISNUMBER($J963),INDIRECT("L"&amp;($J963+4)),"")</f>
        <v/>
      </c>
      <c r="B963" s="291" t="str">
        <f aca="true">IF(ISNUMBER($J963),INDIRECT("M"&amp;($J963+4)),"")</f>
        <v/>
      </c>
      <c r="C963" s="296" t="str">
        <f aca="true">IF(ISNUMBER($J963),INDIRECT("N"&amp;($J963+4)),"")</f>
        <v/>
      </c>
      <c r="D963" s="291" t="str">
        <f aca="true">IF(ISNUMBER($J963),INDIRECT("O"&amp;($J963+4)),"")</f>
        <v/>
      </c>
      <c r="E963" s="291" t="str">
        <f aca="true">IF(ISNUMBER($J963),INDIRECT("P"&amp;($J963+4)),"")</f>
        <v/>
      </c>
      <c r="F963" s="300" t="str">
        <f aca="true">IF(ISNUMBER($J963),INDIRECT("Q"&amp;($J963+4)),"")</f>
        <v/>
      </c>
      <c r="G963" s="298" t="str">
        <f aca="true">IF(ISNUMBER($J963),INDIRECT("R"&amp;($J963+4)),"")</f>
        <v/>
      </c>
      <c r="H963" s="298" t="str">
        <f aca="true">IF(ISNUMBER($J963),INDIRECT("S"&amp;($J963+4)),"")</f>
        <v/>
      </c>
      <c r="J963" s="292" t="str">
        <f aca="true">IF(959&lt;=$K$1,MATCH(958.5,INDIRECT("$K$4:$K$1374"),1),"")</f>
        <v/>
      </c>
      <c r="K963" s="292" t="n">
        <f aca="false">$K$900+COUNTIF($Q$901:Q963,"&gt;0")</f>
        <v>0</v>
      </c>
      <c r="L963" s="292" t="str">
        <f aca="false">"Стёкла серии Elephant"&amp;" · "&amp;'Стёкла серии Elephant'!$N$99</f>
        <v>Стёкла серии Elephant · Elephant</v>
      </c>
      <c r="M963" s="292" t="str">
        <f aca="false">IF(ISBLANK('Стёкла серии Elephant'!$O$99),"",'Стёкла серии Elephant'!$O$99)</f>
        <v>Honor 30 lite</v>
      </c>
      <c r="N963" s="292" t="str">
        <f aca="false">""</f>
        <v/>
      </c>
      <c r="O963" s="292" t="str">
        <f aca="false">""</f>
        <v/>
      </c>
      <c r="P963" s="292" t="str">
        <f aca="false">IF(ISBLANK('Стёкла серии Elephant'!$P$99),"",'Стёкла серии Elephant'!$P$99)</f>
        <v>шт.</v>
      </c>
      <c r="Q963" s="292" t="n">
        <f aca="false">N('Стёкла серии Elephant'!$R$99)</f>
        <v>0</v>
      </c>
      <c r="R963" s="299" t="n">
        <f aca="false">IF(ISBLANK('Стёкла серии Elephant'!$Q$99),"",'Стёкла серии Elephant'!$Q$99)</f>
        <v>122.32</v>
      </c>
      <c r="S963" s="292" t="str">
        <f aca="false">IF(ISBLANK('Стёкла серии Elephant'!$S$99),"",'Стёкла серии Elephant'!$S$99)</f>
        <v/>
      </c>
    </row>
    <row r="964" customFormat="false" ht="66" hidden="false" customHeight="true" outlineLevel="0" collapsed="false">
      <c r="A964" s="291" t="str">
        <f aca="true">IF(ISNUMBER($J964),INDIRECT("L"&amp;($J964+4)),"")</f>
        <v/>
      </c>
      <c r="B964" s="291" t="str">
        <f aca="true">IF(ISNUMBER($J964),INDIRECT("M"&amp;($J964+4)),"")</f>
        <v/>
      </c>
      <c r="C964" s="296" t="str">
        <f aca="true">IF(ISNUMBER($J964),INDIRECT("N"&amp;($J964+4)),"")</f>
        <v/>
      </c>
      <c r="D964" s="291" t="str">
        <f aca="true">IF(ISNUMBER($J964),INDIRECT("O"&amp;($J964+4)),"")</f>
        <v/>
      </c>
      <c r="E964" s="291" t="str">
        <f aca="true">IF(ISNUMBER($J964),INDIRECT("P"&amp;($J964+4)),"")</f>
        <v/>
      </c>
      <c r="F964" s="300" t="str">
        <f aca="true">IF(ISNUMBER($J964),INDIRECT("Q"&amp;($J964+4)),"")</f>
        <v/>
      </c>
      <c r="G964" s="298" t="str">
        <f aca="true">IF(ISNUMBER($J964),INDIRECT("R"&amp;($J964+4)),"")</f>
        <v/>
      </c>
      <c r="H964" s="298" t="str">
        <f aca="true">IF(ISNUMBER($J964),INDIRECT("S"&amp;($J964+4)),"")</f>
        <v/>
      </c>
      <c r="J964" s="292" t="str">
        <f aca="true">IF(960&lt;=$K$1,MATCH(959.5,INDIRECT("$K$4:$K$1374"),1),"")</f>
        <v/>
      </c>
      <c r="K964" s="292" t="n">
        <f aca="false">$K$900+COUNTIF($Q$901:Q964,"&gt;0")</f>
        <v>0</v>
      </c>
      <c r="L964" s="292" t="str">
        <f aca="false">"Стёкла серии Elephant"&amp;" · "&amp;'Стёкла серии Elephant'!$N$100</f>
        <v>Стёкла серии Elephant · Elephant</v>
      </c>
      <c r="M964" s="292" t="str">
        <f aca="false">IF(ISBLANK('Стёкла серии Elephant'!$O$100),"",'Стёкла серии Elephant'!$O$100)</f>
        <v>Redmi Note7S</v>
      </c>
      <c r="N964" s="292" t="str">
        <f aca="false">""</f>
        <v/>
      </c>
      <c r="O964" s="292" t="str">
        <f aca="false">""</f>
        <v/>
      </c>
      <c r="P964" s="292" t="str">
        <f aca="false">IF(ISBLANK('Стёкла серии Elephant'!$P$100),"",'Стёкла серии Elephant'!$P$100)</f>
        <v>шт.</v>
      </c>
      <c r="Q964" s="292" t="n">
        <f aca="false">N('Стёкла серии Elephant'!$R$100)</f>
        <v>0</v>
      </c>
      <c r="R964" s="299" t="n">
        <f aca="false">IF(ISBLANK('Стёкла серии Elephant'!$Q$100),"",'Стёкла серии Elephant'!$Q$100)</f>
        <v>122.32</v>
      </c>
      <c r="S964" s="292" t="str">
        <f aca="false">IF(ISBLANK('Стёкла серии Elephant'!$S$100),"",'Стёкла серии Elephant'!$S$100)</f>
        <v/>
      </c>
    </row>
    <row r="965" customFormat="false" ht="66" hidden="false" customHeight="true" outlineLevel="0" collapsed="false">
      <c r="A965" s="291" t="str">
        <f aca="true">IF(ISNUMBER($J965),INDIRECT("L"&amp;($J965+4)),"")</f>
        <v/>
      </c>
      <c r="B965" s="291" t="str">
        <f aca="true">IF(ISNUMBER($J965),INDIRECT("M"&amp;($J965+4)),"")</f>
        <v/>
      </c>
      <c r="C965" s="296" t="str">
        <f aca="true">IF(ISNUMBER($J965),INDIRECT("N"&amp;($J965+4)),"")</f>
        <v/>
      </c>
      <c r="D965" s="291" t="str">
        <f aca="true">IF(ISNUMBER($J965),INDIRECT("O"&amp;($J965+4)),"")</f>
        <v/>
      </c>
      <c r="E965" s="291" t="str">
        <f aca="true">IF(ISNUMBER($J965),INDIRECT("P"&amp;($J965+4)),"")</f>
        <v/>
      </c>
      <c r="F965" s="300" t="str">
        <f aca="true">IF(ISNUMBER($J965),INDIRECT("Q"&amp;($J965+4)),"")</f>
        <v/>
      </c>
      <c r="G965" s="298" t="str">
        <f aca="true">IF(ISNUMBER($J965),INDIRECT("R"&amp;($J965+4)),"")</f>
        <v/>
      </c>
      <c r="H965" s="298" t="str">
        <f aca="true">IF(ISNUMBER($J965),INDIRECT("S"&amp;($J965+4)),"")</f>
        <v/>
      </c>
      <c r="J965" s="292" t="str">
        <f aca="true">IF(961&lt;=$K$1,MATCH(960.5,INDIRECT("$K$4:$K$1374"),1),"")</f>
        <v/>
      </c>
      <c r="K965" s="292" t="n">
        <f aca="false">$K$900+COUNTIF($Q$901:Q965,"&gt;0")</f>
        <v>0</v>
      </c>
      <c r="L965" s="292" t="str">
        <f aca="false">"Стёкла серии Elephant"&amp;" · "&amp;'Стёкла серии Elephant'!$N$101</f>
        <v>Стёкла серии Elephant · Elephant</v>
      </c>
      <c r="M965" s="292" t="str">
        <f aca="false">IF(ISBLANK('Стёкла серии Elephant'!$O$101),"",'Стёкла серии Elephant'!$O$101)</f>
        <v>MI 10T 5G</v>
      </c>
      <c r="N965" s="292" t="str">
        <f aca="false">""</f>
        <v/>
      </c>
      <c r="O965" s="292" t="str">
        <f aca="false">""</f>
        <v/>
      </c>
      <c r="P965" s="292" t="str">
        <f aca="false">IF(ISBLANK('Стёкла серии Elephant'!$P$101),"",'Стёкла серии Elephant'!$P$101)</f>
        <v>шт.</v>
      </c>
      <c r="Q965" s="292" t="n">
        <f aca="false">N('Стёкла серии Elephant'!$R$101)</f>
        <v>0</v>
      </c>
      <c r="R965" s="299" t="n">
        <f aca="false">IF(ISBLANK('Стёкла серии Elephant'!$Q$101),"",'Стёкла серии Elephant'!$Q$101)</f>
        <v>122.32</v>
      </c>
      <c r="S965" s="292" t="str">
        <f aca="false">IF(ISBLANK('Стёкла серии Elephant'!$S$101),"",'Стёкла серии Elephant'!$S$101)</f>
        <v/>
      </c>
    </row>
    <row r="966" customFormat="false" ht="66" hidden="false" customHeight="true" outlineLevel="0" collapsed="false">
      <c r="A966" s="291" t="str">
        <f aca="true">IF(ISNUMBER($J966),INDIRECT("L"&amp;($J966+4)),"")</f>
        <v/>
      </c>
      <c r="B966" s="291" t="str">
        <f aca="true">IF(ISNUMBER($J966),INDIRECT("M"&amp;($J966+4)),"")</f>
        <v/>
      </c>
      <c r="C966" s="296" t="str">
        <f aca="true">IF(ISNUMBER($J966),INDIRECT("N"&amp;($J966+4)),"")</f>
        <v/>
      </c>
      <c r="D966" s="291" t="str">
        <f aca="true">IF(ISNUMBER($J966),INDIRECT("O"&amp;($J966+4)),"")</f>
        <v/>
      </c>
      <c r="E966" s="291" t="str">
        <f aca="true">IF(ISNUMBER($J966),INDIRECT("P"&amp;($J966+4)),"")</f>
        <v/>
      </c>
      <c r="F966" s="300" t="str">
        <f aca="true">IF(ISNUMBER($J966),INDIRECT("Q"&amp;($J966+4)),"")</f>
        <v/>
      </c>
      <c r="G966" s="298" t="str">
        <f aca="true">IF(ISNUMBER($J966),INDIRECT("R"&amp;($J966+4)),"")</f>
        <v/>
      </c>
      <c r="H966" s="298" t="str">
        <f aca="true">IF(ISNUMBER($J966),INDIRECT("S"&amp;($J966+4)),"")</f>
        <v/>
      </c>
      <c r="J966" s="292" t="str">
        <f aca="true">IF(962&lt;=$K$1,MATCH(961.5,INDIRECT("$K$4:$K$1374"),1),"")</f>
        <v/>
      </c>
      <c r="K966" s="292" t="n">
        <f aca="false">$K$900+COUNTIF($Q$901:Q966,"&gt;0")</f>
        <v>0</v>
      </c>
      <c r="L966" s="292" t="str">
        <f aca="false">"Стёкла серии Elephant"&amp;" · "&amp;'Стёкла серии Elephant'!$N$102</f>
        <v>Стёкла серии Elephant · Elephant</v>
      </c>
      <c r="M966" s="292" t="str">
        <f aca="false">IF(ISBLANK('Стёкла серии Elephant'!$O$102),"",'Стёкла серии Elephant'!$O$102)</f>
        <v>Wide 4</v>
      </c>
      <c r="N966" s="292" t="str">
        <f aca="false">""</f>
        <v/>
      </c>
      <c r="O966" s="292" t="str">
        <f aca="false">""</f>
        <v/>
      </c>
      <c r="P966" s="292" t="str">
        <f aca="false">IF(ISBLANK('Стёкла серии Elephant'!$P$102),"",'Стёкла серии Elephant'!$P$102)</f>
        <v>шт.</v>
      </c>
      <c r="Q966" s="292" t="n">
        <f aca="false">N('Стёкла серии Elephant'!$R$102)</f>
        <v>0</v>
      </c>
      <c r="R966" s="299" t="n">
        <f aca="false">IF(ISBLANK('Стёкла серии Elephant'!$Q$102),"",'Стёкла серии Elephant'!$Q$102)</f>
        <v>122.32</v>
      </c>
      <c r="S966" s="292" t="str">
        <f aca="false">IF(ISBLANK('Стёкла серии Elephant'!$S$102),"",'Стёкла серии Elephant'!$S$102)</f>
        <v/>
      </c>
    </row>
    <row r="967" customFormat="false" ht="66" hidden="false" customHeight="true" outlineLevel="0" collapsed="false">
      <c r="A967" s="291" t="str">
        <f aca="true">IF(ISNUMBER($J967),INDIRECT("L"&amp;($J967+4)),"")</f>
        <v/>
      </c>
      <c r="B967" s="291" t="str">
        <f aca="true">IF(ISNUMBER($J967),INDIRECT("M"&amp;($J967+4)),"")</f>
        <v/>
      </c>
      <c r="C967" s="296" t="str">
        <f aca="true">IF(ISNUMBER($J967),INDIRECT("N"&amp;($J967+4)),"")</f>
        <v/>
      </c>
      <c r="D967" s="291" t="str">
        <f aca="true">IF(ISNUMBER($J967),INDIRECT("O"&amp;($J967+4)),"")</f>
        <v/>
      </c>
      <c r="E967" s="291" t="str">
        <f aca="true">IF(ISNUMBER($J967),INDIRECT("P"&amp;($J967+4)),"")</f>
        <v/>
      </c>
      <c r="F967" s="300" t="str">
        <f aca="true">IF(ISNUMBER($J967),INDIRECT("Q"&amp;($J967+4)),"")</f>
        <v/>
      </c>
      <c r="G967" s="298" t="str">
        <f aca="true">IF(ISNUMBER($J967),INDIRECT("R"&amp;($J967+4)),"")</f>
        <v/>
      </c>
      <c r="H967" s="298" t="str">
        <f aca="true">IF(ISNUMBER($J967),INDIRECT("S"&amp;($J967+4)),"")</f>
        <v/>
      </c>
      <c r="J967" s="292" t="str">
        <f aca="true">IF(963&lt;=$K$1,MATCH(962.5,INDIRECT("$K$4:$K$1374"),1),"")</f>
        <v/>
      </c>
      <c r="K967" s="292" t="n">
        <f aca="false">$K$900+COUNTIF($Q$901:Q967,"&gt;0")</f>
        <v>0</v>
      </c>
      <c r="L967" s="292" t="str">
        <f aca="false">"Стёкла серии Elephant"&amp;" · "&amp;'Стёкла серии Elephant'!$N$103</f>
        <v>Стёкла серии Elephant · Elephant</v>
      </c>
      <c r="M967" s="292" t="str">
        <f aca="false">IF(ISBLANK('Стёкла серии Elephant'!$O$103),"",'Стёкла серии Elephant'!$O$103)</f>
        <v>A21/A21S</v>
      </c>
      <c r="N967" s="292" t="str">
        <f aca="false">""</f>
        <v/>
      </c>
      <c r="O967" s="292" t="str">
        <f aca="false">""</f>
        <v/>
      </c>
      <c r="P967" s="292" t="str">
        <f aca="false">IF(ISBLANK('Стёкла серии Elephant'!$P$103),"",'Стёкла серии Elephant'!$P$103)</f>
        <v>шт.</v>
      </c>
      <c r="Q967" s="292" t="n">
        <f aca="false">N('Стёкла серии Elephant'!$R$103)</f>
        <v>0</v>
      </c>
      <c r="R967" s="299" t="n">
        <f aca="false">IF(ISBLANK('Стёкла серии Elephant'!$Q$103),"",'Стёкла серии Elephant'!$Q$103)</f>
        <v>122.32</v>
      </c>
      <c r="S967" s="292" t="str">
        <f aca="false">IF(ISBLANK('Стёкла серии Elephant'!$S$103),"",'Стёкла серии Elephant'!$S$103)</f>
        <v/>
      </c>
    </row>
    <row r="968" customFormat="false" ht="66" hidden="false" customHeight="true" outlineLevel="0" collapsed="false">
      <c r="A968" s="291" t="str">
        <f aca="true">IF(ISNUMBER($J968),INDIRECT("L"&amp;($J968+4)),"")</f>
        <v/>
      </c>
      <c r="B968" s="291" t="str">
        <f aca="true">IF(ISNUMBER($J968),INDIRECT("M"&amp;($J968+4)),"")</f>
        <v/>
      </c>
      <c r="C968" s="296" t="str">
        <f aca="true">IF(ISNUMBER($J968),INDIRECT("N"&amp;($J968+4)),"")</f>
        <v/>
      </c>
      <c r="D968" s="291" t="str">
        <f aca="true">IF(ISNUMBER($J968),INDIRECT("O"&amp;($J968+4)),"")</f>
        <v/>
      </c>
      <c r="E968" s="291" t="str">
        <f aca="true">IF(ISNUMBER($J968),INDIRECT("P"&amp;($J968+4)),"")</f>
        <v/>
      </c>
      <c r="F968" s="300" t="str">
        <f aca="true">IF(ISNUMBER($J968),INDIRECT("Q"&amp;($J968+4)),"")</f>
        <v/>
      </c>
      <c r="G968" s="298" t="str">
        <f aca="true">IF(ISNUMBER($J968),INDIRECT("R"&amp;($J968+4)),"")</f>
        <v/>
      </c>
      <c r="H968" s="298" t="str">
        <f aca="true">IF(ISNUMBER($J968),INDIRECT("S"&amp;($J968+4)),"")</f>
        <v/>
      </c>
      <c r="J968" s="292" t="str">
        <f aca="true">IF(964&lt;=$K$1,MATCH(963.5,INDIRECT("$K$4:$K$1374"),1),"")</f>
        <v/>
      </c>
      <c r="K968" s="292" t="n">
        <f aca="false">$K$900+COUNTIF($Q$901:Q968,"&gt;0")</f>
        <v>0</v>
      </c>
      <c r="L968" s="292" t="str">
        <f aca="false">"Стёкла серии Elephant"&amp;" · "&amp;'Стёкла серии Elephant'!$N$104</f>
        <v>Стёкла серии Elephant · Elephant</v>
      </c>
      <c r="M968" s="292" t="str">
        <f aca="false">IF(ISBLANK('Стёкла серии Elephant'!$O$104),"",'Стёкла серии Elephant'!$O$104)</f>
        <v>AX7 Pro</v>
      </c>
      <c r="N968" s="292" t="str">
        <f aca="false">""</f>
        <v/>
      </c>
      <c r="O968" s="292" t="str">
        <f aca="false">""</f>
        <v/>
      </c>
      <c r="P968" s="292" t="str">
        <f aca="false">IF(ISBLANK('Стёкла серии Elephant'!$P$104),"",'Стёкла серии Elephant'!$P$104)</f>
        <v>шт.</v>
      </c>
      <c r="Q968" s="292" t="n">
        <f aca="false">N('Стёкла серии Elephant'!$R$104)</f>
        <v>0</v>
      </c>
      <c r="R968" s="299" t="n">
        <f aca="false">IF(ISBLANK('Стёкла серии Elephant'!$Q$104),"",'Стёкла серии Elephant'!$Q$104)</f>
        <v>122.32</v>
      </c>
      <c r="S968" s="292" t="str">
        <f aca="false">IF(ISBLANK('Стёкла серии Elephant'!$S$104),"",'Стёкла серии Elephant'!$S$104)</f>
        <v/>
      </c>
    </row>
    <row r="969" customFormat="false" ht="66" hidden="false" customHeight="true" outlineLevel="0" collapsed="false">
      <c r="A969" s="291" t="str">
        <f aca="true">IF(ISNUMBER($J969),INDIRECT("L"&amp;($J969+4)),"")</f>
        <v/>
      </c>
      <c r="B969" s="291" t="str">
        <f aca="true">IF(ISNUMBER($J969),INDIRECT("M"&amp;($J969+4)),"")</f>
        <v/>
      </c>
      <c r="C969" s="296" t="str">
        <f aca="true">IF(ISNUMBER($J969),INDIRECT("N"&amp;($J969+4)),"")</f>
        <v/>
      </c>
      <c r="D969" s="291" t="str">
        <f aca="true">IF(ISNUMBER($J969),INDIRECT("O"&amp;($J969+4)),"")</f>
        <v/>
      </c>
      <c r="E969" s="291" t="str">
        <f aca="true">IF(ISNUMBER($J969),INDIRECT("P"&amp;($J969+4)),"")</f>
        <v/>
      </c>
      <c r="F969" s="300" t="str">
        <f aca="true">IF(ISNUMBER($J969),INDIRECT("Q"&amp;($J969+4)),"")</f>
        <v/>
      </c>
      <c r="G969" s="298" t="str">
        <f aca="true">IF(ISNUMBER($J969),INDIRECT("R"&amp;($J969+4)),"")</f>
        <v/>
      </c>
      <c r="H969" s="298" t="str">
        <f aca="true">IF(ISNUMBER($J969),INDIRECT("S"&amp;($J969+4)),"")</f>
        <v/>
      </c>
      <c r="J969" s="292" t="str">
        <f aca="true">IF(965&lt;=$K$1,MATCH(964.5,INDIRECT("$K$4:$K$1374"),1),"")</f>
        <v/>
      </c>
      <c r="K969" s="292" t="n">
        <f aca="false">$K$900+COUNTIF($Q$901:Q969,"&gt;0")</f>
        <v>0</v>
      </c>
      <c r="L969" s="292" t="str">
        <f aca="false">"Стёкла серии Elephant"&amp;" · "&amp;'Стёкла серии Elephant'!$N$105</f>
        <v>Стёкла серии Elephant · Elephant</v>
      </c>
      <c r="M969" s="292" t="str">
        <f aca="false">IF(ISBLANK('Стёкла серии Elephant'!$O$105),"",'Стёкла серии Elephant'!$O$105)</f>
        <v>A31</v>
      </c>
      <c r="N969" s="292" t="str">
        <f aca="false">""</f>
        <v/>
      </c>
      <c r="O969" s="292" t="str">
        <f aca="false">""</f>
        <v/>
      </c>
      <c r="P969" s="292" t="str">
        <f aca="false">IF(ISBLANK('Стёкла серии Elephant'!$P$105),"",'Стёкла серии Elephant'!$P$105)</f>
        <v>шт.</v>
      </c>
      <c r="Q969" s="292" t="n">
        <f aca="false">N('Стёкла серии Elephant'!$R$105)</f>
        <v>0</v>
      </c>
      <c r="R969" s="299" t="n">
        <f aca="false">IF(ISBLANK('Стёкла серии Elephant'!$Q$105),"",'Стёкла серии Elephant'!$Q$105)</f>
        <v>122.32</v>
      </c>
      <c r="S969" s="292" t="str">
        <f aca="false">IF(ISBLANK('Стёкла серии Elephant'!$S$105),"",'Стёкла серии Elephant'!$S$105)</f>
        <v/>
      </c>
    </row>
    <row r="970" customFormat="false" ht="66" hidden="false" customHeight="true" outlineLevel="0" collapsed="false">
      <c r="A970" s="291" t="str">
        <f aca="true">IF(ISNUMBER($J970),INDIRECT("L"&amp;($J970+4)),"")</f>
        <v/>
      </c>
      <c r="B970" s="291" t="str">
        <f aca="true">IF(ISNUMBER($J970),INDIRECT("M"&amp;($J970+4)),"")</f>
        <v/>
      </c>
      <c r="C970" s="296" t="str">
        <f aca="true">IF(ISNUMBER($J970),INDIRECT("N"&amp;($J970+4)),"")</f>
        <v/>
      </c>
      <c r="D970" s="291" t="str">
        <f aca="true">IF(ISNUMBER($J970),INDIRECT("O"&amp;($J970+4)),"")</f>
        <v/>
      </c>
      <c r="E970" s="291" t="str">
        <f aca="true">IF(ISNUMBER($J970),INDIRECT("P"&amp;($J970+4)),"")</f>
        <v/>
      </c>
      <c r="F970" s="300" t="str">
        <f aca="true">IF(ISNUMBER($J970),INDIRECT("Q"&amp;($J970+4)),"")</f>
        <v/>
      </c>
      <c r="G970" s="298" t="str">
        <f aca="true">IF(ISNUMBER($J970),INDIRECT("R"&amp;($J970+4)),"")</f>
        <v/>
      </c>
      <c r="H970" s="298" t="str">
        <f aca="true">IF(ISNUMBER($J970),INDIRECT("S"&amp;($J970+4)),"")</f>
        <v/>
      </c>
      <c r="J970" s="292" t="str">
        <f aca="true">IF(966&lt;=$K$1,MATCH(965.5,INDIRECT("$K$4:$K$1374"),1),"")</f>
        <v/>
      </c>
      <c r="K970" s="292" t="n">
        <f aca="false">$K$900+COUNTIF($Q$901:Q970,"&gt;0")</f>
        <v>0</v>
      </c>
      <c r="L970" s="292" t="str">
        <f aca="false">"Стёкла серии Elephant"&amp;" · "&amp;'Стёкла серии Elephant'!$N$106</f>
        <v>Стёкла серии Elephant · Elephant</v>
      </c>
      <c r="M970" s="292" t="str">
        <f aca="false">IF(ISBLANK('Стёкла серии Elephant'!$O$106),"",'Стёкла серии Elephant'!$O$106)</f>
        <v>V19</v>
      </c>
      <c r="N970" s="292" t="str">
        <f aca="false">""</f>
        <v/>
      </c>
      <c r="O970" s="292" t="str">
        <f aca="false">""</f>
        <v/>
      </c>
      <c r="P970" s="292" t="str">
        <f aca="false">IF(ISBLANK('Стёкла серии Elephant'!$P$106),"",'Стёкла серии Elephant'!$P$106)</f>
        <v>шт.</v>
      </c>
      <c r="Q970" s="292" t="n">
        <f aca="false">N('Стёкла серии Elephant'!$R$106)</f>
        <v>0</v>
      </c>
      <c r="R970" s="299" t="n">
        <f aca="false">IF(ISBLANK('Стёкла серии Elephant'!$Q$106),"",'Стёкла серии Elephant'!$Q$106)</f>
        <v>122.32</v>
      </c>
      <c r="S970" s="292" t="str">
        <f aca="false">IF(ISBLANK('Стёкла серии Elephant'!$S$106),"",'Стёкла серии Elephant'!$S$106)</f>
        <v/>
      </c>
    </row>
    <row r="971" customFormat="false" ht="66" hidden="false" customHeight="true" outlineLevel="0" collapsed="false">
      <c r="A971" s="291" t="str">
        <f aca="true">IF(ISNUMBER($J971),INDIRECT("L"&amp;($J971+4)),"")</f>
        <v/>
      </c>
      <c r="B971" s="291" t="str">
        <f aca="true">IF(ISNUMBER($J971),INDIRECT("M"&amp;($J971+4)),"")</f>
        <v/>
      </c>
      <c r="C971" s="296" t="str">
        <f aca="true">IF(ISNUMBER($J971),INDIRECT("N"&amp;($J971+4)),"")</f>
        <v/>
      </c>
      <c r="D971" s="291" t="str">
        <f aca="true">IF(ISNUMBER($J971),INDIRECT("O"&amp;($J971+4)),"")</f>
        <v/>
      </c>
      <c r="E971" s="291" t="str">
        <f aca="true">IF(ISNUMBER($J971),INDIRECT("P"&amp;($J971+4)),"")</f>
        <v/>
      </c>
      <c r="F971" s="300" t="str">
        <f aca="true">IF(ISNUMBER($J971),INDIRECT("Q"&amp;($J971+4)),"")</f>
        <v/>
      </c>
      <c r="G971" s="298" t="str">
        <f aca="true">IF(ISNUMBER($J971),INDIRECT("R"&amp;($J971+4)),"")</f>
        <v/>
      </c>
      <c r="H971" s="298" t="str">
        <f aca="true">IF(ISNUMBER($J971),INDIRECT("S"&amp;($J971+4)),"")</f>
        <v/>
      </c>
      <c r="J971" s="292" t="str">
        <f aca="true">IF(967&lt;=$K$1,MATCH(966.5,INDIRECT("$K$4:$K$1374"),1),"")</f>
        <v/>
      </c>
      <c r="K971" s="292" t="n">
        <f aca="false">$K$900+COUNTIF($Q$901:Q971,"&gt;0")</f>
        <v>0</v>
      </c>
      <c r="L971" s="292" t="str">
        <f aca="false">"Стёкла серии Elephant"&amp;" · "&amp;'Стёкла серии Elephant'!$N$107</f>
        <v>Стёкла серии Elephant · Elephant</v>
      </c>
      <c r="M971" s="292" t="str">
        <f aca="false">IF(ISBLANK('Стёкла серии Elephant'!$O$107),"",'Стёкла серии Elephant'!$O$107)</f>
        <v>iP SE-(2020)</v>
      </c>
      <c r="N971" s="292" t="str">
        <f aca="false">""</f>
        <v/>
      </c>
      <c r="O971" s="292" t="str">
        <f aca="false">""</f>
        <v/>
      </c>
      <c r="P971" s="292" t="str">
        <f aca="false">IF(ISBLANK('Стёкла серии Elephant'!$P$107),"",'Стёкла серии Elephant'!$P$107)</f>
        <v>шт.</v>
      </c>
      <c r="Q971" s="292" t="n">
        <f aca="false">N('Стёкла серии Elephant'!$R$107)</f>
        <v>0</v>
      </c>
      <c r="R971" s="299" t="n">
        <f aca="false">IF(ISBLANK('Стёкла серии Elephant'!$Q$107),"",'Стёкла серии Elephant'!$Q$107)</f>
        <v>122.32</v>
      </c>
      <c r="S971" s="292" t="str">
        <f aca="false">IF(ISBLANK('Стёкла серии Elephant'!$S$107),"",'Стёкла серии Elephant'!$S$107)</f>
        <v/>
      </c>
    </row>
    <row r="972" customFormat="false" ht="66" hidden="false" customHeight="true" outlineLevel="0" collapsed="false">
      <c r="A972" s="291" t="str">
        <f aca="true">IF(ISNUMBER($J972),INDIRECT("L"&amp;($J972+4)),"")</f>
        <v/>
      </c>
      <c r="B972" s="291" t="str">
        <f aca="true">IF(ISNUMBER($J972),INDIRECT("M"&amp;($J972+4)),"")</f>
        <v/>
      </c>
      <c r="C972" s="296" t="str">
        <f aca="true">IF(ISNUMBER($J972),INDIRECT("N"&amp;($J972+4)),"")</f>
        <v/>
      </c>
      <c r="D972" s="291" t="str">
        <f aca="true">IF(ISNUMBER($J972),INDIRECT("O"&amp;($J972+4)),"")</f>
        <v/>
      </c>
      <c r="E972" s="291" t="str">
        <f aca="true">IF(ISNUMBER($J972),INDIRECT("P"&amp;($J972+4)),"")</f>
        <v/>
      </c>
      <c r="F972" s="300" t="str">
        <f aca="true">IF(ISNUMBER($J972),INDIRECT("Q"&amp;($J972+4)),"")</f>
        <v/>
      </c>
      <c r="G972" s="298" t="str">
        <f aca="true">IF(ISNUMBER($J972),INDIRECT("R"&amp;($J972+4)),"")</f>
        <v/>
      </c>
      <c r="H972" s="298" t="str">
        <f aca="true">IF(ISNUMBER($J972),INDIRECT("S"&amp;($J972+4)),"")</f>
        <v/>
      </c>
      <c r="J972" s="292" t="str">
        <f aca="true">IF(968&lt;=$K$1,MATCH(967.5,INDIRECT("$K$4:$K$1374"),1),"")</f>
        <v/>
      </c>
      <c r="K972" s="292" t="n">
        <f aca="false">$K$900+COUNTIF($Q$901:Q972,"&gt;0")</f>
        <v>0</v>
      </c>
      <c r="L972" s="292" t="str">
        <f aca="false">"Стёкла серии Elephant"&amp;" · "&amp;'Стёкла серии Elephant'!$N$108</f>
        <v>Стёкла серии Elephant · Elephant</v>
      </c>
      <c r="M972" s="292" t="str">
        <f aca="false">IF(ISBLANK('Стёкла серии Elephant'!$O$108),"",'Стёкла серии Elephant'!$O$108)</f>
        <v>P-Smart Z</v>
      </c>
      <c r="N972" s="292" t="str">
        <f aca="false">""</f>
        <v/>
      </c>
      <c r="O972" s="292" t="str">
        <f aca="false">""</f>
        <v/>
      </c>
      <c r="P972" s="292" t="str">
        <f aca="false">IF(ISBLANK('Стёкла серии Elephant'!$P$108),"",'Стёкла серии Elephant'!$P$108)</f>
        <v>шт.</v>
      </c>
      <c r="Q972" s="292" t="n">
        <f aca="false">N('Стёкла серии Elephant'!$R$108)</f>
        <v>0</v>
      </c>
      <c r="R972" s="299" t="n">
        <f aca="false">IF(ISBLANK('Стёкла серии Elephant'!$Q$108),"",'Стёкла серии Elephant'!$Q$108)</f>
        <v>122.32</v>
      </c>
      <c r="S972" s="292" t="str">
        <f aca="false">IF(ISBLANK('Стёкла серии Elephant'!$S$108),"",'Стёкла серии Elephant'!$S$108)</f>
        <v/>
      </c>
    </row>
    <row r="973" customFormat="false" ht="66" hidden="false" customHeight="true" outlineLevel="0" collapsed="false">
      <c r="A973" s="291" t="str">
        <f aca="true">IF(ISNUMBER($J973),INDIRECT("L"&amp;($J973+4)),"")</f>
        <v/>
      </c>
      <c r="B973" s="291" t="str">
        <f aca="true">IF(ISNUMBER($J973),INDIRECT("M"&amp;($J973+4)),"")</f>
        <v/>
      </c>
      <c r="C973" s="296" t="str">
        <f aca="true">IF(ISNUMBER($J973),INDIRECT("N"&amp;($J973+4)),"")</f>
        <v/>
      </c>
      <c r="D973" s="291" t="str">
        <f aca="true">IF(ISNUMBER($J973),INDIRECT("O"&amp;($J973+4)),"")</f>
        <v/>
      </c>
      <c r="E973" s="291" t="str">
        <f aca="true">IF(ISNUMBER($J973),INDIRECT("P"&amp;($J973+4)),"")</f>
        <v/>
      </c>
      <c r="F973" s="300" t="str">
        <f aca="true">IF(ISNUMBER($J973),INDIRECT("Q"&amp;($J973+4)),"")</f>
        <v/>
      </c>
      <c r="G973" s="298" t="str">
        <f aca="true">IF(ISNUMBER($J973),INDIRECT("R"&amp;($J973+4)),"")</f>
        <v/>
      </c>
      <c r="H973" s="298" t="str">
        <f aca="true">IF(ISNUMBER($J973),INDIRECT("S"&amp;($J973+4)),"")</f>
        <v/>
      </c>
      <c r="J973" s="292" t="str">
        <f aca="true">IF(969&lt;=$K$1,MATCH(968.5,INDIRECT("$K$4:$K$1374"),1),"")</f>
        <v/>
      </c>
      <c r="K973" s="292" t="n">
        <f aca="false">$K$900+COUNTIF($Q$901:Q973,"&gt;0")</f>
        <v>0</v>
      </c>
      <c r="L973" s="292" t="str">
        <f aca="false">"Стёкла серии Elephant"&amp;" · "&amp;'Стёкла серии Elephant'!$N$109</f>
        <v>Стёкла серии Elephant · Elephant</v>
      </c>
      <c r="M973" s="292" t="str">
        <f aca="false">IF(ISBLANK('Стёкла серии Elephant'!$O$109),"",'Стёкла серии Elephant'!$O$109)</f>
        <v>Honor 20E</v>
      </c>
      <c r="N973" s="292" t="str">
        <f aca="false">""</f>
        <v/>
      </c>
      <c r="O973" s="292" t="str">
        <f aca="false">""</f>
        <v/>
      </c>
      <c r="P973" s="292" t="str">
        <f aca="false">IF(ISBLANK('Стёкла серии Elephant'!$P$109),"",'Стёкла серии Elephant'!$P$109)</f>
        <v>шт.</v>
      </c>
      <c r="Q973" s="292" t="n">
        <f aca="false">N('Стёкла серии Elephant'!$R$109)</f>
        <v>0</v>
      </c>
      <c r="R973" s="299" t="n">
        <f aca="false">IF(ISBLANK('Стёкла серии Elephant'!$Q$109),"",'Стёкла серии Elephant'!$Q$109)</f>
        <v>122.32</v>
      </c>
      <c r="S973" s="292" t="str">
        <f aca="false">IF(ISBLANK('Стёкла серии Elephant'!$S$109),"",'Стёкла серии Elephant'!$S$109)</f>
        <v/>
      </c>
    </row>
    <row r="974" customFormat="false" ht="66" hidden="false" customHeight="true" outlineLevel="0" collapsed="false">
      <c r="A974" s="291" t="str">
        <f aca="true">IF(ISNUMBER($J974),INDIRECT("L"&amp;($J974+4)),"")</f>
        <v/>
      </c>
      <c r="B974" s="291" t="str">
        <f aca="true">IF(ISNUMBER($J974),INDIRECT("M"&amp;($J974+4)),"")</f>
        <v/>
      </c>
      <c r="C974" s="296" t="str">
        <f aca="true">IF(ISNUMBER($J974),INDIRECT("N"&amp;($J974+4)),"")</f>
        <v/>
      </c>
      <c r="D974" s="291" t="str">
        <f aca="true">IF(ISNUMBER($J974),INDIRECT("O"&amp;($J974+4)),"")</f>
        <v/>
      </c>
      <c r="E974" s="291" t="str">
        <f aca="true">IF(ISNUMBER($J974),INDIRECT("P"&amp;($J974+4)),"")</f>
        <v/>
      </c>
      <c r="F974" s="300" t="str">
        <f aca="true">IF(ISNUMBER($J974),INDIRECT("Q"&amp;($J974+4)),"")</f>
        <v/>
      </c>
      <c r="G974" s="298" t="str">
        <f aca="true">IF(ISNUMBER($J974),INDIRECT("R"&amp;($J974+4)),"")</f>
        <v/>
      </c>
      <c r="H974" s="298" t="str">
        <f aca="true">IF(ISNUMBER($J974),INDIRECT("S"&amp;($J974+4)),"")</f>
        <v/>
      </c>
      <c r="J974" s="292" t="str">
        <f aca="true">IF(970&lt;=$K$1,MATCH(969.5,INDIRECT("$K$4:$K$1374"),1),"")</f>
        <v/>
      </c>
      <c r="K974" s="292" t="n">
        <f aca="false">$K$900+COUNTIF($Q$901:Q974,"&gt;0")</f>
        <v>0</v>
      </c>
      <c r="L974" s="292" t="str">
        <f aca="false">"Стёкла серии Elephant"&amp;" · "&amp;'Стёкла серии Elephant'!$N$110</f>
        <v>Стёкла серии Elephant · Elephant</v>
      </c>
      <c r="M974" s="292" t="str">
        <f aca="false">IF(ISBLANK('Стёкла серии Elephant'!$O$110),"",'Стёкла серии Elephant'!$O$110)</f>
        <v>Redmi 6/6A</v>
      </c>
      <c r="N974" s="292" t="str">
        <f aca="false">""</f>
        <v/>
      </c>
      <c r="O974" s="292" t="str">
        <f aca="false">""</f>
        <v/>
      </c>
      <c r="P974" s="292" t="str">
        <f aca="false">IF(ISBLANK('Стёкла серии Elephant'!$P$110),"",'Стёкла серии Elephant'!$P$110)</f>
        <v>шт.</v>
      </c>
      <c r="Q974" s="292" t="n">
        <f aca="false">N('Стёкла серии Elephant'!$R$110)</f>
        <v>0</v>
      </c>
      <c r="R974" s="299" t="n">
        <f aca="false">IF(ISBLANK('Стёкла серии Elephant'!$Q$110),"",'Стёкла серии Elephant'!$Q$110)</f>
        <v>122.32</v>
      </c>
      <c r="S974" s="292" t="str">
        <f aca="false">IF(ISBLANK('Стёкла серии Elephant'!$S$110),"",'Стёкла серии Elephant'!$S$110)</f>
        <v/>
      </c>
    </row>
    <row r="975" customFormat="false" ht="66" hidden="false" customHeight="true" outlineLevel="0" collapsed="false">
      <c r="A975" s="291" t="str">
        <f aca="true">IF(ISNUMBER($J975),INDIRECT("L"&amp;($J975+4)),"")</f>
        <v/>
      </c>
      <c r="B975" s="291" t="str">
        <f aca="true">IF(ISNUMBER($J975),INDIRECT("M"&amp;($J975+4)),"")</f>
        <v/>
      </c>
      <c r="C975" s="296" t="str">
        <f aca="true">IF(ISNUMBER($J975),INDIRECT("N"&amp;($J975+4)),"")</f>
        <v/>
      </c>
      <c r="D975" s="291" t="str">
        <f aca="true">IF(ISNUMBER($J975),INDIRECT("O"&amp;($J975+4)),"")</f>
        <v/>
      </c>
      <c r="E975" s="291" t="str">
        <f aca="true">IF(ISNUMBER($J975),INDIRECT("P"&amp;($J975+4)),"")</f>
        <v/>
      </c>
      <c r="F975" s="300" t="str">
        <f aca="true">IF(ISNUMBER($J975),INDIRECT("Q"&amp;($J975+4)),"")</f>
        <v/>
      </c>
      <c r="G975" s="298" t="str">
        <f aca="true">IF(ISNUMBER($J975),INDIRECT("R"&amp;($J975+4)),"")</f>
        <v/>
      </c>
      <c r="H975" s="298" t="str">
        <f aca="true">IF(ISNUMBER($J975),INDIRECT("S"&amp;($J975+4)),"")</f>
        <v/>
      </c>
      <c r="J975" s="292" t="str">
        <f aca="true">IF(971&lt;=$K$1,MATCH(970.5,INDIRECT("$K$4:$K$1374"),1),"")</f>
        <v/>
      </c>
      <c r="K975" s="292" t="n">
        <f aca="false">$K$900+COUNTIF($Q$901:Q975,"&gt;0")</f>
        <v>0</v>
      </c>
      <c r="L975" s="292" t="str">
        <f aca="false">"Стёкла серии Elephant"&amp;" · "&amp;'Стёкла серии Elephant'!$N$111</f>
        <v>Стёкла серии Elephant · Elephant</v>
      </c>
      <c r="M975" s="292" t="str">
        <f aca="false">IF(ISBLANK('Стёкла серии Elephant'!$O$111),"",'Стёкла серии Elephant'!$O$111)</f>
        <v>MI 10T LITE 5G</v>
      </c>
      <c r="N975" s="292" t="str">
        <f aca="false">""</f>
        <v/>
      </c>
      <c r="O975" s="292" t="str">
        <f aca="false">""</f>
        <v/>
      </c>
      <c r="P975" s="292" t="str">
        <f aca="false">IF(ISBLANK('Стёкла серии Elephant'!$P$111),"",'Стёкла серии Elephant'!$P$111)</f>
        <v>шт.</v>
      </c>
      <c r="Q975" s="292" t="n">
        <f aca="false">N('Стёкла серии Elephant'!$R$111)</f>
        <v>0</v>
      </c>
      <c r="R975" s="299" t="n">
        <f aca="false">IF(ISBLANK('Стёкла серии Elephant'!$Q$111),"",'Стёкла серии Elephant'!$Q$111)</f>
        <v>122.32</v>
      </c>
      <c r="S975" s="292" t="str">
        <f aca="false">IF(ISBLANK('Стёкла серии Elephant'!$S$111),"",'Стёкла серии Elephant'!$S$111)</f>
        <v/>
      </c>
    </row>
    <row r="976" customFormat="false" ht="66" hidden="false" customHeight="true" outlineLevel="0" collapsed="false">
      <c r="A976" s="291" t="str">
        <f aca="true">IF(ISNUMBER($J976),INDIRECT("L"&amp;($J976+4)),"")</f>
        <v/>
      </c>
      <c r="B976" s="291" t="str">
        <f aca="true">IF(ISNUMBER($J976),INDIRECT("M"&amp;($J976+4)),"")</f>
        <v/>
      </c>
      <c r="C976" s="296" t="str">
        <f aca="true">IF(ISNUMBER($J976),INDIRECT("N"&amp;($J976+4)),"")</f>
        <v/>
      </c>
      <c r="D976" s="291" t="str">
        <f aca="true">IF(ISNUMBER($J976),INDIRECT("O"&amp;($J976+4)),"")</f>
        <v/>
      </c>
      <c r="E976" s="291" t="str">
        <f aca="true">IF(ISNUMBER($J976),INDIRECT("P"&amp;($J976+4)),"")</f>
        <v/>
      </c>
      <c r="F976" s="300" t="str">
        <f aca="true">IF(ISNUMBER($J976),INDIRECT("Q"&amp;($J976+4)),"")</f>
        <v/>
      </c>
      <c r="G976" s="298" t="str">
        <f aca="true">IF(ISNUMBER($J976),INDIRECT("R"&amp;($J976+4)),"")</f>
        <v/>
      </c>
      <c r="H976" s="298" t="str">
        <f aca="true">IF(ISNUMBER($J976),INDIRECT("S"&amp;($J976+4)),"")</f>
        <v/>
      </c>
      <c r="J976" s="292" t="str">
        <f aca="true">IF(972&lt;=$K$1,MATCH(971.5,INDIRECT("$K$4:$K$1374"),1),"")</f>
        <v/>
      </c>
      <c r="K976" s="292" t="n">
        <f aca="false">$K$900+COUNTIF($Q$901:Q976,"&gt;0")</f>
        <v>0</v>
      </c>
      <c r="L976" s="292" t="str">
        <f aca="false">"Стёкла серии Elephant"&amp;" · "&amp;'Стёкла серии Elephant'!$N$112</f>
        <v>Стёкла серии Elephant · Elephant</v>
      </c>
      <c r="M976" s="292" t="str">
        <f aca="false">IF(ISBLANK('Стёкла серии Elephant'!$O$112),"",'Стёкла серии Elephant'!$O$112)</f>
        <v>A31</v>
      </c>
      <c r="N976" s="292" t="str">
        <f aca="false">""</f>
        <v/>
      </c>
      <c r="O976" s="292" t="str">
        <f aca="false">""</f>
        <v/>
      </c>
      <c r="P976" s="292" t="str">
        <f aca="false">IF(ISBLANK('Стёкла серии Elephant'!$P$112),"",'Стёкла серии Elephant'!$P$112)</f>
        <v>шт.</v>
      </c>
      <c r="Q976" s="292" t="n">
        <f aca="false">N('Стёкла серии Elephant'!$R$112)</f>
        <v>0</v>
      </c>
      <c r="R976" s="299" t="n">
        <f aca="false">IF(ISBLANK('Стёкла серии Elephant'!$Q$112),"",'Стёкла серии Elephant'!$Q$112)</f>
        <v>122.32</v>
      </c>
      <c r="S976" s="292" t="str">
        <f aca="false">IF(ISBLANK('Стёкла серии Elephant'!$S$112),"",'Стёкла серии Elephant'!$S$112)</f>
        <v/>
      </c>
    </row>
    <row r="977" customFormat="false" ht="66" hidden="false" customHeight="true" outlineLevel="0" collapsed="false">
      <c r="A977" s="291" t="str">
        <f aca="true">IF(ISNUMBER($J977),INDIRECT("L"&amp;($J977+4)),"")</f>
        <v/>
      </c>
      <c r="B977" s="291" t="str">
        <f aca="true">IF(ISNUMBER($J977),INDIRECT("M"&amp;($J977+4)),"")</f>
        <v/>
      </c>
      <c r="C977" s="296" t="str">
        <f aca="true">IF(ISNUMBER($J977),INDIRECT("N"&amp;($J977+4)),"")</f>
        <v/>
      </c>
      <c r="D977" s="291" t="str">
        <f aca="true">IF(ISNUMBER($J977),INDIRECT("O"&amp;($J977+4)),"")</f>
        <v/>
      </c>
      <c r="E977" s="291" t="str">
        <f aca="true">IF(ISNUMBER($J977),INDIRECT("P"&amp;($J977+4)),"")</f>
        <v/>
      </c>
      <c r="F977" s="300" t="str">
        <f aca="true">IF(ISNUMBER($J977),INDIRECT("Q"&amp;($J977+4)),"")</f>
        <v/>
      </c>
      <c r="G977" s="298" t="str">
        <f aca="true">IF(ISNUMBER($J977),INDIRECT("R"&amp;($J977+4)),"")</f>
        <v/>
      </c>
      <c r="H977" s="298" t="str">
        <f aca="true">IF(ISNUMBER($J977),INDIRECT("S"&amp;($J977+4)),"")</f>
        <v/>
      </c>
      <c r="J977" s="292" t="str">
        <f aca="true">IF(973&lt;=$K$1,MATCH(972.5,INDIRECT("$K$4:$K$1374"),1),"")</f>
        <v/>
      </c>
      <c r="K977" s="292" t="n">
        <f aca="false">$K$900+COUNTIF($Q$901:Q977,"&gt;0")</f>
        <v>0</v>
      </c>
      <c r="L977" s="292" t="str">
        <f aca="false">"Стёкла серии Elephant"&amp;" · "&amp;'Стёкла серии Elephant'!$N$113</f>
        <v>Стёкла серии Elephant · Elephant</v>
      </c>
      <c r="M977" s="292" t="str">
        <f aca="false">IF(ISBLANK('Стёкла серии Elephant'!$O$113),"",'Стёкла серии Elephant'!$O$113)</f>
        <v>A22 4G/M22/M32 4G/F22 4G</v>
      </c>
      <c r="N977" s="292" t="str">
        <f aca="false">""</f>
        <v/>
      </c>
      <c r="O977" s="292" t="str">
        <f aca="false">""</f>
        <v/>
      </c>
      <c r="P977" s="292" t="str">
        <f aca="false">IF(ISBLANK('Стёкла серии Elephant'!$P$113),"",'Стёкла серии Elephant'!$P$113)</f>
        <v>шт.</v>
      </c>
      <c r="Q977" s="292" t="n">
        <f aca="false">N('Стёкла серии Elephant'!$R$113)</f>
        <v>0</v>
      </c>
      <c r="R977" s="299" t="n">
        <f aca="false">IF(ISBLANK('Стёкла серии Elephant'!$Q$113),"",'Стёкла серии Elephant'!$Q$113)</f>
        <v>122.32</v>
      </c>
      <c r="S977" s="292" t="str">
        <f aca="false">IF(ISBLANK('Стёкла серии Elephant'!$S$113),"",'Стёкла серии Elephant'!$S$113)</f>
        <v/>
      </c>
    </row>
    <row r="978" customFormat="false" ht="66" hidden="false" customHeight="true" outlineLevel="0" collapsed="false">
      <c r="A978" s="291" t="str">
        <f aca="true">IF(ISNUMBER($J978),INDIRECT("L"&amp;($J978+4)),"")</f>
        <v/>
      </c>
      <c r="B978" s="291" t="str">
        <f aca="true">IF(ISNUMBER($J978),INDIRECT("M"&amp;($J978+4)),"")</f>
        <v/>
      </c>
      <c r="C978" s="296" t="str">
        <f aca="true">IF(ISNUMBER($J978),INDIRECT("N"&amp;($J978+4)),"")</f>
        <v/>
      </c>
      <c r="D978" s="291" t="str">
        <f aca="true">IF(ISNUMBER($J978),INDIRECT("O"&amp;($J978+4)),"")</f>
        <v/>
      </c>
      <c r="E978" s="291" t="str">
        <f aca="true">IF(ISNUMBER($J978),INDIRECT("P"&amp;($J978+4)),"")</f>
        <v/>
      </c>
      <c r="F978" s="300" t="str">
        <f aca="true">IF(ISNUMBER($J978),INDIRECT("Q"&amp;($J978+4)),"")</f>
        <v/>
      </c>
      <c r="G978" s="298" t="str">
        <f aca="true">IF(ISNUMBER($J978),INDIRECT("R"&amp;($J978+4)),"")</f>
        <v/>
      </c>
      <c r="H978" s="298" t="str">
        <f aca="true">IF(ISNUMBER($J978),INDIRECT("S"&amp;($J978+4)),"")</f>
        <v/>
      </c>
      <c r="J978" s="292" t="str">
        <f aca="true">IF(974&lt;=$K$1,MATCH(973.5,INDIRECT("$K$4:$K$1374"),1),"")</f>
        <v/>
      </c>
      <c r="K978" s="292" t="n">
        <f aca="false">$K$900+COUNTIF($Q$901:Q978,"&gt;0")</f>
        <v>0</v>
      </c>
      <c r="L978" s="292" t="str">
        <f aca="false">"Стёкла серии Elephant"&amp;" · "&amp;'Стёкла серии Elephant'!$N$114</f>
        <v>Стёкла серии Elephant · Elephant</v>
      </c>
      <c r="M978" s="292" t="str">
        <f aca="false">IF(ISBLANK('Стёкла серии Elephant'!$O$114),"",'Стёкла серии Elephant'!$O$114)</f>
        <v>A7/AX7/A7N/A5S/AX5S</v>
      </c>
      <c r="N978" s="292" t="str">
        <f aca="false">""</f>
        <v/>
      </c>
      <c r="O978" s="292" t="str">
        <f aca="false">""</f>
        <v/>
      </c>
      <c r="P978" s="292" t="str">
        <f aca="false">IF(ISBLANK('Стёкла серии Elephant'!$P$114),"",'Стёкла серии Elephant'!$P$114)</f>
        <v>шт.</v>
      </c>
      <c r="Q978" s="292" t="n">
        <f aca="false">N('Стёкла серии Elephant'!$R$114)</f>
        <v>0</v>
      </c>
      <c r="R978" s="299" t="n">
        <f aca="false">IF(ISBLANK('Стёкла серии Elephant'!$Q$114),"",'Стёкла серии Elephant'!$Q$114)</f>
        <v>122.32</v>
      </c>
      <c r="S978" s="292" t="str">
        <f aca="false">IF(ISBLANK('Стёкла серии Elephant'!$S$114),"",'Стёкла серии Elephant'!$S$114)</f>
        <v/>
      </c>
    </row>
    <row r="979" customFormat="false" ht="66" hidden="false" customHeight="true" outlineLevel="0" collapsed="false">
      <c r="A979" s="291" t="str">
        <f aca="true">IF(ISNUMBER($J979),INDIRECT("L"&amp;($J979+4)),"")</f>
        <v/>
      </c>
      <c r="B979" s="291" t="str">
        <f aca="true">IF(ISNUMBER($J979),INDIRECT("M"&amp;($J979+4)),"")</f>
        <v/>
      </c>
      <c r="C979" s="296" t="str">
        <f aca="true">IF(ISNUMBER($J979),INDIRECT("N"&amp;($J979+4)),"")</f>
        <v/>
      </c>
      <c r="D979" s="291" t="str">
        <f aca="true">IF(ISNUMBER($J979),INDIRECT("O"&amp;($J979+4)),"")</f>
        <v/>
      </c>
      <c r="E979" s="291" t="str">
        <f aca="true">IF(ISNUMBER($J979),INDIRECT("P"&amp;($J979+4)),"")</f>
        <v/>
      </c>
      <c r="F979" s="300" t="str">
        <f aca="true">IF(ISNUMBER($J979),INDIRECT("Q"&amp;($J979+4)),"")</f>
        <v/>
      </c>
      <c r="G979" s="298" t="str">
        <f aca="true">IF(ISNUMBER($J979),INDIRECT("R"&amp;($J979+4)),"")</f>
        <v/>
      </c>
      <c r="H979" s="298" t="str">
        <f aca="true">IF(ISNUMBER($J979),INDIRECT("S"&amp;($J979+4)),"")</f>
        <v/>
      </c>
      <c r="J979" s="292" t="str">
        <f aca="true">IF(975&lt;=$K$1,MATCH(974.5,INDIRECT("$K$4:$K$1374"),1),"")</f>
        <v/>
      </c>
      <c r="K979" s="292" t="n">
        <f aca="false">$K$900+COUNTIF($Q$901:Q979,"&gt;0")</f>
        <v>0</v>
      </c>
      <c r="L979" s="292" t="str">
        <f aca="false">"Стёкла серии Elephant"&amp;" · "&amp;'Стёкла серии Elephant'!$N$115</f>
        <v>Стёкла серии Elephant · Elephant</v>
      </c>
      <c r="M979" s="292" t="str">
        <f aca="false">IF(ISBLANK('Стёкла серии Elephant'!$O$115),"",'Стёкла серии Elephant'!$O$115)</f>
        <v>A52</v>
      </c>
      <c r="N979" s="292" t="str">
        <f aca="false">""</f>
        <v/>
      </c>
      <c r="O979" s="292" t="str">
        <f aca="false">""</f>
        <v/>
      </c>
      <c r="P979" s="292" t="str">
        <f aca="false">IF(ISBLANK('Стёкла серии Elephant'!$P$115),"",'Стёкла серии Elephant'!$P$115)</f>
        <v>шт.</v>
      </c>
      <c r="Q979" s="292" t="n">
        <f aca="false">N('Стёкла серии Elephant'!$R$115)</f>
        <v>0</v>
      </c>
      <c r="R979" s="299" t="n">
        <f aca="false">IF(ISBLANK('Стёкла серии Elephant'!$Q$115),"",'Стёкла серии Elephant'!$Q$115)</f>
        <v>122.32</v>
      </c>
      <c r="S979" s="292" t="str">
        <f aca="false">IF(ISBLANK('Стёкла серии Elephant'!$S$115),"",'Стёкла серии Elephant'!$S$115)</f>
        <v/>
      </c>
    </row>
    <row r="980" customFormat="false" ht="66" hidden="false" customHeight="true" outlineLevel="0" collapsed="false">
      <c r="A980" s="291" t="str">
        <f aca="true">IF(ISNUMBER($J980),INDIRECT("L"&amp;($J980+4)),"")</f>
        <v/>
      </c>
      <c r="B980" s="291" t="str">
        <f aca="true">IF(ISNUMBER($J980),INDIRECT("M"&amp;($J980+4)),"")</f>
        <v/>
      </c>
      <c r="C980" s="296" t="str">
        <f aca="true">IF(ISNUMBER($J980),INDIRECT("N"&amp;($J980+4)),"")</f>
        <v/>
      </c>
      <c r="D980" s="291" t="str">
        <f aca="true">IF(ISNUMBER($J980),INDIRECT("O"&amp;($J980+4)),"")</f>
        <v/>
      </c>
      <c r="E980" s="291" t="str">
        <f aca="true">IF(ISNUMBER($J980),INDIRECT("P"&amp;($J980+4)),"")</f>
        <v/>
      </c>
      <c r="F980" s="300" t="str">
        <f aca="true">IF(ISNUMBER($J980),INDIRECT("Q"&amp;($J980+4)),"")</f>
        <v/>
      </c>
      <c r="G980" s="298" t="str">
        <f aca="true">IF(ISNUMBER($J980),INDIRECT("R"&amp;($J980+4)),"")</f>
        <v/>
      </c>
      <c r="H980" s="298" t="str">
        <f aca="true">IF(ISNUMBER($J980),INDIRECT("S"&amp;($J980+4)),"")</f>
        <v/>
      </c>
      <c r="J980" s="292" t="str">
        <f aca="true">IF(976&lt;=$K$1,MATCH(975.5,INDIRECT("$K$4:$K$1374"),1),"")</f>
        <v/>
      </c>
      <c r="K980" s="292" t="n">
        <f aca="false">$K$900+COUNTIF($Q$901:Q980,"&gt;0")</f>
        <v>0</v>
      </c>
      <c r="L980" s="292" t="str">
        <f aca="false">"Стёкла серии Elephant"&amp;" · "&amp;'Стёкла серии Elephant'!$N$116</f>
        <v>Стёкла серии Elephant · Elephant</v>
      </c>
      <c r="M980" s="292" t="str">
        <f aca="false">IF(ISBLANK('Стёкла серии Elephant'!$O$116),"",'Стёкла серии Elephant'!$O$116)</f>
        <v>V20</v>
      </c>
      <c r="N980" s="292" t="str">
        <f aca="false">""</f>
        <v/>
      </c>
      <c r="O980" s="292" t="str">
        <f aca="false">""</f>
        <v/>
      </c>
      <c r="P980" s="292" t="str">
        <f aca="false">IF(ISBLANK('Стёкла серии Elephant'!$P$116),"",'Стёкла серии Elephant'!$P$116)</f>
        <v>шт.</v>
      </c>
      <c r="Q980" s="292" t="n">
        <f aca="false">N('Стёкла серии Elephant'!$R$116)</f>
        <v>0</v>
      </c>
      <c r="R980" s="299" t="n">
        <f aca="false">IF(ISBLANK('Стёкла серии Elephant'!$Q$116),"",'Стёкла серии Elephant'!$Q$116)</f>
        <v>122.32</v>
      </c>
      <c r="S980" s="292" t="str">
        <f aca="false">IF(ISBLANK('Стёкла серии Elephant'!$S$116),"",'Стёкла серии Elephant'!$S$116)</f>
        <v/>
      </c>
    </row>
    <row r="981" customFormat="false" ht="66" hidden="false" customHeight="true" outlineLevel="0" collapsed="false">
      <c r="A981" s="291" t="str">
        <f aca="true">IF(ISNUMBER($J981),INDIRECT("L"&amp;($J981+4)),"")</f>
        <v/>
      </c>
      <c r="B981" s="291" t="str">
        <f aca="true">IF(ISNUMBER($J981),INDIRECT("M"&amp;($J981+4)),"")</f>
        <v/>
      </c>
      <c r="C981" s="296" t="str">
        <f aca="true">IF(ISNUMBER($J981),INDIRECT("N"&amp;($J981+4)),"")</f>
        <v/>
      </c>
      <c r="D981" s="291" t="str">
        <f aca="true">IF(ISNUMBER($J981),INDIRECT("O"&amp;($J981+4)),"")</f>
        <v/>
      </c>
      <c r="E981" s="291" t="str">
        <f aca="true">IF(ISNUMBER($J981),INDIRECT("P"&amp;($J981+4)),"")</f>
        <v/>
      </c>
      <c r="F981" s="300" t="str">
        <f aca="true">IF(ISNUMBER($J981),INDIRECT("Q"&amp;($J981+4)),"")</f>
        <v/>
      </c>
      <c r="G981" s="298" t="str">
        <f aca="true">IF(ISNUMBER($J981),INDIRECT("R"&amp;($J981+4)),"")</f>
        <v/>
      </c>
      <c r="H981" s="298" t="str">
        <f aca="true">IF(ISNUMBER($J981),INDIRECT("S"&amp;($J981+4)),"")</f>
        <v/>
      </c>
      <c r="J981" s="292" t="str">
        <f aca="true">IF(977&lt;=$K$1,MATCH(976.5,INDIRECT("$K$4:$K$1374"),1),"")</f>
        <v/>
      </c>
      <c r="K981" s="292" t="n">
        <f aca="false">$K$900+COUNTIF($Q$901:Q981,"&gt;0")</f>
        <v>0</v>
      </c>
      <c r="L981" s="292" t="str">
        <f aca="false">"Стёкла серии Elephant"&amp;" · "&amp;'Стёкла серии Elephant'!$N$117</f>
        <v>Стёкла серии Elephant · Elephant</v>
      </c>
      <c r="M981" s="292" t="str">
        <f aca="false">IF(ISBLANK('Стёкла серии Elephant'!$O$117),"",'Стёкла серии Elephant'!$O$117)</f>
        <v>iP 12 mini</v>
      </c>
      <c r="N981" s="292" t="str">
        <f aca="false">""</f>
        <v/>
      </c>
      <c r="O981" s="292" t="str">
        <f aca="false">""</f>
        <v/>
      </c>
      <c r="P981" s="292" t="str">
        <f aca="false">IF(ISBLANK('Стёкла серии Elephant'!$P$117),"",'Стёкла серии Elephant'!$P$117)</f>
        <v>шт.</v>
      </c>
      <c r="Q981" s="292" t="n">
        <f aca="false">N('Стёкла серии Elephant'!$R$117)</f>
        <v>0</v>
      </c>
      <c r="R981" s="299" t="n">
        <f aca="false">IF(ISBLANK('Стёкла серии Elephant'!$Q$117),"",'Стёкла серии Elephant'!$Q$117)</f>
        <v>122.32</v>
      </c>
      <c r="S981" s="292" t="str">
        <f aca="false">IF(ISBLANK('Стёкла серии Elephant'!$S$117),"",'Стёкла серии Elephant'!$S$117)</f>
        <v/>
      </c>
    </row>
    <row r="982" customFormat="false" ht="66" hidden="false" customHeight="true" outlineLevel="0" collapsed="false">
      <c r="A982" s="291" t="str">
        <f aca="true">IF(ISNUMBER($J982),INDIRECT("L"&amp;($J982+4)),"")</f>
        <v/>
      </c>
      <c r="B982" s="291" t="str">
        <f aca="true">IF(ISNUMBER($J982),INDIRECT("M"&amp;($J982+4)),"")</f>
        <v/>
      </c>
      <c r="C982" s="296" t="str">
        <f aca="true">IF(ISNUMBER($J982),INDIRECT("N"&amp;($J982+4)),"")</f>
        <v/>
      </c>
      <c r="D982" s="291" t="str">
        <f aca="true">IF(ISNUMBER($J982),INDIRECT("O"&amp;($J982+4)),"")</f>
        <v/>
      </c>
      <c r="E982" s="291" t="str">
        <f aca="true">IF(ISNUMBER($J982),INDIRECT("P"&amp;($J982+4)),"")</f>
        <v/>
      </c>
      <c r="F982" s="300" t="str">
        <f aca="true">IF(ISNUMBER($J982),INDIRECT("Q"&amp;($J982+4)),"")</f>
        <v/>
      </c>
      <c r="G982" s="298" t="str">
        <f aca="true">IF(ISNUMBER($J982),INDIRECT("R"&amp;($J982+4)),"")</f>
        <v/>
      </c>
      <c r="H982" s="298" t="str">
        <f aca="true">IF(ISNUMBER($J982),INDIRECT("S"&amp;($J982+4)),"")</f>
        <v/>
      </c>
      <c r="J982" s="292" t="str">
        <f aca="true">IF(978&lt;=$K$1,MATCH(977.5,INDIRECT("$K$4:$K$1374"),1),"")</f>
        <v/>
      </c>
      <c r="K982" s="292" t="n">
        <f aca="false">$K$900+COUNTIF($Q$901:Q982,"&gt;0")</f>
        <v>0</v>
      </c>
      <c r="L982" s="292" t="str">
        <f aca="false">"Стёкла серии Elephant"&amp;" · "&amp;'Стёкла серии Elephant'!$N$118</f>
        <v>Стёкла серии Elephant · Elephant</v>
      </c>
      <c r="M982" s="292" t="str">
        <f aca="false">IF(ISBLANK('Стёкла серии Elephant'!$O$118),"",'Стёкла серии Elephant'!$O$118)</f>
        <v>P-Smart 2020</v>
      </c>
      <c r="N982" s="292" t="str">
        <f aca="false">""</f>
        <v/>
      </c>
      <c r="O982" s="292" t="str">
        <f aca="false">""</f>
        <v/>
      </c>
      <c r="P982" s="292" t="str">
        <f aca="false">IF(ISBLANK('Стёкла серии Elephant'!$P$118),"",'Стёкла серии Elephant'!$P$118)</f>
        <v>шт.</v>
      </c>
      <c r="Q982" s="292" t="n">
        <f aca="false">N('Стёкла серии Elephant'!$R$118)</f>
        <v>0</v>
      </c>
      <c r="R982" s="299" t="n">
        <f aca="false">IF(ISBLANK('Стёкла серии Elephant'!$Q$118),"",'Стёкла серии Elephant'!$Q$118)</f>
        <v>122.32</v>
      </c>
      <c r="S982" s="292" t="str">
        <f aca="false">IF(ISBLANK('Стёкла серии Elephant'!$S$118),"",'Стёкла серии Elephant'!$S$118)</f>
        <v/>
      </c>
    </row>
    <row r="983" customFormat="false" ht="66" hidden="false" customHeight="true" outlineLevel="0" collapsed="false">
      <c r="A983" s="291" t="str">
        <f aca="true">IF(ISNUMBER($J983),INDIRECT("L"&amp;($J983+4)),"")</f>
        <v/>
      </c>
      <c r="B983" s="291" t="str">
        <f aca="true">IF(ISNUMBER($J983),INDIRECT("M"&amp;($J983+4)),"")</f>
        <v/>
      </c>
      <c r="C983" s="296" t="str">
        <f aca="true">IF(ISNUMBER($J983),INDIRECT("N"&amp;($J983+4)),"")</f>
        <v/>
      </c>
      <c r="D983" s="291" t="str">
        <f aca="true">IF(ISNUMBER($J983),INDIRECT("O"&amp;($J983+4)),"")</f>
        <v/>
      </c>
      <c r="E983" s="291" t="str">
        <f aca="true">IF(ISNUMBER($J983),INDIRECT("P"&amp;($J983+4)),"")</f>
        <v/>
      </c>
      <c r="F983" s="300" t="str">
        <f aca="true">IF(ISNUMBER($J983),INDIRECT("Q"&amp;($J983+4)),"")</f>
        <v/>
      </c>
      <c r="G983" s="298" t="str">
        <f aca="true">IF(ISNUMBER($J983),INDIRECT("R"&amp;($J983+4)),"")</f>
        <v/>
      </c>
      <c r="H983" s="298" t="str">
        <f aca="true">IF(ISNUMBER($J983),INDIRECT("S"&amp;($J983+4)),"")</f>
        <v/>
      </c>
      <c r="J983" s="292" t="str">
        <f aca="true">IF(979&lt;=$K$1,MATCH(978.5,INDIRECT("$K$4:$K$1374"),1),"")</f>
        <v/>
      </c>
      <c r="K983" s="292" t="n">
        <f aca="false">$K$900+COUNTIF($Q$901:Q983,"&gt;0")</f>
        <v>0</v>
      </c>
      <c r="L983" s="292" t="str">
        <f aca="false">"Стёкла серии Elephant"&amp;" · "&amp;'Стёкла серии Elephant'!$N$119</f>
        <v>Стёкла серии Elephant · Elephant</v>
      </c>
      <c r="M983" s="292" t="str">
        <f aca="false">IF(ISBLANK('Стёкла серии Elephant'!$O$119),"",'Стёкла серии Elephant'!$O$119)</f>
        <v>Honor 20S</v>
      </c>
      <c r="N983" s="292" t="str">
        <f aca="false">""</f>
        <v/>
      </c>
      <c r="O983" s="292" t="str">
        <f aca="false">""</f>
        <v/>
      </c>
      <c r="P983" s="292" t="str">
        <f aca="false">IF(ISBLANK('Стёкла серии Elephant'!$P$119),"",'Стёкла серии Elephant'!$P$119)</f>
        <v>шт.</v>
      </c>
      <c r="Q983" s="292" t="n">
        <f aca="false">N('Стёкла серии Elephant'!$R$119)</f>
        <v>0</v>
      </c>
      <c r="R983" s="299" t="n">
        <f aca="false">IF(ISBLANK('Стёкла серии Elephant'!$Q$119),"",'Стёкла серии Elephant'!$Q$119)</f>
        <v>122.32</v>
      </c>
      <c r="S983" s="292" t="str">
        <f aca="false">IF(ISBLANK('Стёкла серии Elephant'!$S$119),"",'Стёкла серии Elephant'!$S$119)</f>
        <v/>
      </c>
    </row>
    <row r="984" customFormat="false" ht="66" hidden="false" customHeight="true" outlineLevel="0" collapsed="false">
      <c r="A984" s="291" t="str">
        <f aca="true">IF(ISNUMBER($J984),INDIRECT("L"&amp;($J984+4)),"")</f>
        <v/>
      </c>
      <c r="B984" s="291" t="str">
        <f aca="true">IF(ISNUMBER($J984),INDIRECT("M"&amp;($J984+4)),"")</f>
        <v/>
      </c>
      <c r="C984" s="296" t="str">
        <f aca="true">IF(ISNUMBER($J984),INDIRECT("N"&amp;($J984+4)),"")</f>
        <v/>
      </c>
      <c r="D984" s="291" t="str">
        <f aca="true">IF(ISNUMBER($J984),INDIRECT("O"&amp;($J984+4)),"")</f>
        <v/>
      </c>
      <c r="E984" s="291" t="str">
        <f aca="true">IF(ISNUMBER($J984),INDIRECT("P"&amp;($J984+4)),"")</f>
        <v/>
      </c>
      <c r="F984" s="300" t="str">
        <f aca="true">IF(ISNUMBER($J984),INDIRECT("Q"&amp;($J984+4)),"")</f>
        <v/>
      </c>
      <c r="G984" s="298" t="str">
        <f aca="true">IF(ISNUMBER($J984),INDIRECT("R"&amp;($J984+4)),"")</f>
        <v/>
      </c>
      <c r="H984" s="298" t="str">
        <f aca="true">IF(ISNUMBER($J984),INDIRECT("S"&amp;($J984+4)),"")</f>
        <v/>
      </c>
      <c r="J984" s="292" t="str">
        <f aca="true">IF(980&lt;=$K$1,MATCH(979.5,INDIRECT("$K$4:$K$1374"),1),"")</f>
        <v/>
      </c>
      <c r="K984" s="292" t="n">
        <f aca="false">$K$900+COUNTIF($Q$901:Q984,"&gt;0")</f>
        <v>0</v>
      </c>
      <c r="L984" s="292" t="str">
        <f aca="false">"Стёкла серии Elephant"&amp;" · "&amp;'Стёкла серии Elephant'!$N$120</f>
        <v>Стёкла серии Elephant · Elephant</v>
      </c>
      <c r="M984" s="292" t="str">
        <f aca="false">IF(ISBLANK('Стёкла серии Elephant'!$O$120),"",'Стёкла серии Elephant'!$O$120)</f>
        <v>Redmi 6 Pro/Mi A2 Lite</v>
      </c>
      <c r="N984" s="292" t="str">
        <f aca="false">""</f>
        <v/>
      </c>
      <c r="O984" s="292" t="str">
        <f aca="false">""</f>
        <v/>
      </c>
      <c r="P984" s="292" t="str">
        <f aca="false">IF(ISBLANK('Стёкла серии Elephant'!$P$120),"",'Стёкла серии Elephant'!$P$120)</f>
        <v>шт.</v>
      </c>
      <c r="Q984" s="292" t="n">
        <f aca="false">N('Стёкла серии Elephant'!$R$120)</f>
        <v>0</v>
      </c>
      <c r="R984" s="299" t="n">
        <f aca="false">IF(ISBLANK('Стёкла серии Elephant'!$Q$120),"",'Стёкла серии Elephant'!$Q$120)</f>
        <v>122.32</v>
      </c>
      <c r="S984" s="292" t="str">
        <f aca="false">IF(ISBLANK('Стёкла серии Elephant'!$S$120),"",'Стёкла серии Elephant'!$S$120)</f>
        <v/>
      </c>
    </row>
    <row r="985" customFormat="false" ht="66" hidden="false" customHeight="true" outlineLevel="0" collapsed="false">
      <c r="A985" s="291" t="str">
        <f aca="true">IF(ISNUMBER($J985),INDIRECT("L"&amp;($J985+4)),"")</f>
        <v/>
      </c>
      <c r="B985" s="291" t="str">
        <f aca="true">IF(ISNUMBER($J985),INDIRECT("M"&amp;($J985+4)),"")</f>
        <v/>
      </c>
      <c r="C985" s="296" t="str">
        <f aca="true">IF(ISNUMBER($J985),INDIRECT("N"&amp;($J985+4)),"")</f>
        <v/>
      </c>
      <c r="D985" s="291" t="str">
        <f aca="true">IF(ISNUMBER($J985),INDIRECT("O"&amp;($J985+4)),"")</f>
        <v/>
      </c>
      <c r="E985" s="291" t="str">
        <f aca="true">IF(ISNUMBER($J985),INDIRECT("P"&amp;($J985+4)),"")</f>
        <v/>
      </c>
      <c r="F985" s="300" t="str">
        <f aca="true">IF(ISNUMBER($J985),INDIRECT("Q"&amp;($J985+4)),"")</f>
        <v/>
      </c>
      <c r="G985" s="298" t="str">
        <f aca="true">IF(ISNUMBER($J985),INDIRECT("R"&amp;($J985+4)),"")</f>
        <v/>
      </c>
      <c r="H985" s="298" t="str">
        <f aca="true">IF(ISNUMBER($J985),INDIRECT("S"&amp;($J985+4)),"")</f>
        <v/>
      </c>
      <c r="J985" s="292" t="str">
        <f aca="true">IF(981&lt;=$K$1,MATCH(980.5,INDIRECT("$K$4:$K$1374"),1),"")</f>
        <v/>
      </c>
      <c r="K985" s="292" t="n">
        <f aca="false">$K$900+COUNTIF($Q$901:Q985,"&gt;0")</f>
        <v>0</v>
      </c>
      <c r="L985" s="292" t="str">
        <f aca="false">"Стёкла серии Elephant"&amp;" · "&amp;'Стёкла серии Elephant'!$N$121</f>
        <v>Стёкла серии Elephant · Elephant</v>
      </c>
      <c r="M985" s="292" t="str">
        <f aca="false">IF(ISBLANK('Стёкла серии Elephant'!$O$121),"",'Стёкла серии Elephant'!$O$121)</f>
        <v>MI 10T PRO 5G</v>
      </c>
      <c r="N985" s="292" t="str">
        <f aca="false">""</f>
        <v/>
      </c>
      <c r="O985" s="292" t="str">
        <f aca="false">""</f>
        <v/>
      </c>
      <c r="P985" s="292" t="str">
        <f aca="false">IF(ISBLANK('Стёкла серии Elephant'!$P$121),"",'Стёкла серии Elephant'!$P$121)</f>
        <v>шт.</v>
      </c>
      <c r="Q985" s="292" t="n">
        <f aca="false">N('Стёкла серии Elephant'!$R$121)</f>
        <v>0</v>
      </c>
      <c r="R985" s="299" t="n">
        <f aca="false">IF(ISBLANK('Стёкла серии Elephant'!$Q$121),"",'Стёкла серии Elephant'!$Q$121)</f>
        <v>122.32</v>
      </c>
      <c r="S985" s="292" t="str">
        <f aca="false">IF(ISBLANK('Стёкла серии Elephant'!$S$121),"",'Стёкла серии Elephant'!$S$121)</f>
        <v/>
      </c>
    </row>
    <row r="986" customFormat="false" ht="66" hidden="false" customHeight="true" outlineLevel="0" collapsed="false">
      <c r="A986" s="291" t="str">
        <f aca="true">IF(ISNUMBER($J986),INDIRECT("L"&amp;($J986+4)),"")</f>
        <v/>
      </c>
      <c r="B986" s="291" t="str">
        <f aca="true">IF(ISNUMBER($J986),INDIRECT("M"&amp;($J986+4)),"")</f>
        <v/>
      </c>
      <c r="C986" s="296" t="str">
        <f aca="true">IF(ISNUMBER($J986),INDIRECT("N"&amp;($J986+4)),"")</f>
        <v/>
      </c>
      <c r="D986" s="291" t="str">
        <f aca="true">IF(ISNUMBER($J986),INDIRECT("O"&amp;($J986+4)),"")</f>
        <v/>
      </c>
      <c r="E986" s="291" t="str">
        <f aca="true">IF(ISNUMBER($J986),INDIRECT("P"&amp;($J986+4)),"")</f>
        <v/>
      </c>
      <c r="F986" s="300" t="str">
        <f aca="true">IF(ISNUMBER($J986),INDIRECT("Q"&amp;($J986+4)),"")</f>
        <v/>
      </c>
      <c r="G986" s="298" t="str">
        <f aca="true">IF(ISNUMBER($J986),INDIRECT("R"&amp;($J986+4)),"")</f>
        <v/>
      </c>
      <c r="H986" s="298" t="str">
        <f aca="true">IF(ISNUMBER($J986),INDIRECT("S"&amp;($J986+4)),"")</f>
        <v/>
      </c>
      <c r="J986" s="292" t="str">
        <f aca="true">IF(982&lt;=$K$1,MATCH(981.5,INDIRECT("$K$4:$K$1374"),1),"")</f>
        <v/>
      </c>
      <c r="K986" s="292" t="n">
        <f aca="false">$K$900+COUNTIF($Q$901:Q986,"&gt;0")</f>
        <v>0</v>
      </c>
      <c r="L986" s="292" t="str">
        <f aca="false">"Стёкла серии Elephant"&amp;" · "&amp;'Стёкла серии Elephant'!$N$122</f>
        <v>Стёкла серии Elephant · Elephant</v>
      </c>
      <c r="M986" s="292" t="str">
        <f aca="false">IF(ISBLANK('Стёкла серии Elephant'!$O$122),"",'Стёкла серии Elephant'!$O$122)</f>
        <v>A51</v>
      </c>
      <c r="N986" s="292" t="str">
        <f aca="false">""</f>
        <v/>
      </c>
      <c r="O986" s="292" t="str">
        <f aca="false">""</f>
        <v/>
      </c>
      <c r="P986" s="292" t="str">
        <f aca="false">IF(ISBLANK('Стёкла серии Elephant'!$P$122),"",'Стёкла серии Elephant'!$P$122)</f>
        <v>шт.</v>
      </c>
      <c r="Q986" s="292" t="n">
        <f aca="false">N('Стёкла серии Elephant'!$R$122)</f>
        <v>0</v>
      </c>
      <c r="R986" s="299" t="n">
        <f aca="false">IF(ISBLANK('Стёкла серии Elephant'!$Q$122),"",'Стёкла серии Elephant'!$Q$122)</f>
        <v>122.32</v>
      </c>
      <c r="S986" s="292" t="str">
        <f aca="false">IF(ISBLANK('Стёкла серии Elephant'!$S$122),"",'Стёкла серии Elephant'!$S$122)</f>
        <v/>
      </c>
    </row>
    <row r="987" customFormat="false" ht="66" hidden="false" customHeight="true" outlineLevel="0" collapsed="false">
      <c r="A987" s="291" t="str">
        <f aca="true">IF(ISNUMBER($J987),INDIRECT("L"&amp;($J987+4)),"")</f>
        <v/>
      </c>
      <c r="B987" s="291" t="str">
        <f aca="true">IF(ISNUMBER($J987),INDIRECT("M"&amp;($J987+4)),"")</f>
        <v/>
      </c>
      <c r="C987" s="296" t="str">
        <f aca="true">IF(ISNUMBER($J987),INDIRECT("N"&amp;($J987+4)),"")</f>
        <v/>
      </c>
      <c r="D987" s="291" t="str">
        <f aca="true">IF(ISNUMBER($J987),INDIRECT("O"&amp;($J987+4)),"")</f>
        <v/>
      </c>
      <c r="E987" s="291" t="str">
        <f aca="true">IF(ISNUMBER($J987),INDIRECT("P"&amp;($J987+4)),"")</f>
        <v/>
      </c>
      <c r="F987" s="300" t="str">
        <f aca="true">IF(ISNUMBER($J987),INDIRECT("Q"&amp;($J987+4)),"")</f>
        <v/>
      </c>
      <c r="G987" s="298" t="str">
        <f aca="true">IF(ISNUMBER($J987),INDIRECT("R"&amp;($J987+4)),"")</f>
        <v/>
      </c>
      <c r="H987" s="298" t="str">
        <f aca="true">IF(ISNUMBER($J987),INDIRECT("S"&amp;($J987+4)),"")</f>
        <v/>
      </c>
      <c r="J987" s="292" t="str">
        <f aca="true">IF(983&lt;=$K$1,MATCH(982.5,INDIRECT("$K$4:$K$1374"),1),"")</f>
        <v/>
      </c>
      <c r="K987" s="292" t="n">
        <f aca="false">$K$900+COUNTIF($Q$901:Q987,"&gt;0")</f>
        <v>0</v>
      </c>
      <c r="L987" s="292" t="str">
        <f aca="false">"Стёкла серии Elephant"&amp;" · "&amp;'Стёкла серии Elephant'!$N$123</f>
        <v>Стёкла серии Elephant · Elephant</v>
      </c>
      <c r="M987" s="292" t="str">
        <f aca="false">IF(ISBLANK('Стёкла серии Elephant'!$O$123),"",'Стёкла серии Elephant'!$O$123)</f>
        <v>M32 5G</v>
      </c>
      <c r="N987" s="292" t="str">
        <f aca="false">""</f>
        <v/>
      </c>
      <c r="O987" s="292" t="str">
        <f aca="false">""</f>
        <v/>
      </c>
      <c r="P987" s="292" t="str">
        <f aca="false">IF(ISBLANK('Стёкла серии Elephant'!$P$123),"",'Стёкла серии Elephant'!$P$123)</f>
        <v>шт.</v>
      </c>
      <c r="Q987" s="292" t="n">
        <f aca="false">N('Стёкла серии Elephant'!$R$123)</f>
        <v>0</v>
      </c>
      <c r="R987" s="299" t="n">
        <f aca="false">IF(ISBLANK('Стёкла серии Elephant'!$Q$123),"",'Стёкла серии Elephant'!$Q$123)</f>
        <v>122.32</v>
      </c>
      <c r="S987" s="292" t="str">
        <f aca="false">IF(ISBLANK('Стёкла серии Elephant'!$S$123),"",'Стёкла серии Elephant'!$S$123)</f>
        <v/>
      </c>
    </row>
    <row r="988" customFormat="false" ht="66" hidden="false" customHeight="true" outlineLevel="0" collapsed="false">
      <c r="A988" s="291" t="str">
        <f aca="true">IF(ISNUMBER($J988),INDIRECT("L"&amp;($J988+4)),"")</f>
        <v/>
      </c>
      <c r="B988" s="291" t="str">
        <f aca="true">IF(ISNUMBER($J988),INDIRECT("M"&amp;($J988+4)),"")</f>
        <v/>
      </c>
      <c r="C988" s="296" t="str">
        <f aca="true">IF(ISNUMBER($J988),INDIRECT("N"&amp;($J988+4)),"")</f>
        <v/>
      </c>
      <c r="D988" s="291" t="str">
        <f aca="true">IF(ISNUMBER($J988),INDIRECT("O"&amp;($J988+4)),"")</f>
        <v/>
      </c>
      <c r="E988" s="291" t="str">
        <f aca="true">IF(ISNUMBER($J988),INDIRECT("P"&amp;($J988+4)),"")</f>
        <v/>
      </c>
      <c r="F988" s="300" t="str">
        <f aca="true">IF(ISNUMBER($J988),INDIRECT("Q"&amp;($J988+4)),"")</f>
        <v/>
      </c>
      <c r="G988" s="298" t="str">
        <f aca="true">IF(ISNUMBER($J988),INDIRECT("R"&amp;($J988+4)),"")</f>
        <v/>
      </c>
      <c r="H988" s="298" t="str">
        <f aca="true">IF(ISNUMBER($J988),INDIRECT("S"&amp;($J988+4)),"")</f>
        <v/>
      </c>
      <c r="J988" s="292" t="str">
        <f aca="true">IF(984&lt;=$K$1,MATCH(983.5,INDIRECT("$K$4:$K$1374"),1),"")</f>
        <v/>
      </c>
      <c r="K988" s="292" t="n">
        <f aca="false">$K$900+COUNTIF($Q$901:Q988,"&gt;0")</f>
        <v>0</v>
      </c>
      <c r="L988" s="292" t="str">
        <f aca="false">"Стёкла серии Elephant"&amp;" · "&amp;'Стёкла серии Elephant'!$N$124</f>
        <v>Стёкла серии Elephant · Elephant</v>
      </c>
      <c r="M988" s="292" t="str">
        <f aca="false">IF(ISBLANK('Стёкла серии Elephant'!$O$124),"",'Стёкла серии Elephant'!$O$124)</f>
        <v>A5/A3S/AX5</v>
      </c>
      <c r="N988" s="292" t="str">
        <f aca="false">""</f>
        <v/>
      </c>
      <c r="O988" s="292" t="str">
        <f aca="false">""</f>
        <v/>
      </c>
      <c r="P988" s="292" t="str">
        <f aca="false">IF(ISBLANK('Стёкла серии Elephant'!$P$124),"",'Стёкла серии Elephant'!$P$124)</f>
        <v>шт.</v>
      </c>
      <c r="Q988" s="292" t="n">
        <f aca="false">N('Стёкла серии Elephant'!$R$124)</f>
        <v>0</v>
      </c>
      <c r="R988" s="299" t="n">
        <f aca="false">IF(ISBLANK('Стёкла серии Elephant'!$Q$124),"",'Стёкла серии Elephant'!$Q$124)</f>
        <v>122.32</v>
      </c>
      <c r="S988" s="292" t="str">
        <f aca="false">IF(ISBLANK('Стёкла серии Elephant'!$S$124),"",'Стёкла серии Elephant'!$S$124)</f>
        <v/>
      </c>
    </row>
    <row r="989" customFormat="false" ht="66" hidden="false" customHeight="true" outlineLevel="0" collapsed="false">
      <c r="A989" s="291" t="str">
        <f aca="true">IF(ISNUMBER($J989),INDIRECT("L"&amp;($J989+4)),"")</f>
        <v/>
      </c>
      <c r="B989" s="291" t="str">
        <f aca="true">IF(ISNUMBER($J989),INDIRECT("M"&amp;($J989+4)),"")</f>
        <v/>
      </c>
      <c r="C989" s="296" t="str">
        <f aca="true">IF(ISNUMBER($J989),INDIRECT("N"&amp;($J989+4)),"")</f>
        <v/>
      </c>
      <c r="D989" s="291" t="str">
        <f aca="true">IF(ISNUMBER($J989),INDIRECT("O"&amp;($J989+4)),"")</f>
        <v/>
      </c>
      <c r="E989" s="291" t="str">
        <f aca="true">IF(ISNUMBER($J989),INDIRECT("P"&amp;($J989+4)),"")</f>
        <v/>
      </c>
      <c r="F989" s="300" t="str">
        <f aca="true">IF(ISNUMBER($J989),INDIRECT("Q"&amp;($J989+4)),"")</f>
        <v/>
      </c>
      <c r="G989" s="298" t="str">
        <f aca="true">IF(ISNUMBER($J989),INDIRECT("R"&amp;($J989+4)),"")</f>
        <v/>
      </c>
      <c r="H989" s="298" t="str">
        <f aca="true">IF(ISNUMBER($J989),INDIRECT("S"&amp;($J989+4)),"")</f>
        <v/>
      </c>
      <c r="J989" s="292" t="str">
        <f aca="true">IF(985&lt;=$K$1,MATCH(984.5,INDIRECT("$K$4:$K$1374"),1),"")</f>
        <v/>
      </c>
      <c r="K989" s="292" t="n">
        <f aca="false">$K$900+COUNTIF($Q$901:Q989,"&gt;0")</f>
        <v>0</v>
      </c>
      <c r="L989" s="292" t="str">
        <f aca="false">"Стёкла серии Elephant"&amp;" · "&amp;'Стёкла серии Elephant'!$N$125</f>
        <v>Стёкла серии Elephant · Elephant</v>
      </c>
      <c r="M989" s="292" t="str">
        <f aca="false">IF(ISBLANK('Стёкла серии Elephant'!$O$125),"",'Стёкла серии Elephant'!$O$125)</f>
        <v>A72</v>
      </c>
      <c r="N989" s="292" t="str">
        <f aca="false">""</f>
        <v/>
      </c>
      <c r="O989" s="292" t="str">
        <f aca="false">""</f>
        <v/>
      </c>
      <c r="P989" s="292" t="str">
        <f aca="false">IF(ISBLANK('Стёкла серии Elephant'!$P$125),"",'Стёкла серии Elephant'!$P$125)</f>
        <v>шт.</v>
      </c>
      <c r="Q989" s="292" t="n">
        <f aca="false">N('Стёкла серии Elephant'!$R$125)</f>
        <v>0</v>
      </c>
      <c r="R989" s="299" t="n">
        <f aca="false">IF(ISBLANK('Стёкла серии Elephant'!$Q$125),"",'Стёкла серии Elephant'!$Q$125)</f>
        <v>122.32</v>
      </c>
      <c r="S989" s="292" t="str">
        <f aca="false">IF(ISBLANK('Стёкла серии Elephant'!$S$125),"",'Стёкла серии Elephant'!$S$125)</f>
        <v/>
      </c>
    </row>
    <row r="990" customFormat="false" ht="66" hidden="false" customHeight="true" outlineLevel="0" collapsed="false">
      <c r="A990" s="291" t="str">
        <f aca="true">IF(ISNUMBER($J990),INDIRECT("L"&amp;($J990+4)),"")</f>
        <v/>
      </c>
      <c r="B990" s="291" t="str">
        <f aca="true">IF(ISNUMBER($J990),INDIRECT("M"&amp;($J990+4)),"")</f>
        <v/>
      </c>
      <c r="C990" s="296" t="str">
        <f aca="true">IF(ISNUMBER($J990),INDIRECT("N"&amp;($J990+4)),"")</f>
        <v/>
      </c>
      <c r="D990" s="291" t="str">
        <f aca="true">IF(ISNUMBER($J990),INDIRECT("O"&amp;($J990+4)),"")</f>
        <v/>
      </c>
      <c r="E990" s="291" t="str">
        <f aca="true">IF(ISNUMBER($J990),INDIRECT("P"&amp;($J990+4)),"")</f>
        <v/>
      </c>
      <c r="F990" s="300" t="str">
        <f aca="true">IF(ISNUMBER($J990),INDIRECT("Q"&amp;($J990+4)),"")</f>
        <v/>
      </c>
      <c r="G990" s="298" t="str">
        <f aca="true">IF(ISNUMBER($J990),INDIRECT("R"&amp;($J990+4)),"")</f>
        <v/>
      </c>
      <c r="H990" s="298" t="str">
        <f aca="true">IF(ISNUMBER($J990),INDIRECT("S"&amp;($J990+4)),"")</f>
        <v/>
      </c>
      <c r="J990" s="292" t="str">
        <f aca="true">IF(986&lt;=$K$1,MATCH(985.5,INDIRECT("$K$4:$K$1374"),1),"")</f>
        <v/>
      </c>
      <c r="K990" s="292" t="n">
        <f aca="false">$K$900+COUNTIF($Q$901:Q990,"&gt;0")</f>
        <v>0</v>
      </c>
      <c r="L990" s="292" t="str">
        <f aca="false">"Стёкла серии Elephant"&amp;" · "&amp;'Стёкла серии Elephant'!$N$126</f>
        <v>Стёкла серии Elephant · Elephant</v>
      </c>
      <c r="M990" s="292" t="str">
        <f aca="false">IF(ISBLANK('Стёкла серии Elephant'!$O$126),"",'Стёкла серии Elephant'!$O$126)</f>
        <v>V20 SE</v>
      </c>
      <c r="N990" s="292" t="str">
        <f aca="false">""</f>
        <v/>
      </c>
      <c r="O990" s="292" t="str">
        <f aca="false">""</f>
        <v/>
      </c>
      <c r="P990" s="292" t="str">
        <f aca="false">IF(ISBLANK('Стёкла серии Elephant'!$P$126),"",'Стёкла серии Elephant'!$P$126)</f>
        <v>шт.</v>
      </c>
      <c r="Q990" s="292" t="n">
        <f aca="false">N('Стёкла серии Elephant'!$R$126)</f>
        <v>0</v>
      </c>
      <c r="R990" s="299" t="n">
        <f aca="false">IF(ISBLANK('Стёкла серии Elephant'!$Q$126),"",'Стёкла серии Elephant'!$Q$126)</f>
        <v>122.32</v>
      </c>
      <c r="S990" s="292" t="str">
        <f aca="false">IF(ISBLANK('Стёкла серии Elephant'!$S$126),"",'Стёкла серии Elephant'!$S$126)</f>
        <v/>
      </c>
    </row>
    <row r="991" customFormat="false" ht="66" hidden="false" customHeight="true" outlineLevel="0" collapsed="false">
      <c r="A991" s="291" t="str">
        <f aca="true">IF(ISNUMBER($J991),INDIRECT("L"&amp;($J991+4)),"")</f>
        <v/>
      </c>
      <c r="B991" s="291" t="str">
        <f aca="true">IF(ISNUMBER($J991),INDIRECT("M"&amp;($J991+4)),"")</f>
        <v/>
      </c>
      <c r="C991" s="296" t="str">
        <f aca="true">IF(ISNUMBER($J991),INDIRECT("N"&amp;($J991+4)),"")</f>
        <v/>
      </c>
      <c r="D991" s="291" t="str">
        <f aca="true">IF(ISNUMBER($J991),INDIRECT("O"&amp;($J991+4)),"")</f>
        <v/>
      </c>
      <c r="E991" s="291" t="str">
        <f aca="true">IF(ISNUMBER($J991),INDIRECT("P"&amp;($J991+4)),"")</f>
        <v/>
      </c>
      <c r="F991" s="300" t="str">
        <f aca="true">IF(ISNUMBER($J991),INDIRECT("Q"&amp;($J991+4)),"")</f>
        <v/>
      </c>
      <c r="G991" s="298" t="str">
        <f aca="true">IF(ISNUMBER($J991),INDIRECT("R"&amp;($J991+4)),"")</f>
        <v/>
      </c>
      <c r="H991" s="298" t="str">
        <f aca="true">IF(ISNUMBER($J991),INDIRECT("S"&amp;($J991+4)),"")</f>
        <v/>
      </c>
      <c r="J991" s="292" t="str">
        <f aca="true">IF(987&lt;=$K$1,MATCH(986.5,INDIRECT("$K$4:$K$1374"),1),"")</f>
        <v/>
      </c>
      <c r="K991" s="292" t="n">
        <f aca="false">$K$900+COUNTIF($Q$901:Q991,"&gt;0")</f>
        <v>0</v>
      </c>
      <c r="L991" s="292" t="str">
        <f aca="false">"Стёкла серии Elephant"&amp;" · "&amp;'Стёкла серии Elephant'!$N$127</f>
        <v>Стёкла серии Elephant · Elephant</v>
      </c>
      <c r="M991" s="292" t="str">
        <f aca="false">IF(ISBLANK('Стёкла серии Elephant'!$O$127),"",'Стёкла серии Elephant'!$O$127)</f>
        <v>iP 12/ 12 Pro</v>
      </c>
      <c r="N991" s="292" t="str">
        <f aca="false">""</f>
        <v/>
      </c>
      <c r="O991" s="292" t="str">
        <f aca="false">""</f>
        <v/>
      </c>
      <c r="P991" s="292" t="str">
        <f aca="false">IF(ISBLANK('Стёкла серии Elephant'!$P$127),"",'Стёкла серии Elephant'!$P$127)</f>
        <v>шт.</v>
      </c>
      <c r="Q991" s="292" t="n">
        <f aca="false">N('Стёкла серии Elephant'!$R$127)</f>
        <v>0</v>
      </c>
      <c r="R991" s="299" t="n">
        <f aca="false">IF(ISBLANK('Стёкла серии Elephant'!$Q$127),"",'Стёкла серии Elephant'!$Q$127)</f>
        <v>122.32</v>
      </c>
      <c r="S991" s="292" t="str">
        <f aca="false">IF(ISBLANK('Стёкла серии Elephant'!$S$127),"",'Стёкла серии Elephant'!$S$127)</f>
        <v/>
      </c>
    </row>
    <row r="992" customFormat="false" ht="66" hidden="false" customHeight="true" outlineLevel="0" collapsed="false">
      <c r="A992" s="291" t="str">
        <f aca="true">IF(ISNUMBER($J992),INDIRECT("L"&amp;($J992+4)),"")</f>
        <v/>
      </c>
      <c r="B992" s="291" t="str">
        <f aca="true">IF(ISNUMBER($J992),INDIRECT("M"&amp;($J992+4)),"")</f>
        <v/>
      </c>
      <c r="C992" s="296" t="str">
        <f aca="true">IF(ISNUMBER($J992),INDIRECT("N"&amp;($J992+4)),"")</f>
        <v/>
      </c>
      <c r="D992" s="291" t="str">
        <f aca="true">IF(ISNUMBER($J992),INDIRECT("O"&amp;($J992+4)),"")</f>
        <v/>
      </c>
      <c r="E992" s="291" t="str">
        <f aca="true">IF(ISNUMBER($J992),INDIRECT("P"&amp;($J992+4)),"")</f>
        <v/>
      </c>
      <c r="F992" s="300" t="str">
        <f aca="true">IF(ISNUMBER($J992),INDIRECT("Q"&amp;($J992+4)),"")</f>
        <v/>
      </c>
      <c r="G992" s="298" t="str">
        <f aca="true">IF(ISNUMBER($J992),INDIRECT("R"&amp;($J992+4)),"")</f>
        <v/>
      </c>
      <c r="H992" s="298" t="str">
        <f aca="true">IF(ISNUMBER($J992),INDIRECT("S"&amp;($J992+4)),"")</f>
        <v/>
      </c>
      <c r="J992" s="292" t="str">
        <f aca="true">IF(988&lt;=$K$1,MATCH(987.5,INDIRECT("$K$4:$K$1374"),1),"")</f>
        <v/>
      </c>
      <c r="K992" s="292" t="n">
        <f aca="false">$K$900+COUNTIF($Q$901:Q992,"&gt;0")</f>
        <v>0</v>
      </c>
      <c r="L992" s="292" t="str">
        <f aca="false">"Стёкла серии Elephant"&amp;" · "&amp;'Стёкла серии Elephant'!$N$128</f>
        <v>Стёкла серии Elephant · Elephant</v>
      </c>
      <c r="M992" s="292" t="str">
        <f aca="false">IF(ISBLANK('Стёкла серии Elephant'!$O$128),"",'Стёкла серии Elephant'!$O$128)</f>
        <v>P-Smart 2021</v>
      </c>
      <c r="N992" s="292" t="str">
        <f aca="false">""</f>
        <v/>
      </c>
      <c r="O992" s="292" t="str">
        <f aca="false">""</f>
        <v/>
      </c>
      <c r="P992" s="292" t="str">
        <f aca="false">IF(ISBLANK('Стёкла серии Elephant'!$P$128),"",'Стёкла серии Elephant'!$P$128)</f>
        <v>шт.</v>
      </c>
      <c r="Q992" s="292" t="n">
        <f aca="false">N('Стёкла серии Elephant'!$R$128)</f>
        <v>0</v>
      </c>
      <c r="R992" s="299" t="n">
        <f aca="false">IF(ISBLANK('Стёкла серии Elephant'!$Q$128),"",'Стёкла серии Elephant'!$Q$128)</f>
        <v>122.32</v>
      </c>
      <c r="S992" s="292" t="str">
        <f aca="false">IF(ISBLANK('Стёкла серии Elephant'!$S$128),"",'Стёкла серии Elephant'!$S$128)</f>
        <v/>
      </c>
    </row>
    <row r="993" customFormat="false" ht="66" hidden="false" customHeight="true" outlineLevel="0" collapsed="false">
      <c r="A993" s="291" t="str">
        <f aca="true">IF(ISNUMBER($J993),INDIRECT("L"&amp;($J993+4)),"")</f>
        <v/>
      </c>
      <c r="B993" s="291" t="str">
        <f aca="true">IF(ISNUMBER($J993),INDIRECT("M"&amp;($J993+4)),"")</f>
        <v/>
      </c>
      <c r="C993" s="296" t="str">
        <f aca="true">IF(ISNUMBER($J993),INDIRECT("N"&amp;($J993+4)),"")</f>
        <v/>
      </c>
      <c r="D993" s="291" t="str">
        <f aca="true">IF(ISNUMBER($J993),INDIRECT("O"&amp;($J993+4)),"")</f>
        <v/>
      </c>
      <c r="E993" s="291" t="str">
        <f aca="true">IF(ISNUMBER($J993),INDIRECT("P"&amp;($J993+4)),"")</f>
        <v/>
      </c>
      <c r="F993" s="300" t="str">
        <f aca="true">IF(ISNUMBER($J993),INDIRECT("Q"&amp;($J993+4)),"")</f>
        <v/>
      </c>
      <c r="G993" s="298" t="str">
        <f aca="true">IF(ISNUMBER($J993),INDIRECT("R"&amp;($J993+4)),"")</f>
        <v/>
      </c>
      <c r="H993" s="298" t="str">
        <f aca="true">IF(ISNUMBER($J993),INDIRECT("S"&amp;($J993+4)),"")</f>
        <v/>
      </c>
      <c r="J993" s="292" t="str">
        <f aca="true">IF(989&lt;=$K$1,MATCH(988.5,INDIRECT("$K$4:$K$1374"),1),"")</f>
        <v/>
      </c>
      <c r="K993" s="292" t="n">
        <f aca="false">$K$900+COUNTIF($Q$901:Q993,"&gt;0")</f>
        <v>0</v>
      </c>
      <c r="L993" s="292" t="str">
        <f aca="false">"Стёкла серии Elephant"&amp;" · "&amp;'Стёкла серии Elephant'!$N$129</f>
        <v>Стёкла серии Elephant · Elephant</v>
      </c>
      <c r="M993" s="292" t="str">
        <f aca="false">IF(ISBLANK('Стёкла серии Elephant'!$O$129),"",'Стёкла серии Elephant'!$O$129)</f>
        <v>Honor 20/20 Pro</v>
      </c>
      <c r="N993" s="292" t="str">
        <f aca="false">""</f>
        <v/>
      </c>
      <c r="O993" s="292" t="str">
        <f aca="false">""</f>
        <v/>
      </c>
      <c r="P993" s="292" t="str">
        <f aca="false">IF(ISBLANK('Стёкла серии Elephant'!$P$129),"",'Стёкла серии Elephant'!$P$129)</f>
        <v>шт.</v>
      </c>
      <c r="Q993" s="292" t="n">
        <f aca="false">N('Стёкла серии Elephant'!$R$129)</f>
        <v>0</v>
      </c>
      <c r="R993" s="299" t="n">
        <f aca="false">IF(ISBLANK('Стёкла серии Elephant'!$Q$129),"",'Стёкла серии Elephant'!$Q$129)</f>
        <v>122.32</v>
      </c>
      <c r="S993" s="292" t="str">
        <f aca="false">IF(ISBLANK('Стёкла серии Elephant'!$S$129),"",'Стёкла серии Elephant'!$S$129)</f>
        <v/>
      </c>
    </row>
    <row r="994" customFormat="false" ht="66" hidden="false" customHeight="true" outlineLevel="0" collapsed="false">
      <c r="A994" s="291" t="str">
        <f aca="true">IF(ISNUMBER($J994),INDIRECT("L"&amp;($J994+4)),"")</f>
        <v/>
      </c>
      <c r="B994" s="291" t="str">
        <f aca="true">IF(ISNUMBER($J994),INDIRECT("M"&amp;($J994+4)),"")</f>
        <v/>
      </c>
      <c r="C994" s="296" t="str">
        <f aca="true">IF(ISNUMBER($J994),INDIRECT("N"&amp;($J994+4)),"")</f>
        <v/>
      </c>
      <c r="D994" s="291" t="str">
        <f aca="true">IF(ISNUMBER($J994),INDIRECT("O"&amp;($J994+4)),"")</f>
        <v/>
      </c>
      <c r="E994" s="291" t="str">
        <f aca="true">IF(ISNUMBER($J994),INDIRECT("P"&amp;($J994+4)),"")</f>
        <v/>
      </c>
      <c r="F994" s="300" t="str">
        <f aca="true">IF(ISNUMBER($J994),INDIRECT("Q"&amp;($J994+4)),"")</f>
        <v/>
      </c>
      <c r="G994" s="298" t="str">
        <f aca="true">IF(ISNUMBER($J994),INDIRECT("R"&amp;($J994+4)),"")</f>
        <v/>
      </c>
      <c r="H994" s="298" t="str">
        <f aca="true">IF(ISNUMBER($J994),INDIRECT("S"&amp;($J994+4)),"")</f>
        <v/>
      </c>
      <c r="J994" s="292" t="str">
        <f aca="true">IF(990&lt;=$K$1,MATCH(989.5,INDIRECT("$K$4:$K$1374"),1),"")</f>
        <v/>
      </c>
      <c r="K994" s="292" t="n">
        <f aca="false">$K$900+COUNTIF($Q$901:Q994,"&gt;0")</f>
        <v>0</v>
      </c>
      <c r="L994" s="292" t="str">
        <f aca="false">"Стёкла серии Elephant"&amp;" · "&amp;'Стёкла серии Elephant'!$N$130</f>
        <v>Стёкла серии Elephant · Elephant</v>
      </c>
      <c r="M994" s="292" t="str">
        <f aca="false">IF(ISBLANK('Стёкла серии Elephant'!$O$130),"",'Стёкла серии Elephant'!$O$130)</f>
        <v>Redmi Note6/Mi 8 Lite</v>
      </c>
      <c r="N994" s="292" t="str">
        <f aca="false">""</f>
        <v/>
      </c>
      <c r="O994" s="292" t="str">
        <f aca="false">""</f>
        <v/>
      </c>
      <c r="P994" s="292" t="str">
        <f aca="false">IF(ISBLANK('Стёкла серии Elephant'!$P$130),"",'Стёкла серии Elephant'!$P$130)</f>
        <v>шт.</v>
      </c>
      <c r="Q994" s="292" t="n">
        <f aca="false">N('Стёкла серии Elephant'!$R$130)</f>
        <v>0</v>
      </c>
      <c r="R994" s="299" t="n">
        <f aca="false">IF(ISBLANK('Стёкла серии Elephant'!$Q$130),"",'Стёкла серии Elephant'!$Q$130)</f>
        <v>122.32</v>
      </c>
      <c r="S994" s="292" t="str">
        <f aca="false">IF(ISBLANK('Стёкла серии Elephant'!$S$130),"",'Стёкла серии Elephant'!$S$130)</f>
        <v/>
      </c>
    </row>
    <row r="995" customFormat="false" ht="66" hidden="false" customHeight="true" outlineLevel="0" collapsed="false">
      <c r="A995" s="291" t="str">
        <f aca="true">IF(ISNUMBER($J995),INDIRECT("L"&amp;($J995+4)),"")</f>
        <v/>
      </c>
      <c r="B995" s="291" t="str">
        <f aca="true">IF(ISNUMBER($J995),INDIRECT("M"&amp;($J995+4)),"")</f>
        <v/>
      </c>
      <c r="C995" s="296" t="str">
        <f aca="true">IF(ISNUMBER($J995),INDIRECT("N"&amp;($J995+4)),"")</f>
        <v/>
      </c>
      <c r="D995" s="291" t="str">
        <f aca="true">IF(ISNUMBER($J995),INDIRECT("O"&amp;($J995+4)),"")</f>
        <v/>
      </c>
      <c r="E995" s="291" t="str">
        <f aca="true">IF(ISNUMBER($J995),INDIRECT("P"&amp;($J995+4)),"")</f>
        <v/>
      </c>
      <c r="F995" s="300" t="str">
        <f aca="true">IF(ISNUMBER($J995),INDIRECT("Q"&amp;($J995+4)),"")</f>
        <v/>
      </c>
      <c r="G995" s="298" t="str">
        <f aca="true">IF(ISNUMBER($J995),INDIRECT("R"&amp;($J995+4)),"")</f>
        <v/>
      </c>
      <c r="H995" s="298" t="str">
        <f aca="true">IF(ISNUMBER($J995),INDIRECT("S"&amp;($J995+4)),"")</f>
        <v/>
      </c>
      <c r="J995" s="292" t="str">
        <f aca="true">IF(991&lt;=$K$1,MATCH(990.5,INDIRECT("$K$4:$K$1374"),1),"")</f>
        <v/>
      </c>
      <c r="K995" s="292" t="n">
        <f aca="false">$K$900+COUNTIF($Q$901:Q995,"&gt;0")</f>
        <v>0</v>
      </c>
      <c r="L995" s="292" t="str">
        <f aca="false">"Стёкла серии Elephant"&amp;" · "&amp;'Стёкла серии Elephant'!$N$131</f>
        <v>Стёкла серии Elephant · Elephant</v>
      </c>
      <c r="M995" s="292" t="str">
        <f aca="false">IF(ISBLANK('Стёкла серии Elephant'!$O$131),"",'Стёкла серии Elephant'!$O$131)</f>
        <v>Redmi 10X(4G)</v>
      </c>
      <c r="N995" s="292" t="str">
        <f aca="false">""</f>
        <v/>
      </c>
      <c r="O995" s="292" t="str">
        <f aca="false">""</f>
        <v/>
      </c>
      <c r="P995" s="292" t="str">
        <f aca="false">IF(ISBLANK('Стёкла серии Elephant'!$P$131),"",'Стёкла серии Elephant'!$P$131)</f>
        <v>шт.</v>
      </c>
      <c r="Q995" s="292" t="n">
        <f aca="false">N('Стёкла серии Elephant'!$R$131)</f>
        <v>0</v>
      </c>
      <c r="R995" s="299" t="n">
        <f aca="false">IF(ISBLANK('Стёкла серии Elephant'!$Q$131),"",'Стёкла серии Elephant'!$Q$131)</f>
        <v>122.32</v>
      </c>
      <c r="S995" s="292" t="str">
        <f aca="false">IF(ISBLANK('Стёкла серии Elephant'!$S$131),"",'Стёкла серии Elephant'!$S$131)</f>
        <v/>
      </c>
    </row>
    <row r="996" customFormat="false" ht="66" hidden="false" customHeight="true" outlineLevel="0" collapsed="false">
      <c r="A996" s="291" t="str">
        <f aca="true">IF(ISNUMBER($J996),INDIRECT("L"&amp;($J996+4)),"")</f>
        <v/>
      </c>
      <c r="B996" s="291" t="str">
        <f aca="true">IF(ISNUMBER($J996),INDIRECT("M"&amp;($J996+4)),"")</f>
        <v/>
      </c>
      <c r="C996" s="296" t="str">
        <f aca="true">IF(ISNUMBER($J996),INDIRECT("N"&amp;($J996+4)),"")</f>
        <v/>
      </c>
      <c r="D996" s="291" t="str">
        <f aca="true">IF(ISNUMBER($J996),INDIRECT("O"&amp;($J996+4)),"")</f>
        <v/>
      </c>
      <c r="E996" s="291" t="str">
        <f aca="true">IF(ISNUMBER($J996),INDIRECT("P"&amp;($J996+4)),"")</f>
        <v/>
      </c>
      <c r="F996" s="300" t="str">
        <f aca="true">IF(ISNUMBER($J996),INDIRECT("Q"&amp;($J996+4)),"")</f>
        <v/>
      </c>
      <c r="G996" s="298" t="str">
        <f aca="true">IF(ISNUMBER($J996),INDIRECT("R"&amp;($J996+4)),"")</f>
        <v/>
      </c>
      <c r="H996" s="298" t="str">
        <f aca="true">IF(ISNUMBER($J996),INDIRECT("S"&amp;($J996+4)),"")</f>
        <v/>
      </c>
      <c r="J996" s="292" t="str">
        <f aca="true">IF(992&lt;=$K$1,MATCH(991.5,INDIRECT("$K$4:$K$1374"),1),"")</f>
        <v/>
      </c>
      <c r="K996" s="292" t="n">
        <f aca="false">$K$900+COUNTIF($Q$901:Q996,"&gt;0")</f>
        <v>0</v>
      </c>
      <c r="L996" s="292" t="str">
        <f aca="false">"Стёкла серии Elephant"&amp;" · "&amp;'Стёкла серии Elephant'!$N$132</f>
        <v>Стёкла серии Elephant · Elephant</v>
      </c>
      <c r="M996" s="292" t="str">
        <f aca="false">IF(ISBLANK('Стёкла серии Elephant'!$O$132),"",'Стёкла серии Elephant'!$O$132)</f>
        <v>A71</v>
      </c>
      <c r="N996" s="292" t="str">
        <f aca="false">""</f>
        <v/>
      </c>
      <c r="O996" s="292" t="str">
        <f aca="false">""</f>
        <v/>
      </c>
      <c r="P996" s="292" t="str">
        <f aca="false">IF(ISBLANK('Стёкла серии Elephant'!$P$132),"",'Стёкла серии Elephant'!$P$132)</f>
        <v>шт.</v>
      </c>
      <c r="Q996" s="292" t="n">
        <f aca="false">N('Стёкла серии Elephant'!$R$132)</f>
        <v>0</v>
      </c>
      <c r="R996" s="299" t="n">
        <f aca="false">IF(ISBLANK('Стёкла серии Elephant'!$Q$132),"",'Стёкла серии Elephant'!$Q$132)</f>
        <v>122.32</v>
      </c>
      <c r="S996" s="292" t="str">
        <f aca="false">IF(ISBLANK('Стёкла серии Elephant'!$S$132),"",'Стёкла серии Elephant'!$S$132)</f>
        <v/>
      </c>
    </row>
    <row r="997" customFormat="false" ht="66" hidden="false" customHeight="true" outlineLevel="0" collapsed="false">
      <c r="A997" s="291" t="str">
        <f aca="true">IF(ISNUMBER($J997),INDIRECT("L"&amp;($J997+4)),"")</f>
        <v/>
      </c>
      <c r="B997" s="291" t="str">
        <f aca="true">IF(ISNUMBER($J997),INDIRECT("M"&amp;($J997+4)),"")</f>
        <v/>
      </c>
      <c r="C997" s="296" t="str">
        <f aca="true">IF(ISNUMBER($J997),INDIRECT("N"&amp;($J997+4)),"")</f>
        <v/>
      </c>
      <c r="D997" s="291" t="str">
        <f aca="true">IF(ISNUMBER($J997),INDIRECT("O"&amp;($J997+4)),"")</f>
        <v/>
      </c>
      <c r="E997" s="291" t="str">
        <f aca="true">IF(ISNUMBER($J997),INDIRECT("P"&amp;($J997+4)),"")</f>
        <v/>
      </c>
      <c r="F997" s="300" t="str">
        <f aca="true">IF(ISNUMBER($J997),INDIRECT("Q"&amp;($J997+4)),"")</f>
        <v/>
      </c>
      <c r="G997" s="298" t="str">
        <f aca="true">IF(ISNUMBER($J997),INDIRECT("R"&amp;($J997+4)),"")</f>
        <v/>
      </c>
      <c r="H997" s="298" t="str">
        <f aca="true">IF(ISNUMBER($J997),INDIRECT("S"&amp;($J997+4)),"")</f>
        <v/>
      </c>
      <c r="J997" s="292" t="str">
        <f aca="true">IF(993&lt;=$K$1,MATCH(992.5,INDIRECT("$K$4:$K$1374"),1),"")</f>
        <v/>
      </c>
      <c r="K997" s="292" t="n">
        <f aca="false">$K$900+COUNTIF($Q$901:Q997,"&gt;0")</f>
        <v>0</v>
      </c>
      <c r="L997" s="292" t="str">
        <f aca="false">"Стёкла серии Elephant"&amp;" · "&amp;'Стёкла серии Elephant'!$N$133</f>
        <v>Стёкла серии Elephant · Elephant</v>
      </c>
      <c r="M997" s="292" t="str">
        <f aca="false">IF(ISBLANK('Стёкла серии Elephant'!$O$133),"",'Стёкла серии Elephant'!$O$133)</f>
        <v>A42/M42 5G</v>
      </c>
      <c r="N997" s="292" t="str">
        <f aca="false">""</f>
        <v/>
      </c>
      <c r="O997" s="292" t="str">
        <f aca="false">""</f>
        <v/>
      </c>
      <c r="P997" s="292" t="str">
        <f aca="false">IF(ISBLANK('Стёкла серии Elephant'!$P$133),"",'Стёкла серии Elephant'!$P$133)</f>
        <v>шт.</v>
      </c>
      <c r="Q997" s="292" t="n">
        <f aca="false">N('Стёкла серии Elephant'!$R$133)</f>
        <v>0</v>
      </c>
      <c r="R997" s="299" t="n">
        <f aca="false">IF(ISBLANK('Стёкла серии Elephant'!$Q$133),"",'Стёкла серии Elephant'!$Q$133)</f>
        <v>122.32</v>
      </c>
      <c r="S997" s="292" t="str">
        <f aca="false">IF(ISBLANK('Стёкла серии Elephant'!$S$133),"",'Стёкла серии Elephant'!$S$133)</f>
        <v/>
      </c>
    </row>
    <row r="998" customFormat="false" ht="66" hidden="false" customHeight="true" outlineLevel="0" collapsed="false">
      <c r="A998" s="291" t="str">
        <f aca="true">IF(ISNUMBER($J998),INDIRECT("L"&amp;($J998+4)),"")</f>
        <v/>
      </c>
      <c r="B998" s="291" t="str">
        <f aca="true">IF(ISNUMBER($J998),INDIRECT("M"&amp;($J998+4)),"")</f>
        <v/>
      </c>
      <c r="C998" s="296" t="str">
        <f aca="true">IF(ISNUMBER($J998),INDIRECT("N"&amp;($J998+4)),"")</f>
        <v/>
      </c>
      <c r="D998" s="291" t="str">
        <f aca="true">IF(ISNUMBER($J998),INDIRECT("O"&amp;($J998+4)),"")</f>
        <v/>
      </c>
      <c r="E998" s="291" t="str">
        <f aca="true">IF(ISNUMBER($J998),INDIRECT("P"&amp;($J998+4)),"")</f>
        <v/>
      </c>
      <c r="F998" s="300" t="str">
        <f aca="true">IF(ISNUMBER($J998),INDIRECT("Q"&amp;($J998+4)),"")</f>
        <v/>
      </c>
      <c r="G998" s="298" t="str">
        <f aca="true">IF(ISNUMBER($J998),INDIRECT("R"&amp;($J998+4)),"")</f>
        <v/>
      </c>
      <c r="H998" s="298" t="str">
        <f aca="true">IF(ISNUMBER($J998),INDIRECT("S"&amp;($J998+4)),"")</f>
        <v/>
      </c>
      <c r="J998" s="292" t="str">
        <f aca="true">IF(994&lt;=$K$1,MATCH(993.5,INDIRECT("$K$4:$K$1374"),1),"")</f>
        <v/>
      </c>
      <c r="K998" s="292" t="n">
        <f aca="false">$K$900+COUNTIF($Q$901:Q998,"&gt;0")</f>
        <v>0</v>
      </c>
      <c r="L998" s="292" t="str">
        <f aca="false">"Стёкла серии Elephant"&amp;" · "&amp;'Стёкла серии Elephant'!$N$134</f>
        <v>Стёкла серии Elephant · Elephant</v>
      </c>
      <c r="M998" s="292" t="str">
        <f aca="false">IF(ISBLANK('Стёкла серии Elephant'!$O$134),"",'Стёкла серии Elephant'!$O$134)</f>
        <v>A1/A83/F5 Youth</v>
      </c>
      <c r="N998" s="292" t="str">
        <f aca="false">""</f>
        <v/>
      </c>
      <c r="O998" s="292" t="str">
        <f aca="false">""</f>
        <v/>
      </c>
      <c r="P998" s="292" t="str">
        <f aca="false">IF(ISBLANK('Стёкла серии Elephant'!$P$134),"",'Стёкла серии Elephant'!$P$134)</f>
        <v>шт.</v>
      </c>
      <c r="Q998" s="292" t="n">
        <f aca="false">N('Стёкла серии Elephant'!$R$134)</f>
        <v>0</v>
      </c>
      <c r="R998" s="299" t="n">
        <f aca="false">IF(ISBLANK('Стёкла серии Elephant'!$Q$134),"",'Стёкла серии Elephant'!$Q$134)</f>
        <v>122.32</v>
      </c>
      <c r="S998" s="292" t="str">
        <f aca="false">IF(ISBLANK('Стёкла серии Elephant'!$S$134),"",'Стёкла серии Elephant'!$S$134)</f>
        <v/>
      </c>
    </row>
    <row r="999" customFormat="false" ht="66" hidden="false" customHeight="true" outlineLevel="0" collapsed="false">
      <c r="A999" s="291" t="str">
        <f aca="true">IF(ISNUMBER($J999),INDIRECT("L"&amp;($J999+4)),"")</f>
        <v/>
      </c>
      <c r="B999" s="291" t="str">
        <f aca="true">IF(ISNUMBER($J999),INDIRECT("M"&amp;($J999+4)),"")</f>
        <v/>
      </c>
      <c r="C999" s="296" t="str">
        <f aca="true">IF(ISNUMBER($J999),INDIRECT("N"&amp;($J999+4)),"")</f>
        <v/>
      </c>
      <c r="D999" s="291" t="str">
        <f aca="true">IF(ISNUMBER($J999),INDIRECT("O"&amp;($J999+4)),"")</f>
        <v/>
      </c>
      <c r="E999" s="291" t="str">
        <f aca="true">IF(ISNUMBER($J999),INDIRECT("P"&amp;($J999+4)),"")</f>
        <v/>
      </c>
      <c r="F999" s="300" t="str">
        <f aca="true">IF(ISNUMBER($J999),INDIRECT("Q"&amp;($J999+4)),"")</f>
        <v/>
      </c>
      <c r="G999" s="298" t="str">
        <f aca="true">IF(ISNUMBER($J999),INDIRECT("R"&amp;($J999+4)),"")</f>
        <v/>
      </c>
      <c r="H999" s="298" t="str">
        <f aca="true">IF(ISNUMBER($J999),INDIRECT("S"&amp;($J999+4)),"")</f>
        <v/>
      </c>
      <c r="J999" s="292" t="str">
        <f aca="true">IF(995&lt;=$K$1,MATCH(994.5,INDIRECT("$K$4:$K$1374"),1),"")</f>
        <v/>
      </c>
      <c r="K999" s="292" t="n">
        <f aca="false">$K$900+COUNTIF($Q$901:Q999,"&gt;0")</f>
        <v>0</v>
      </c>
      <c r="L999" s="292" t="str">
        <f aca="false">"Стёкла серии Elephant"&amp;" · "&amp;'Стёкла серии Elephant'!$N$135</f>
        <v>Стёкла серии Elephant · Elephant</v>
      </c>
      <c r="M999" s="292" t="str">
        <f aca="false">IF(ISBLANK('Стёкла серии Elephant'!$O$135),"",'Стёкла серии Elephant'!$O$135)</f>
        <v>A92</v>
      </c>
      <c r="N999" s="292" t="str">
        <f aca="false">""</f>
        <v/>
      </c>
      <c r="O999" s="292" t="str">
        <f aca="false">""</f>
        <v/>
      </c>
      <c r="P999" s="292" t="str">
        <f aca="false">IF(ISBLANK('Стёкла серии Elephant'!$P$135),"",'Стёкла серии Elephant'!$P$135)</f>
        <v>шт.</v>
      </c>
      <c r="Q999" s="292" t="n">
        <f aca="false">N('Стёкла серии Elephant'!$R$135)</f>
        <v>0</v>
      </c>
      <c r="R999" s="299" t="n">
        <f aca="false">IF(ISBLANK('Стёкла серии Elephant'!$Q$135),"",'Стёкла серии Elephant'!$Q$135)</f>
        <v>122.32</v>
      </c>
      <c r="S999" s="292" t="str">
        <f aca="false">IF(ISBLANK('Стёкла серии Elephant'!$S$135),"",'Стёкла серии Elephant'!$S$135)</f>
        <v/>
      </c>
    </row>
    <row r="1000" customFormat="false" ht="66" hidden="false" customHeight="true" outlineLevel="0" collapsed="false">
      <c r="A1000" s="291" t="str">
        <f aca="true">IF(ISNUMBER($J1000),INDIRECT("L"&amp;($J1000+4)),"")</f>
        <v/>
      </c>
      <c r="B1000" s="291" t="str">
        <f aca="true">IF(ISNUMBER($J1000),INDIRECT("M"&amp;($J1000+4)),"")</f>
        <v/>
      </c>
      <c r="C1000" s="296" t="str">
        <f aca="true">IF(ISNUMBER($J1000),INDIRECT("N"&amp;($J1000+4)),"")</f>
        <v/>
      </c>
      <c r="D1000" s="291" t="str">
        <f aca="true">IF(ISNUMBER($J1000),INDIRECT("O"&amp;($J1000+4)),"")</f>
        <v/>
      </c>
      <c r="E1000" s="291" t="str">
        <f aca="true">IF(ISNUMBER($J1000),INDIRECT("P"&amp;($J1000+4)),"")</f>
        <v/>
      </c>
      <c r="F1000" s="300" t="str">
        <f aca="true">IF(ISNUMBER($J1000),INDIRECT("Q"&amp;($J1000+4)),"")</f>
        <v/>
      </c>
      <c r="G1000" s="298" t="str">
        <f aca="true">IF(ISNUMBER($J1000),INDIRECT("R"&amp;($J1000+4)),"")</f>
        <v/>
      </c>
      <c r="H1000" s="298" t="str">
        <f aca="true">IF(ISNUMBER($J1000),INDIRECT("S"&amp;($J1000+4)),"")</f>
        <v/>
      </c>
      <c r="J1000" s="292" t="str">
        <f aca="true">IF(996&lt;=$K$1,MATCH(995.5,INDIRECT("$K$4:$K$1374"),1),"")</f>
        <v/>
      </c>
      <c r="K1000" s="292" t="n">
        <f aca="false">$K$900+COUNTIF($Q$901:Q1000,"&gt;0")</f>
        <v>0</v>
      </c>
      <c r="L1000" s="292" t="str">
        <f aca="false">"Стёкла серии Elephant"&amp;" · "&amp;'Стёкла серии Elephant'!$N$136</f>
        <v>Стёкла серии Elephant · Elephant</v>
      </c>
      <c r="M1000" s="292" t="str">
        <f aca="false">IF(ISBLANK('Стёкла серии Elephant'!$O$136),"",'Стёкла серии Elephant'!$O$136)</f>
        <v>Y9S</v>
      </c>
      <c r="N1000" s="292" t="str">
        <f aca="false">""</f>
        <v/>
      </c>
      <c r="O1000" s="292" t="str">
        <f aca="false">""</f>
        <v/>
      </c>
      <c r="P1000" s="292" t="str">
        <f aca="false">IF(ISBLANK('Стёкла серии Elephant'!$P$136),"",'Стёкла серии Elephant'!$P$136)</f>
        <v>шт.</v>
      </c>
      <c r="Q1000" s="292" t="n">
        <f aca="false">N('Стёкла серии Elephant'!$R$136)</f>
        <v>0</v>
      </c>
      <c r="R1000" s="299" t="n">
        <f aca="false">IF(ISBLANK('Стёкла серии Elephant'!$Q$136),"",'Стёкла серии Elephant'!$Q$136)</f>
        <v>122.32</v>
      </c>
      <c r="S1000" s="292" t="str">
        <f aca="false">IF(ISBLANK('Стёкла серии Elephant'!$S$136),"",'Стёкла серии Elephant'!$S$136)</f>
        <v/>
      </c>
    </row>
    <row r="1001" customFormat="false" ht="66" hidden="false" customHeight="true" outlineLevel="0" collapsed="false">
      <c r="A1001" s="291" t="str">
        <f aca="true">IF(ISNUMBER($J1001),INDIRECT("L"&amp;($J1001+4)),"")</f>
        <v/>
      </c>
      <c r="B1001" s="291" t="str">
        <f aca="true">IF(ISNUMBER($J1001),INDIRECT("M"&amp;($J1001+4)),"")</f>
        <v/>
      </c>
      <c r="C1001" s="296" t="str">
        <f aca="true">IF(ISNUMBER($J1001),INDIRECT("N"&amp;($J1001+4)),"")</f>
        <v/>
      </c>
      <c r="D1001" s="291" t="str">
        <f aca="true">IF(ISNUMBER($J1001),INDIRECT("O"&amp;($J1001+4)),"")</f>
        <v/>
      </c>
      <c r="E1001" s="291" t="str">
        <f aca="true">IF(ISNUMBER($J1001),INDIRECT("P"&amp;($J1001+4)),"")</f>
        <v/>
      </c>
      <c r="F1001" s="300" t="str">
        <f aca="true">IF(ISNUMBER($J1001),INDIRECT("Q"&amp;($J1001+4)),"")</f>
        <v/>
      </c>
      <c r="G1001" s="298" t="str">
        <f aca="true">IF(ISNUMBER($J1001),INDIRECT("R"&amp;($J1001+4)),"")</f>
        <v/>
      </c>
      <c r="H1001" s="298" t="str">
        <f aca="true">IF(ISNUMBER($J1001),INDIRECT("S"&amp;($J1001+4)),"")</f>
        <v/>
      </c>
      <c r="J1001" s="292" t="str">
        <f aca="true">IF(997&lt;=$K$1,MATCH(996.5,INDIRECT("$K$4:$K$1374"),1),"")</f>
        <v/>
      </c>
      <c r="K1001" s="292" t="n">
        <f aca="false">$K$900+COUNTIF($Q$901:Q1001,"&gt;0")</f>
        <v>0</v>
      </c>
      <c r="L1001" s="292" t="str">
        <f aca="false">"Стёкла серии Elephant"&amp;" · "&amp;'Стёкла серии Elephant'!$N$137</f>
        <v>Стёкла серии Elephant · Elephant</v>
      </c>
      <c r="M1001" s="292" t="str">
        <f aca="false">IF(ISBLANK('Стёкла серии Elephant'!$O$137),"",'Стёкла серии Elephant'!$O$137)</f>
        <v>iP 12 Pro Max</v>
      </c>
      <c r="N1001" s="292" t="str">
        <f aca="false">""</f>
        <v/>
      </c>
      <c r="O1001" s="292" t="str">
        <f aca="false">""</f>
        <v/>
      </c>
      <c r="P1001" s="292" t="str">
        <f aca="false">IF(ISBLANK('Стёкла серии Elephant'!$P$137),"",'Стёкла серии Elephant'!$P$137)</f>
        <v>шт.</v>
      </c>
      <c r="Q1001" s="292" t="n">
        <f aca="false">N('Стёкла серии Elephant'!$R$137)</f>
        <v>0</v>
      </c>
      <c r="R1001" s="299" t="n">
        <f aca="false">IF(ISBLANK('Стёкла серии Elephant'!$Q$137),"",'Стёкла серии Elephant'!$Q$137)</f>
        <v>122.32</v>
      </c>
      <c r="S1001" s="292" t="str">
        <f aca="false">IF(ISBLANK('Стёкла серии Elephant'!$S$137),"",'Стёкла серии Elephant'!$S$137)</f>
        <v/>
      </c>
    </row>
    <row r="1002" customFormat="false" ht="66" hidden="false" customHeight="true" outlineLevel="0" collapsed="false">
      <c r="A1002" s="291" t="str">
        <f aca="true">IF(ISNUMBER($J1002),INDIRECT("L"&amp;($J1002+4)),"")</f>
        <v/>
      </c>
      <c r="B1002" s="291" t="str">
        <f aca="true">IF(ISNUMBER($J1002),INDIRECT("M"&amp;($J1002+4)),"")</f>
        <v/>
      </c>
      <c r="C1002" s="296" t="str">
        <f aca="true">IF(ISNUMBER($J1002),INDIRECT("N"&amp;($J1002+4)),"")</f>
        <v/>
      </c>
      <c r="D1002" s="291" t="str">
        <f aca="true">IF(ISNUMBER($J1002),INDIRECT("O"&amp;($J1002+4)),"")</f>
        <v/>
      </c>
      <c r="E1002" s="291" t="str">
        <f aca="true">IF(ISNUMBER($J1002),INDIRECT("P"&amp;($J1002+4)),"")</f>
        <v/>
      </c>
      <c r="F1002" s="300" t="str">
        <f aca="true">IF(ISNUMBER($J1002),INDIRECT("Q"&amp;($J1002+4)),"")</f>
        <v/>
      </c>
      <c r="G1002" s="298" t="str">
        <f aca="true">IF(ISNUMBER($J1002),INDIRECT("R"&amp;($J1002+4)),"")</f>
        <v/>
      </c>
      <c r="H1002" s="298" t="str">
        <f aca="true">IF(ISNUMBER($J1002),INDIRECT("S"&amp;($J1002+4)),"")</f>
        <v/>
      </c>
      <c r="J1002" s="292" t="str">
        <f aca="true">IF(998&lt;=$K$1,MATCH(997.5,INDIRECT("$K$4:$K$1374"),1),"")</f>
        <v/>
      </c>
      <c r="K1002" s="292" t="n">
        <f aca="false">$K$900+COUNTIF($Q$901:Q1002,"&gt;0")</f>
        <v>0</v>
      </c>
      <c r="L1002" s="292" t="str">
        <f aca="false">"Стёкла серии Elephant"&amp;" · "&amp;'Стёкла серии Elephant'!$N$138</f>
        <v>Стёкла серии Elephant · Elephant</v>
      </c>
      <c r="M1002" s="292" t="str">
        <f aca="false">IF(ISBLANK('Стёкла серии Elephant'!$O$138),"",'Стёкла серии Elephant'!$O$138)</f>
        <v>Y6S</v>
      </c>
      <c r="N1002" s="292" t="str">
        <f aca="false">""</f>
        <v/>
      </c>
      <c r="O1002" s="292" t="str">
        <f aca="false">""</f>
        <v/>
      </c>
      <c r="P1002" s="292" t="str">
        <f aca="false">IF(ISBLANK('Стёкла серии Elephant'!$P$138),"",'Стёкла серии Elephant'!$P$138)</f>
        <v>шт.</v>
      </c>
      <c r="Q1002" s="292" t="n">
        <f aca="false">N('Стёкла серии Elephant'!$R$138)</f>
        <v>0</v>
      </c>
      <c r="R1002" s="299" t="n">
        <f aca="false">IF(ISBLANK('Стёкла серии Elephant'!$Q$138),"",'Стёкла серии Elephant'!$Q$138)</f>
        <v>122.32</v>
      </c>
      <c r="S1002" s="292" t="str">
        <f aca="false">IF(ISBLANK('Стёкла серии Elephant'!$S$138),"",'Стёкла серии Elephant'!$S$138)</f>
        <v/>
      </c>
    </row>
    <row r="1003" customFormat="false" ht="66" hidden="false" customHeight="true" outlineLevel="0" collapsed="false">
      <c r="A1003" s="291" t="str">
        <f aca="true">IF(ISNUMBER($J1003),INDIRECT("L"&amp;($J1003+4)),"")</f>
        <v/>
      </c>
      <c r="B1003" s="291" t="str">
        <f aca="true">IF(ISNUMBER($J1003),INDIRECT("M"&amp;($J1003+4)),"")</f>
        <v/>
      </c>
      <c r="C1003" s="296" t="str">
        <f aca="true">IF(ISNUMBER($J1003),INDIRECT("N"&amp;($J1003+4)),"")</f>
        <v/>
      </c>
      <c r="D1003" s="291" t="str">
        <f aca="true">IF(ISNUMBER($J1003),INDIRECT("O"&amp;($J1003+4)),"")</f>
        <v/>
      </c>
      <c r="E1003" s="291" t="str">
        <f aca="true">IF(ISNUMBER($J1003),INDIRECT("P"&amp;($J1003+4)),"")</f>
        <v/>
      </c>
      <c r="F1003" s="300" t="str">
        <f aca="true">IF(ISNUMBER($J1003),INDIRECT("Q"&amp;($J1003+4)),"")</f>
        <v/>
      </c>
      <c r="G1003" s="298" t="str">
        <f aca="true">IF(ISNUMBER($J1003),INDIRECT("R"&amp;($J1003+4)),"")</f>
        <v/>
      </c>
      <c r="H1003" s="298" t="str">
        <f aca="true">IF(ISNUMBER($J1003),INDIRECT("S"&amp;($J1003+4)),"")</f>
        <v/>
      </c>
      <c r="J1003" s="292" t="str">
        <f aca="true">IF(999&lt;=$K$1,MATCH(998.5,INDIRECT("$K$4:$K$1374"),1),"")</f>
        <v/>
      </c>
      <c r="K1003" s="292" t="n">
        <f aca="false">$K$900+COUNTIF($Q$901:Q1003,"&gt;0")</f>
        <v>0</v>
      </c>
      <c r="L1003" s="292" t="str">
        <f aca="false">"Стёкла серии Elephant"&amp;" · "&amp;'Стёкла серии Elephant'!$N$139</f>
        <v>Стёкла серии Elephant · Elephant</v>
      </c>
      <c r="M1003" s="292" t="str">
        <f aca="false">IF(ISBLANK('Стёкла серии Elephant'!$O$139),"",'Стёкла серии Elephant'!$O$139)</f>
        <v>Honor 20 Lite/10 Lite</v>
      </c>
      <c r="N1003" s="292" t="str">
        <f aca="false">""</f>
        <v/>
      </c>
      <c r="O1003" s="292" t="str">
        <f aca="false">""</f>
        <v/>
      </c>
      <c r="P1003" s="292" t="str">
        <f aca="false">IF(ISBLANK('Стёкла серии Elephant'!$P$139),"",'Стёкла серии Elephant'!$P$139)</f>
        <v>шт.</v>
      </c>
      <c r="Q1003" s="292" t="n">
        <f aca="false">N('Стёкла серии Elephant'!$R$139)</f>
        <v>0</v>
      </c>
      <c r="R1003" s="299" t="n">
        <f aca="false">IF(ISBLANK('Стёкла серии Elephant'!$Q$139),"",'Стёкла серии Elephant'!$Q$139)</f>
        <v>122.32</v>
      </c>
      <c r="S1003" s="292" t="str">
        <f aca="false">IF(ISBLANK('Стёкла серии Elephant'!$S$139),"",'Стёкла серии Elephant'!$S$139)</f>
        <v/>
      </c>
    </row>
    <row r="1004" customFormat="false" ht="66" hidden="false" customHeight="true" outlineLevel="0" collapsed="false">
      <c r="A1004" s="291" t="str">
        <f aca="true">IF(ISNUMBER($J1004),INDIRECT("L"&amp;($J1004+4)),"")</f>
        <v/>
      </c>
      <c r="B1004" s="291" t="str">
        <f aca="true">IF(ISNUMBER($J1004),INDIRECT("M"&amp;($J1004+4)),"")</f>
        <v/>
      </c>
      <c r="C1004" s="296" t="str">
        <f aca="true">IF(ISNUMBER($J1004),INDIRECT("N"&amp;($J1004+4)),"")</f>
        <v/>
      </c>
      <c r="D1004" s="291" t="str">
        <f aca="true">IF(ISNUMBER($J1004),INDIRECT("O"&amp;($J1004+4)),"")</f>
        <v/>
      </c>
      <c r="E1004" s="291" t="str">
        <f aca="true">IF(ISNUMBER($J1004),INDIRECT("P"&amp;($J1004+4)),"")</f>
        <v/>
      </c>
      <c r="F1004" s="300" t="str">
        <f aca="true">IF(ISNUMBER($J1004),INDIRECT("Q"&amp;($J1004+4)),"")</f>
        <v/>
      </c>
      <c r="G1004" s="298" t="str">
        <f aca="true">IF(ISNUMBER($J1004),INDIRECT("R"&amp;($J1004+4)),"")</f>
        <v/>
      </c>
      <c r="H1004" s="298" t="str">
        <f aca="true">IF(ISNUMBER($J1004),INDIRECT("S"&amp;($J1004+4)),"")</f>
        <v/>
      </c>
      <c r="J1004" s="292" t="str">
        <f aca="true">IF(1000&lt;=$K$1,MATCH(999.5,INDIRECT("$K$4:$K$1374"),1),"")</f>
        <v/>
      </c>
      <c r="K1004" s="292" t="n">
        <f aca="false">$K$900+COUNTIF($Q$901:Q1004,"&gt;0")</f>
        <v>0</v>
      </c>
      <c r="L1004" s="292" t="str">
        <f aca="false">"Стёкла серии Elephant"&amp;" · "&amp;'Стёкла серии Elephant'!$N$140</f>
        <v>Стёкла серии Elephant · Elephant</v>
      </c>
      <c r="M1004" s="292" t="str">
        <f aca="false">IF(ISBLANK('Стёкла серии Elephant'!$O$140),"",'Стёкла серии Elephant'!$O$140)</f>
        <v>Redmi Note6 Pro</v>
      </c>
      <c r="N1004" s="292" t="str">
        <f aca="false">""</f>
        <v/>
      </c>
      <c r="O1004" s="292" t="str">
        <f aca="false">""</f>
        <v/>
      </c>
      <c r="P1004" s="292" t="str">
        <f aca="false">IF(ISBLANK('Стёкла серии Elephant'!$P$140),"",'Стёкла серии Elephant'!$P$140)</f>
        <v>шт.</v>
      </c>
      <c r="Q1004" s="292" t="n">
        <f aca="false">N('Стёкла серии Elephant'!$R$140)</f>
        <v>0</v>
      </c>
      <c r="R1004" s="299" t="n">
        <f aca="false">IF(ISBLANK('Стёкла серии Elephant'!$Q$140),"",'Стёкла серии Elephant'!$Q$140)</f>
        <v>122.32</v>
      </c>
      <c r="S1004" s="292" t="str">
        <f aca="false">IF(ISBLANK('Стёкла серии Elephant'!$S$140),"",'Стёкла серии Elephant'!$S$140)</f>
        <v/>
      </c>
    </row>
    <row r="1005" customFormat="false" ht="66" hidden="false" customHeight="true" outlineLevel="0" collapsed="false">
      <c r="A1005" s="291" t="str">
        <f aca="true">IF(ISNUMBER($J1005),INDIRECT("L"&amp;($J1005+4)),"")</f>
        <v/>
      </c>
      <c r="B1005" s="291" t="str">
        <f aca="true">IF(ISNUMBER($J1005),INDIRECT("M"&amp;($J1005+4)),"")</f>
        <v/>
      </c>
      <c r="C1005" s="296" t="str">
        <f aca="true">IF(ISNUMBER($J1005),INDIRECT("N"&amp;($J1005+4)),"")</f>
        <v/>
      </c>
      <c r="D1005" s="291" t="str">
        <f aca="true">IF(ISNUMBER($J1005),INDIRECT("O"&amp;($J1005+4)),"")</f>
        <v/>
      </c>
      <c r="E1005" s="291" t="str">
        <f aca="true">IF(ISNUMBER($J1005),INDIRECT("P"&amp;($J1005+4)),"")</f>
        <v/>
      </c>
      <c r="F1005" s="300" t="str">
        <f aca="true">IF(ISNUMBER($J1005),INDIRECT("Q"&amp;($J1005+4)),"")</f>
        <v/>
      </c>
      <c r="G1005" s="298" t="str">
        <f aca="true">IF(ISNUMBER($J1005),INDIRECT("R"&amp;($J1005+4)),"")</f>
        <v/>
      </c>
      <c r="H1005" s="298" t="str">
        <f aca="true">IF(ISNUMBER($J1005),INDIRECT("S"&amp;($J1005+4)),"")</f>
        <v/>
      </c>
      <c r="J1005" s="292" t="str">
        <f aca="true">IF(1001&lt;=$K$1,MATCH(1000.5,INDIRECT("$K$4:$K$1374"),1),"")</f>
        <v/>
      </c>
      <c r="K1005" s="292" t="n">
        <f aca="false">$K$900+COUNTIF($Q$901:Q1005,"&gt;0")</f>
        <v>0</v>
      </c>
      <c r="L1005" s="292" t="str">
        <f aca="false">"Стёкла серии Elephant"&amp;" · "&amp;'Стёкла серии Elephant'!$N$141</f>
        <v>Стёкла серии Elephant · Elephant</v>
      </c>
      <c r="M1005" s="292" t="str">
        <f aca="false">IF(ISBLANK('Стёкла серии Elephant'!$O$141),"",'Стёкла серии Elephant'!$O$141)</f>
        <v>Redmi 10X(5G)</v>
      </c>
      <c r="N1005" s="292" t="str">
        <f aca="false">""</f>
        <v/>
      </c>
      <c r="O1005" s="292" t="str">
        <f aca="false">""</f>
        <v/>
      </c>
      <c r="P1005" s="292" t="str">
        <f aca="false">IF(ISBLANK('Стёкла серии Elephant'!$P$141),"",'Стёкла серии Elephant'!$P$141)</f>
        <v>шт.</v>
      </c>
      <c r="Q1005" s="292" t="n">
        <f aca="false">N('Стёкла серии Elephant'!$R$141)</f>
        <v>0</v>
      </c>
      <c r="R1005" s="299" t="n">
        <f aca="false">IF(ISBLANK('Стёкла серии Elephant'!$Q$141),"",'Стёкла серии Elephant'!$Q$141)</f>
        <v>122.32</v>
      </c>
      <c r="S1005" s="292" t="str">
        <f aca="false">IF(ISBLANK('Стёкла серии Elephant'!$S$141),"",'Стёкла серии Elephant'!$S$141)</f>
        <v/>
      </c>
    </row>
    <row r="1006" customFormat="false" ht="66" hidden="false" customHeight="true" outlineLevel="0" collapsed="false">
      <c r="A1006" s="291" t="str">
        <f aca="true">IF(ISNUMBER($J1006),INDIRECT("L"&amp;($J1006+4)),"")</f>
        <v/>
      </c>
      <c r="B1006" s="291" t="str">
        <f aca="true">IF(ISNUMBER($J1006),INDIRECT("M"&amp;($J1006+4)),"")</f>
        <v/>
      </c>
      <c r="C1006" s="296" t="str">
        <f aca="true">IF(ISNUMBER($J1006),INDIRECT("N"&amp;($J1006+4)),"")</f>
        <v/>
      </c>
      <c r="D1006" s="291" t="str">
        <f aca="true">IF(ISNUMBER($J1006),INDIRECT("O"&amp;($J1006+4)),"")</f>
        <v/>
      </c>
      <c r="E1006" s="291" t="str">
        <f aca="true">IF(ISNUMBER($J1006),INDIRECT("P"&amp;($J1006+4)),"")</f>
        <v/>
      </c>
      <c r="F1006" s="300" t="str">
        <f aca="true">IF(ISNUMBER($J1006),INDIRECT("Q"&amp;($J1006+4)),"")</f>
        <v/>
      </c>
      <c r="G1006" s="298" t="str">
        <f aca="true">IF(ISNUMBER($J1006),INDIRECT("R"&amp;($J1006+4)),"")</f>
        <v/>
      </c>
      <c r="H1006" s="298" t="str">
        <f aca="true">IF(ISNUMBER($J1006),INDIRECT("S"&amp;($J1006+4)),"")</f>
        <v/>
      </c>
      <c r="J1006" s="292" t="str">
        <f aca="true">IF(1002&lt;=$K$1,MATCH(1001.5,INDIRECT("$K$4:$K$1374"),1),"")</f>
        <v/>
      </c>
      <c r="K1006" s="292" t="n">
        <f aca="false">$K$900+COUNTIF($Q$901:Q1006,"&gt;0")</f>
        <v>0</v>
      </c>
      <c r="L1006" s="292" t="str">
        <f aca="false">"Стёкла серии Elephant"&amp;" · "&amp;'Стёкла серии Elephant'!$N$142</f>
        <v>Стёкла серии Elephant · Elephant</v>
      </c>
      <c r="M1006" s="292" t="str">
        <f aca="false">IF(ISBLANK('Стёкла серии Elephant'!$O$142),"",'Стёкла серии Elephant'!$O$142)</f>
        <v>A91</v>
      </c>
      <c r="N1006" s="292" t="str">
        <f aca="false">""</f>
        <v/>
      </c>
      <c r="O1006" s="292" t="str">
        <f aca="false">""</f>
        <v/>
      </c>
      <c r="P1006" s="292" t="str">
        <f aca="false">IF(ISBLANK('Стёкла серии Elephant'!$P$142),"",'Стёкла серии Elephant'!$P$142)</f>
        <v>шт.</v>
      </c>
      <c r="Q1006" s="292" t="n">
        <f aca="false">N('Стёкла серии Elephant'!$R$142)</f>
        <v>0</v>
      </c>
      <c r="R1006" s="299" t="n">
        <f aca="false">IF(ISBLANK('Стёкла серии Elephant'!$Q$142),"",'Стёкла серии Elephant'!$Q$142)</f>
        <v>122.32</v>
      </c>
      <c r="S1006" s="292" t="str">
        <f aca="false">IF(ISBLANK('Стёкла серии Elephant'!$S$142),"",'Стёкла серии Elephant'!$S$142)</f>
        <v/>
      </c>
    </row>
    <row r="1007" customFormat="false" ht="66" hidden="false" customHeight="true" outlineLevel="0" collapsed="false">
      <c r="A1007" s="291" t="str">
        <f aca="true">IF(ISNUMBER($J1007),INDIRECT("L"&amp;($J1007+4)),"")</f>
        <v/>
      </c>
      <c r="B1007" s="291" t="str">
        <f aca="true">IF(ISNUMBER($J1007),INDIRECT("M"&amp;($J1007+4)),"")</f>
        <v/>
      </c>
      <c r="C1007" s="296" t="str">
        <f aca="true">IF(ISNUMBER($J1007),INDIRECT("N"&amp;($J1007+4)),"")</f>
        <v/>
      </c>
      <c r="D1007" s="291" t="str">
        <f aca="true">IF(ISNUMBER($J1007),INDIRECT("O"&amp;($J1007+4)),"")</f>
        <v/>
      </c>
      <c r="E1007" s="291" t="str">
        <f aca="true">IF(ISNUMBER($J1007),INDIRECT("P"&amp;($J1007+4)),"")</f>
        <v/>
      </c>
      <c r="F1007" s="300" t="str">
        <f aca="true">IF(ISNUMBER($J1007),INDIRECT("Q"&amp;($J1007+4)),"")</f>
        <v/>
      </c>
      <c r="G1007" s="298" t="str">
        <f aca="true">IF(ISNUMBER($J1007),INDIRECT("R"&amp;($J1007+4)),"")</f>
        <v/>
      </c>
      <c r="H1007" s="298" t="str">
        <f aca="true">IF(ISNUMBER($J1007),INDIRECT("S"&amp;($J1007+4)),"")</f>
        <v/>
      </c>
      <c r="J1007" s="292" t="str">
        <f aca="true">IF(1003&lt;=$K$1,MATCH(1002.5,INDIRECT("$K$4:$K$1374"),1),"")</f>
        <v/>
      </c>
      <c r="K1007" s="292" t="n">
        <f aca="false">$K$900+COUNTIF($Q$901:Q1007,"&gt;0")</f>
        <v>0</v>
      </c>
      <c r="L1007" s="292" t="str">
        <f aca="false">"Стёкла серии Elephant"&amp;" · "&amp;'Стёкла серии Elephant'!$N$143</f>
        <v>Стёкла серии Elephant · Elephant</v>
      </c>
      <c r="M1007" s="292" t="str">
        <f aca="false">IF(ISBLANK('Стёкла серии Elephant'!$O$143),"",'Стёкла серии Elephant'!$O$143)</f>
        <v>A52</v>
      </c>
      <c r="N1007" s="292" t="str">
        <f aca="false">""</f>
        <v/>
      </c>
      <c r="O1007" s="292" t="str">
        <f aca="false">""</f>
        <v/>
      </c>
      <c r="P1007" s="292" t="str">
        <f aca="false">IF(ISBLANK('Стёкла серии Elephant'!$P$143),"",'Стёкла серии Elephant'!$P$143)</f>
        <v>шт.</v>
      </c>
      <c r="Q1007" s="292" t="n">
        <f aca="false">N('Стёкла серии Elephant'!$R$143)</f>
        <v>0</v>
      </c>
      <c r="R1007" s="299" t="n">
        <f aca="false">IF(ISBLANK('Стёкла серии Elephant'!$Q$143),"",'Стёкла серии Elephant'!$Q$143)</f>
        <v>122.32</v>
      </c>
      <c r="S1007" s="292" t="str">
        <f aca="false">IF(ISBLANK('Стёкла серии Elephant'!$S$143),"",'Стёкла серии Elephant'!$S$143)</f>
        <v/>
      </c>
    </row>
    <row r="1008" customFormat="false" ht="66" hidden="false" customHeight="true" outlineLevel="0" collapsed="false">
      <c r="A1008" s="291" t="str">
        <f aca="true">IF(ISNUMBER($J1008),INDIRECT("L"&amp;($J1008+4)),"")</f>
        <v/>
      </c>
      <c r="B1008" s="291" t="str">
        <f aca="true">IF(ISNUMBER($J1008),INDIRECT("M"&amp;($J1008+4)),"")</f>
        <v/>
      </c>
      <c r="C1008" s="296" t="str">
        <f aca="true">IF(ISNUMBER($J1008),INDIRECT("N"&amp;($J1008+4)),"")</f>
        <v/>
      </c>
      <c r="D1008" s="291" t="str">
        <f aca="true">IF(ISNUMBER($J1008),INDIRECT("O"&amp;($J1008+4)),"")</f>
        <v/>
      </c>
      <c r="E1008" s="291" t="str">
        <f aca="true">IF(ISNUMBER($J1008),INDIRECT("P"&amp;($J1008+4)),"")</f>
        <v/>
      </c>
      <c r="F1008" s="300" t="str">
        <f aca="true">IF(ISNUMBER($J1008),INDIRECT("Q"&amp;($J1008+4)),"")</f>
        <v/>
      </c>
      <c r="G1008" s="298" t="str">
        <f aca="true">IF(ISNUMBER($J1008),INDIRECT("R"&amp;($J1008+4)),"")</f>
        <v/>
      </c>
      <c r="H1008" s="298" t="str">
        <f aca="true">IF(ISNUMBER($J1008),INDIRECT("S"&amp;($J1008+4)),"")</f>
        <v/>
      </c>
      <c r="J1008" s="292" t="str">
        <f aca="true">IF(1004&lt;=$K$1,MATCH(1003.5,INDIRECT("$K$4:$K$1374"),1),"")</f>
        <v/>
      </c>
      <c r="K1008" s="292" t="n">
        <f aca="false">$K$900+COUNTIF($Q$901:Q1008,"&gt;0")</f>
        <v>0</v>
      </c>
      <c r="L1008" s="292" t="str">
        <f aca="false">"Стёкла серии Elephant"&amp;" · "&amp;'Стёкла серии Elephant'!$N$144</f>
        <v>Стёкла серии Elephant · Elephant</v>
      </c>
      <c r="M1008" s="292" t="str">
        <f aca="false">IF(ISBLANK('Стёкла серии Elephant'!$O$144),"",'Стёкла серии Elephant'!$O$144)</f>
        <v>A59/A59S/F1S</v>
      </c>
      <c r="N1008" s="292" t="str">
        <f aca="false">""</f>
        <v/>
      </c>
      <c r="O1008" s="292" t="str">
        <f aca="false">""</f>
        <v/>
      </c>
      <c r="P1008" s="292" t="str">
        <f aca="false">IF(ISBLANK('Стёкла серии Elephant'!$P$144),"",'Стёкла серии Elephant'!$P$144)</f>
        <v>шт.</v>
      </c>
      <c r="Q1008" s="292" t="n">
        <f aca="false">N('Стёкла серии Elephant'!$R$144)</f>
        <v>0</v>
      </c>
      <c r="R1008" s="299" t="n">
        <f aca="false">IF(ISBLANK('Стёкла серии Elephant'!$Q$144),"",'Стёкла серии Elephant'!$Q$144)</f>
        <v>122.32</v>
      </c>
      <c r="S1008" s="292" t="str">
        <f aca="false">IF(ISBLANK('Стёкла серии Elephant'!$S$144),"",'Стёкла серии Elephant'!$S$144)</f>
        <v/>
      </c>
    </row>
    <row r="1009" customFormat="false" ht="66" hidden="false" customHeight="true" outlineLevel="0" collapsed="false">
      <c r="A1009" s="291" t="str">
        <f aca="true">IF(ISNUMBER($J1009),INDIRECT("L"&amp;($J1009+4)),"")</f>
        <v/>
      </c>
      <c r="B1009" s="291" t="str">
        <f aca="true">IF(ISNUMBER($J1009),INDIRECT("M"&amp;($J1009+4)),"")</f>
        <v/>
      </c>
      <c r="C1009" s="296" t="str">
        <f aca="true">IF(ISNUMBER($J1009),INDIRECT("N"&amp;($J1009+4)),"")</f>
        <v/>
      </c>
      <c r="D1009" s="291" t="str">
        <f aca="true">IF(ISNUMBER($J1009),INDIRECT("O"&amp;($J1009+4)),"")</f>
        <v/>
      </c>
      <c r="E1009" s="291" t="str">
        <f aca="true">IF(ISNUMBER($J1009),INDIRECT("P"&amp;($J1009+4)),"")</f>
        <v/>
      </c>
      <c r="F1009" s="300" t="str">
        <f aca="true">IF(ISNUMBER($J1009),INDIRECT("Q"&amp;($J1009+4)),"")</f>
        <v/>
      </c>
      <c r="G1009" s="298" t="str">
        <f aca="true">IF(ISNUMBER($J1009),INDIRECT("R"&amp;($J1009+4)),"")</f>
        <v/>
      </c>
      <c r="H1009" s="298" t="str">
        <f aca="true">IF(ISNUMBER($J1009),INDIRECT("S"&amp;($J1009+4)),"")</f>
        <v/>
      </c>
      <c r="J1009" s="292" t="str">
        <f aca="true">IF(1005&lt;=$K$1,MATCH(1004.5,INDIRECT("$K$4:$K$1374"),1),"")</f>
        <v/>
      </c>
      <c r="K1009" s="292" t="n">
        <f aca="false">$K$900+COUNTIF($Q$901:Q1009,"&gt;0")</f>
        <v>0</v>
      </c>
      <c r="L1009" s="292" t="str">
        <f aca="false">"Стёкла серии Elephant"&amp;" · "&amp;'Стёкла серии Elephant'!$N$145</f>
        <v>Стёкла серии Elephant · Elephant</v>
      </c>
      <c r="M1009" s="292" t="str">
        <f aca="false">IF(ISBLANK('Стёкла серии Elephant'!$O$145),"",'Стёкла серии Elephant'!$O$145)</f>
        <v>A92S</v>
      </c>
      <c r="N1009" s="292" t="str">
        <f aca="false">""</f>
        <v/>
      </c>
      <c r="O1009" s="292" t="str">
        <f aca="false">""</f>
        <v/>
      </c>
      <c r="P1009" s="292" t="str">
        <f aca="false">IF(ISBLANK('Стёкла серии Elephant'!$P$145),"",'Стёкла серии Elephant'!$P$145)</f>
        <v>шт.</v>
      </c>
      <c r="Q1009" s="292" t="n">
        <f aca="false">N('Стёкла серии Elephant'!$R$145)</f>
        <v>0</v>
      </c>
      <c r="R1009" s="299" t="n">
        <f aca="false">IF(ISBLANK('Стёкла серии Elephant'!$Q$145),"",'Стёкла серии Elephant'!$Q$145)</f>
        <v>122.32</v>
      </c>
      <c r="S1009" s="292" t="str">
        <f aca="false">IF(ISBLANK('Стёкла серии Elephant'!$S$145),"",'Стёкла серии Elephant'!$S$145)</f>
        <v/>
      </c>
    </row>
    <row r="1010" customFormat="false" ht="66" hidden="false" customHeight="true" outlineLevel="0" collapsed="false">
      <c r="A1010" s="291" t="str">
        <f aca="true">IF(ISNUMBER($J1010),INDIRECT("L"&amp;($J1010+4)),"")</f>
        <v/>
      </c>
      <c r="B1010" s="291" t="str">
        <f aca="true">IF(ISNUMBER($J1010),INDIRECT("M"&amp;($J1010+4)),"")</f>
        <v/>
      </c>
      <c r="C1010" s="296" t="str">
        <f aca="true">IF(ISNUMBER($J1010),INDIRECT("N"&amp;($J1010+4)),"")</f>
        <v/>
      </c>
      <c r="D1010" s="291" t="str">
        <f aca="true">IF(ISNUMBER($J1010),INDIRECT("O"&amp;($J1010+4)),"")</f>
        <v/>
      </c>
      <c r="E1010" s="291" t="str">
        <f aca="true">IF(ISNUMBER($J1010),INDIRECT("P"&amp;($J1010+4)),"")</f>
        <v/>
      </c>
      <c r="F1010" s="300" t="str">
        <f aca="true">IF(ISNUMBER($J1010),INDIRECT("Q"&amp;($J1010+4)),"")</f>
        <v/>
      </c>
      <c r="G1010" s="298" t="str">
        <f aca="true">IF(ISNUMBER($J1010),INDIRECT("R"&amp;($J1010+4)),"")</f>
        <v/>
      </c>
      <c r="H1010" s="298" t="str">
        <f aca="true">IF(ISNUMBER($J1010),INDIRECT("S"&amp;($J1010+4)),"")</f>
        <v/>
      </c>
      <c r="J1010" s="292" t="str">
        <f aca="true">IF(1006&lt;=$K$1,MATCH(1005.5,INDIRECT("$K$4:$K$1374"),1),"")</f>
        <v/>
      </c>
      <c r="K1010" s="292" t="n">
        <f aca="false">$K$900+COUNTIF($Q$901:Q1010,"&gt;0")</f>
        <v>0</v>
      </c>
      <c r="L1010" s="292" t="str">
        <f aca="false">"Стёкла серии Elephant"&amp;" · "&amp;'Стёкла серии Elephant'!$N$146</f>
        <v>Стёкла серии Elephant · Elephant</v>
      </c>
      <c r="M1010" s="292" t="str">
        <f aca="false">IF(ISBLANK('Стёкла серии Elephant'!$O$146),"",'Стёкла серии Elephant'!$O$146)</f>
        <v>Y7S/S1global edition</v>
      </c>
      <c r="N1010" s="292" t="str">
        <f aca="false">""</f>
        <v/>
      </c>
      <c r="O1010" s="292" t="str">
        <f aca="false">""</f>
        <v/>
      </c>
      <c r="P1010" s="292" t="str">
        <f aca="false">IF(ISBLANK('Стёкла серии Elephant'!$P$146),"",'Стёкла серии Elephant'!$P$146)</f>
        <v>шт.</v>
      </c>
      <c r="Q1010" s="292" t="n">
        <f aca="false">N('Стёкла серии Elephant'!$R$146)</f>
        <v>0</v>
      </c>
      <c r="R1010" s="299" t="n">
        <f aca="false">IF(ISBLANK('Стёкла серии Elephant'!$Q$146),"",'Стёкла серии Elephant'!$Q$146)</f>
        <v>122.32</v>
      </c>
      <c r="S1010" s="292" t="str">
        <f aca="false">IF(ISBLANK('Стёкла серии Elephant'!$S$146),"",'Стёкла серии Elephant'!$S$146)</f>
        <v/>
      </c>
    </row>
    <row r="1011" customFormat="false" ht="66" hidden="false" customHeight="true" outlineLevel="0" collapsed="false">
      <c r="A1011" s="291" t="str">
        <f aca="true">IF(ISNUMBER($J1011),INDIRECT("L"&amp;($J1011+4)),"")</f>
        <v/>
      </c>
      <c r="B1011" s="291" t="str">
        <f aca="true">IF(ISNUMBER($J1011),INDIRECT("M"&amp;($J1011+4)),"")</f>
        <v/>
      </c>
      <c r="C1011" s="296" t="str">
        <f aca="true">IF(ISNUMBER($J1011),INDIRECT("N"&amp;($J1011+4)),"")</f>
        <v/>
      </c>
      <c r="D1011" s="291" t="str">
        <f aca="true">IF(ISNUMBER($J1011),INDIRECT("O"&amp;($J1011+4)),"")</f>
        <v/>
      </c>
      <c r="E1011" s="291" t="str">
        <f aca="true">IF(ISNUMBER($J1011),INDIRECT("P"&amp;($J1011+4)),"")</f>
        <v/>
      </c>
      <c r="F1011" s="300" t="str">
        <f aca="true">IF(ISNUMBER($J1011),INDIRECT("Q"&amp;($J1011+4)),"")</f>
        <v/>
      </c>
      <c r="G1011" s="298" t="str">
        <f aca="true">IF(ISNUMBER($J1011),INDIRECT("R"&amp;($J1011+4)),"")</f>
        <v/>
      </c>
      <c r="H1011" s="298" t="str">
        <f aca="true">IF(ISNUMBER($J1011),INDIRECT("S"&amp;($J1011+4)),"")</f>
        <v/>
      </c>
      <c r="J1011" s="292" t="str">
        <f aca="true">IF(1007&lt;=$K$1,MATCH(1006.5,INDIRECT("$K$4:$K$1374"),1),"")</f>
        <v/>
      </c>
      <c r="K1011" s="292" t="n">
        <f aca="false">$K$900+COUNTIF($Q$901:Q1011,"&gt;0")</f>
        <v>0</v>
      </c>
      <c r="L1011" s="292" t="str">
        <f aca="false">"Стёкла серии Elephant"&amp;" · "&amp;'Стёкла серии Elephant'!$N$147</f>
        <v>Стёкла серии Elephant · Elephant</v>
      </c>
      <c r="M1011" s="292" t="str">
        <f aca="false">IF(ISBLANK('Стёкла серии Elephant'!$O$147),"",'Стёкла серии Elephant'!$O$147)</f>
        <v>iP13 mini</v>
      </c>
      <c r="N1011" s="292" t="str">
        <f aca="false">""</f>
        <v/>
      </c>
      <c r="O1011" s="292" t="str">
        <f aca="false">""</f>
        <v/>
      </c>
      <c r="P1011" s="292" t="str">
        <f aca="false">IF(ISBLANK('Стёкла серии Elephant'!$P$147),"",'Стёкла серии Elephant'!$P$147)</f>
        <v>шт.</v>
      </c>
      <c r="Q1011" s="292" t="n">
        <f aca="false">N('Стёкла серии Elephant'!$R$147)</f>
        <v>0</v>
      </c>
      <c r="R1011" s="299" t="n">
        <f aca="false">IF(ISBLANK('Стёкла серии Elephant'!$Q$147),"",'Стёкла серии Elephant'!$Q$147)</f>
        <v>122.32</v>
      </c>
      <c r="S1011" s="292" t="str">
        <f aca="false">IF(ISBLANK('Стёкла серии Elephant'!$S$147),"",'Стёкла серии Elephant'!$S$147)</f>
        <v/>
      </c>
    </row>
    <row r="1012" customFormat="false" ht="66" hidden="false" customHeight="true" outlineLevel="0" collapsed="false">
      <c r="A1012" s="291" t="str">
        <f aca="true">IF(ISNUMBER($J1012),INDIRECT("L"&amp;($J1012+4)),"")</f>
        <v/>
      </c>
      <c r="B1012" s="291" t="str">
        <f aca="true">IF(ISNUMBER($J1012),INDIRECT("M"&amp;($J1012+4)),"")</f>
        <v/>
      </c>
      <c r="C1012" s="296" t="str">
        <f aca="true">IF(ISNUMBER($J1012),INDIRECT("N"&amp;($J1012+4)),"")</f>
        <v/>
      </c>
      <c r="D1012" s="291" t="str">
        <f aca="true">IF(ISNUMBER($J1012),INDIRECT("O"&amp;($J1012+4)),"")</f>
        <v/>
      </c>
      <c r="E1012" s="291" t="str">
        <f aca="true">IF(ISNUMBER($J1012),INDIRECT("P"&amp;($J1012+4)),"")</f>
        <v/>
      </c>
      <c r="F1012" s="300" t="str">
        <f aca="true">IF(ISNUMBER($J1012),INDIRECT("Q"&amp;($J1012+4)),"")</f>
        <v/>
      </c>
      <c r="G1012" s="298" t="str">
        <f aca="true">IF(ISNUMBER($J1012),INDIRECT("R"&amp;($J1012+4)),"")</f>
        <v/>
      </c>
      <c r="H1012" s="298" t="str">
        <f aca="true">IF(ISNUMBER($J1012),INDIRECT("S"&amp;($J1012+4)),"")</f>
        <v/>
      </c>
      <c r="J1012" s="292" t="str">
        <f aca="true">IF(1008&lt;=$K$1,MATCH(1007.5,INDIRECT("$K$4:$K$1374"),1),"")</f>
        <v/>
      </c>
      <c r="K1012" s="292" t="n">
        <f aca="false">$K$900+COUNTIF($Q$901:Q1012,"&gt;0")</f>
        <v>0</v>
      </c>
      <c r="L1012" s="292" t="str">
        <f aca="false">"Стёкла серии Elephant"&amp;" · "&amp;'Стёкла серии Elephant'!$N$148</f>
        <v>Стёкла серии Elephant · Elephant</v>
      </c>
      <c r="M1012" s="292" t="str">
        <f aca="false">IF(ISBLANK('Стёкла серии Elephant'!$O$148),"",'Стёкла серии Elephant'!$O$148)</f>
        <v>Y9prime-2019</v>
      </c>
      <c r="N1012" s="292" t="str">
        <f aca="false">""</f>
        <v/>
      </c>
      <c r="O1012" s="292" t="str">
        <f aca="false">""</f>
        <v/>
      </c>
      <c r="P1012" s="292" t="str">
        <f aca="false">IF(ISBLANK('Стёкла серии Elephant'!$P$148),"",'Стёкла серии Elephant'!$P$148)</f>
        <v>шт.</v>
      </c>
      <c r="Q1012" s="292" t="n">
        <f aca="false">N('Стёкла серии Elephant'!$R$148)</f>
        <v>0</v>
      </c>
      <c r="R1012" s="299" t="n">
        <f aca="false">IF(ISBLANK('Стёкла серии Elephant'!$Q$148),"",'Стёкла серии Elephant'!$Q$148)</f>
        <v>122.32</v>
      </c>
      <c r="S1012" s="292" t="str">
        <f aca="false">IF(ISBLANK('Стёкла серии Elephant'!$S$148),"",'Стёкла серии Elephant'!$S$148)</f>
        <v/>
      </c>
    </row>
    <row r="1013" customFormat="false" ht="66" hidden="false" customHeight="true" outlineLevel="0" collapsed="false">
      <c r="A1013" s="291" t="str">
        <f aca="true">IF(ISNUMBER($J1013),INDIRECT("L"&amp;($J1013+4)),"")</f>
        <v/>
      </c>
      <c r="B1013" s="291" t="str">
        <f aca="true">IF(ISNUMBER($J1013),INDIRECT("M"&amp;($J1013+4)),"")</f>
        <v/>
      </c>
      <c r="C1013" s="296" t="str">
        <f aca="true">IF(ISNUMBER($J1013),INDIRECT("N"&amp;($J1013+4)),"")</f>
        <v/>
      </c>
      <c r="D1013" s="291" t="str">
        <f aca="true">IF(ISNUMBER($J1013),INDIRECT("O"&amp;($J1013+4)),"")</f>
        <v/>
      </c>
      <c r="E1013" s="291" t="str">
        <f aca="true">IF(ISNUMBER($J1013),INDIRECT("P"&amp;($J1013+4)),"")</f>
        <v/>
      </c>
      <c r="F1013" s="300" t="str">
        <f aca="true">IF(ISNUMBER($J1013),INDIRECT("Q"&amp;($J1013+4)),"")</f>
        <v/>
      </c>
      <c r="G1013" s="298" t="str">
        <f aca="true">IF(ISNUMBER($J1013),INDIRECT("R"&amp;($J1013+4)),"")</f>
        <v/>
      </c>
      <c r="H1013" s="298" t="str">
        <f aca="true">IF(ISNUMBER($J1013),INDIRECT("S"&amp;($J1013+4)),"")</f>
        <v/>
      </c>
      <c r="J1013" s="292" t="str">
        <f aca="true">IF(1009&lt;=$K$1,MATCH(1008.5,INDIRECT("$K$4:$K$1374"),1),"")</f>
        <v/>
      </c>
      <c r="K1013" s="292" t="n">
        <f aca="false">$K$900+COUNTIF($Q$901:Q1013,"&gt;0")</f>
        <v>0</v>
      </c>
      <c r="L1013" s="292" t="str">
        <f aca="false">"Стёкла серии Elephant"&amp;" · "&amp;'Стёкла серии Elephant'!$N$149</f>
        <v>Стёкла серии Elephant · Elephant</v>
      </c>
      <c r="M1013" s="292" t="str">
        <f aca="false">IF(ISBLANK('Стёкла серии Elephant'!$O$149),"",'Стёкла серии Elephant'!$O$149)</f>
        <v>Honor 20/10i</v>
      </c>
      <c r="N1013" s="292" t="str">
        <f aca="false">""</f>
        <v/>
      </c>
      <c r="O1013" s="292" t="str">
        <f aca="false">""</f>
        <v/>
      </c>
      <c r="P1013" s="292" t="str">
        <f aca="false">IF(ISBLANK('Стёкла серии Elephant'!$P$149),"",'Стёкла серии Elephant'!$P$149)</f>
        <v>шт.</v>
      </c>
      <c r="Q1013" s="292" t="n">
        <f aca="false">N('Стёкла серии Elephant'!$R$149)</f>
        <v>0</v>
      </c>
      <c r="R1013" s="299" t="n">
        <f aca="false">IF(ISBLANK('Стёкла серии Elephant'!$Q$149),"",'Стёкла серии Elephant'!$Q$149)</f>
        <v>122.32</v>
      </c>
      <c r="S1013" s="292" t="str">
        <f aca="false">IF(ISBLANK('Стёкла серии Elephant'!$S$149),"",'Стёкла серии Elephant'!$S$149)</f>
        <v/>
      </c>
    </row>
    <row r="1014" customFormat="false" ht="66" hidden="false" customHeight="true" outlineLevel="0" collapsed="false">
      <c r="A1014" s="291" t="str">
        <f aca="true">IF(ISNUMBER($J1014),INDIRECT("L"&amp;($J1014+4)),"")</f>
        <v/>
      </c>
      <c r="B1014" s="291" t="str">
        <f aca="true">IF(ISNUMBER($J1014),INDIRECT("M"&amp;($J1014+4)),"")</f>
        <v/>
      </c>
      <c r="C1014" s="296" t="str">
        <f aca="true">IF(ISNUMBER($J1014),INDIRECT("N"&amp;($J1014+4)),"")</f>
        <v/>
      </c>
      <c r="D1014" s="291" t="str">
        <f aca="true">IF(ISNUMBER($J1014),INDIRECT("O"&amp;($J1014+4)),"")</f>
        <v/>
      </c>
      <c r="E1014" s="291" t="str">
        <f aca="true">IF(ISNUMBER($J1014),INDIRECT("P"&amp;($J1014+4)),"")</f>
        <v/>
      </c>
      <c r="F1014" s="300" t="str">
        <f aca="true">IF(ISNUMBER($J1014),INDIRECT("Q"&amp;($J1014+4)),"")</f>
        <v/>
      </c>
      <c r="G1014" s="298" t="str">
        <f aca="true">IF(ISNUMBER($J1014),INDIRECT("R"&amp;($J1014+4)),"")</f>
        <v/>
      </c>
      <c r="H1014" s="298" t="str">
        <f aca="true">IF(ISNUMBER($J1014),INDIRECT("S"&amp;($J1014+4)),"")</f>
        <v/>
      </c>
      <c r="J1014" s="292" t="str">
        <f aca="true">IF(1010&lt;=$K$1,MATCH(1009.5,INDIRECT("$K$4:$K$1374"),1),"")</f>
        <v/>
      </c>
      <c r="K1014" s="292" t="n">
        <f aca="false">$K$900+COUNTIF($Q$901:Q1014,"&gt;0")</f>
        <v>0</v>
      </c>
      <c r="L1014" s="292" t="str">
        <f aca="false">"Стёкла серии Elephant"&amp;" · "&amp;'Стёкла серии Elephant'!$N$150</f>
        <v>Стёкла серии Elephant · Elephant</v>
      </c>
      <c r="M1014" s="292" t="str">
        <f aca="false">IF(ISBLANK('Стёкла серии Elephant'!$O$150),"",'Стёкла серии Elephant'!$O$150)</f>
        <v>Redmi 5 Plus/Note5 global edition</v>
      </c>
      <c r="N1014" s="292" t="str">
        <f aca="false">""</f>
        <v/>
      </c>
      <c r="O1014" s="292" t="str">
        <f aca="false">""</f>
        <v/>
      </c>
      <c r="P1014" s="292" t="str">
        <f aca="false">IF(ISBLANK('Стёкла серии Elephant'!$P$150),"",'Стёкла серии Elephant'!$P$150)</f>
        <v>шт.</v>
      </c>
      <c r="Q1014" s="292" t="n">
        <f aca="false">N('Стёкла серии Elephant'!$R$150)</f>
        <v>0</v>
      </c>
      <c r="R1014" s="299" t="n">
        <f aca="false">IF(ISBLANK('Стёкла серии Elephant'!$Q$150),"",'Стёкла серии Elephant'!$Q$150)</f>
        <v>122.32</v>
      </c>
      <c r="S1014" s="292" t="str">
        <f aca="false">IF(ISBLANK('Стёкла серии Elephant'!$S$150),"",'Стёкла серии Elephant'!$S$150)</f>
        <v/>
      </c>
    </row>
    <row r="1015" customFormat="false" ht="66" hidden="false" customHeight="true" outlineLevel="0" collapsed="false">
      <c r="A1015" s="291" t="str">
        <f aca="true">IF(ISNUMBER($J1015),INDIRECT("L"&amp;($J1015+4)),"")</f>
        <v/>
      </c>
      <c r="B1015" s="291" t="str">
        <f aca="true">IF(ISNUMBER($J1015),INDIRECT("M"&amp;($J1015+4)),"")</f>
        <v/>
      </c>
      <c r="C1015" s="296" t="str">
        <f aca="true">IF(ISNUMBER($J1015),INDIRECT("N"&amp;($J1015+4)),"")</f>
        <v/>
      </c>
      <c r="D1015" s="291" t="str">
        <f aca="true">IF(ISNUMBER($J1015),INDIRECT("O"&amp;($J1015+4)),"")</f>
        <v/>
      </c>
      <c r="E1015" s="291" t="str">
        <f aca="true">IF(ISNUMBER($J1015),INDIRECT("P"&amp;($J1015+4)),"")</f>
        <v/>
      </c>
      <c r="F1015" s="300" t="str">
        <f aca="true">IF(ISNUMBER($J1015),INDIRECT("Q"&amp;($J1015+4)),"")</f>
        <v/>
      </c>
      <c r="G1015" s="298" t="str">
        <f aca="true">IF(ISNUMBER($J1015),INDIRECT("R"&amp;($J1015+4)),"")</f>
        <v/>
      </c>
      <c r="H1015" s="298" t="str">
        <f aca="true">IF(ISNUMBER($J1015),INDIRECT("S"&amp;($J1015+4)),"")</f>
        <v/>
      </c>
      <c r="J1015" s="292" t="str">
        <f aca="true">IF(1011&lt;=$K$1,MATCH(1010.5,INDIRECT("$K$4:$K$1374"),1),"")</f>
        <v/>
      </c>
      <c r="K1015" s="292" t="n">
        <f aca="false">$K$900+COUNTIF($Q$901:Q1015,"&gt;0")</f>
        <v>0</v>
      </c>
      <c r="L1015" s="292" t="str">
        <f aca="false">"Стёкла серии Elephant"&amp;" · "&amp;'Стёкла серии Elephant'!$N$151</f>
        <v>Стёкла серии Elephant · Elephant</v>
      </c>
      <c r="M1015" s="292" t="str">
        <f aca="false">IF(ISBLANK('Стёкла серии Elephant'!$O$151),"",'Стёкла серии Elephant'!$O$151)</f>
        <v>Redmi 10X pro(5G)</v>
      </c>
      <c r="N1015" s="292" t="str">
        <f aca="false">""</f>
        <v/>
      </c>
      <c r="O1015" s="292" t="str">
        <f aca="false">""</f>
        <v/>
      </c>
      <c r="P1015" s="292" t="str">
        <f aca="false">IF(ISBLANK('Стёкла серии Elephant'!$P$151),"",'Стёкла серии Elephant'!$P$151)</f>
        <v>шт.</v>
      </c>
      <c r="Q1015" s="292" t="n">
        <f aca="false">N('Стёкла серии Elephant'!$R$151)</f>
        <v>0</v>
      </c>
      <c r="R1015" s="299" t="n">
        <f aca="false">IF(ISBLANK('Стёкла серии Elephant'!$Q$151),"",'Стёкла серии Elephant'!$Q$151)</f>
        <v>122.32</v>
      </c>
      <c r="S1015" s="292" t="str">
        <f aca="false">IF(ISBLANK('Стёкла серии Elephant'!$S$151),"",'Стёкла серии Elephant'!$S$151)</f>
        <v/>
      </c>
    </row>
    <row r="1016" customFormat="false" ht="66" hidden="false" customHeight="true" outlineLevel="0" collapsed="false">
      <c r="A1016" s="291" t="str">
        <f aca="true">IF(ISNUMBER($J1016),INDIRECT("L"&amp;($J1016+4)),"")</f>
        <v/>
      </c>
      <c r="B1016" s="291" t="str">
        <f aca="true">IF(ISNUMBER($J1016),INDIRECT("M"&amp;($J1016+4)),"")</f>
        <v/>
      </c>
      <c r="C1016" s="296" t="str">
        <f aca="true">IF(ISNUMBER($J1016),INDIRECT("N"&amp;($J1016+4)),"")</f>
        <v/>
      </c>
      <c r="D1016" s="291" t="str">
        <f aca="true">IF(ISNUMBER($J1016),INDIRECT("O"&amp;($J1016+4)),"")</f>
        <v/>
      </c>
      <c r="E1016" s="291" t="str">
        <f aca="true">IF(ISNUMBER($J1016),INDIRECT("P"&amp;($J1016+4)),"")</f>
        <v/>
      </c>
      <c r="F1016" s="300" t="str">
        <f aca="true">IF(ISNUMBER($J1016),INDIRECT("Q"&amp;($J1016+4)),"")</f>
        <v/>
      </c>
      <c r="G1016" s="298" t="str">
        <f aca="true">IF(ISNUMBER($J1016),INDIRECT("R"&amp;($J1016+4)),"")</f>
        <v/>
      </c>
      <c r="H1016" s="298" t="str">
        <f aca="true">IF(ISNUMBER($J1016),INDIRECT("S"&amp;($J1016+4)),"")</f>
        <v/>
      </c>
      <c r="J1016" s="292" t="str">
        <f aca="true">IF(1012&lt;=$K$1,MATCH(1011.5,INDIRECT("$K$4:$K$1374"),1),"")</f>
        <v/>
      </c>
      <c r="K1016" s="292" t="n">
        <f aca="false">$K$900+COUNTIF($Q$901:Q1016,"&gt;0")</f>
        <v>0</v>
      </c>
      <c r="L1016" s="292" t="str">
        <f aca="false">"Стёкла серии Elephant"&amp;" · "&amp;'Стёкла серии Elephant'!$N$152</f>
        <v>Стёкла серии Elephant · Elephant</v>
      </c>
      <c r="M1016" s="292" t="str">
        <f aca="false">IF(ISBLANK('Стёкла серии Elephant'!$O$152),"",'Стёкла серии Elephant'!$O$152)</f>
        <v>Note10 Lite</v>
      </c>
      <c r="N1016" s="292" t="str">
        <f aca="false">""</f>
        <v/>
      </c>
      <c r="O1016" s="292" t="str">
        <f aca="false">""</f>
        <v/>
      </c>
      <c r="P1016" s="292" t="str">
        <f aca="false">IF(ISBLANK('Стёкла серии Elephant'!$P$152),"",'Стёкла серии Elephant'!$P$152)</f>
        <v>шт.</v>
      </c>
      <c r="Q1016" s="292" t="n">
        <f aca="false">N('Стёкла серии Elephant'!$R$152)</f>
        <v>0</v>
      </c>
      <c r="R1016" s="299" t="n">
        <f aca="false">IF(ISBLANK('Стёкла серии Elephant'!$Q$152),"",'Стёкла серии Elephant'!$Q$152)</f>
        <v>122.32</v>
      </c>
      <c r="S1016" s="292" t="str">
        <f aca="false">IF(ISBLANK('Стёкла серии Elephant'!$S$152),"",'Стёкла серии Elephant'!$S$152)</f>
        <v/>
      </c>
    </row>
    <row r="1017" customFormat="false" ht="66" hidden="false" customHeight="true" outlineLevel="0" collapsed="false">
      <c r="A1017" s="291" t="str">
        <f aca="true">IF(ISNUMBER($J1017),INDIRECT("L"&amp;($J1017+4)),"")</f>
        <v/>
      </c>
      <c r="B1017" s="291" t="str">
        <f aca="true">IF(ISNUMBER($J1017),INDIRECT("M"&amp;($J1017+4)),"")</f>
        <v/>
      </c>
      <c r="C1017" s="296" t="str">
        <f aca="true">IF(ISNUMBER($J1017),INDIRECT("N"&amp;($J1017+4)),"")</f>
        <v/>
      </c>
      <c r="D1017" s="291" t="str">
        <f aca="true">IF(ISNUMBER($J1017),INDIRECT("O"&amp;($J1017+4)),"")</f>
        <v/>
      </c>
      <c r="E1017" s="291" t="str">
        <f aca="true">IF(ISNUMBER($J1017),INDIRECT("P"&amp;($J1017+4)),"")</f>
        <v/>
      </c>
      <c r="F1017" s="300" t="str">
        <f aca="true">IF(ISNUMBER($J1017),INDIRECT("Q"&amp;($J1017+4)),"")</f>
        <v/>
      </c>
      <c r="G1017" s="298" t="str">
        <f aca="true">IF(ISNUMBER($J1017),INDIRECT("R"&amp;($J1017+4)),"")</f>
        <v/>
      </c>
      <c r="H1017" s="298" t="str">
        <f aca="true">IF(ISNUMBER($J1017),INDIRECT("S"&amp;($J1017+4)),"")</f>
        <v/>
      </c>
      <c r="J1017" s="292" t="str">
        <f aca="true">IF(1013&lt;=$K$1,MATCH(1012.5,INDIRECT("$K$4:$K$1374"),1),"")</f>
        <v/>
      </c>
      <c r="K1017" s="292" t="n">
        <f aca="false">$K$900+COUNTIF($Q$901:Q1017,"&gt;0")</f>
        <v>0</v>
      </c>
      <c r="L1017" s="292" t="str">
        <f aca="false">"Стёкла серии Elephant"&amp;" · "&amp;'Стёкла серии Elephant'!$N$153</f>
        <v>Стёкла серии Elephant · Elephant</v>
      </c>
      <c r="M1017" s="292" t="str">
        <f aca="false">IF(ISBLANK('Стёкла серии Elephant'!$O$153),"",'Стёкла серии Elephant'!$O$153)</f>
        <v>A72 4G/5G</v>
      </c>
      <c r="N1017" s="292" t="str">
        <f aca="false">""</f>
        <v/>
      </c>
      <c r="O1017" s="292" t="str">
        <f aca="false">""</f>
        <v/>
      </c>
      <c r="P1017" s="292" t="str">
        <f aca="false">IF(ISBLANK('Стёкла серии Elephant'!$P$153),"",'Стёкла серии Elephant'!$P$153)</f>
        <v>шт.</v>
      </c>
      <c r="Q1017" s="292" t="n">
        <f aca="false">N('Стёкла серии Elephant'!$R$153)</f>
        <v>0</v>
      </c>
      <c r="R1017" s="299" t="n">
        <f aca="false">IF(ISBLANK('Стёкла серии Elephant'!$Q$153),"",'Стёкла серии Elephant'!$Q$153)</f>
        <v>122.32</v>
      </c>
      <c r="S1017" s="292" t="str">
        <f aca="false">IF(ISBLANK('Стёкла серии Elephant'!$S$153),"",'Стёкла серии Elephant'!$S$153)</f>
        <v/>
      </c>
    </row>
    <row r="1018" customFormat="false" ht="66" hidden="false" customHeight="true" outlineLevel="0" collapsed="false">
      <c r="A1018" s="291" t="str">
        <f aca="true">IF(ISNUMBER($J1018),INDIRECT("L"&amp;($J1018+4)),"")</f>
        <v/>
      </c>
      <c r="B1018" s="291" t="str">
        <f aca="true">IF(ISNUMBER($J1018),INDIRECT("M"&amp;($J1018+4)),"")</f>
        <v/>
      </c>
      <c r="C1018" s="296" t="str">
        <f aca="true">IF(ISNUMBER($J1018),INDIRECT("N"&amp;($J1018+4)),"")</f>
        <v/>
      </c>
      <c r="D1018" s="291" t="str">
        <f aca="true">IF(ISNUMBER($J1018),INDIRECT("O"&amp;($J1018+4)),"")</f>
        <v/>
      </c>
      <c r="E1018" s="291" t="str">
        <f aca="true">IF(ISNUMBER($J1018),INDIRECT("P"&amp;($J1018+4)),"")</f>
        <v/>
      </c>
      <c r="F1018" s="300" t="str">
        <f aca="true">IF(ISNUMBER($J1018),INDIRECT("Q"&amp;($J1018+4)),"")</f>
        <v/>
      </c>
      <c r="G1018" s="298" t="str">
        <f aca="true">IF(ISNUMBER($J1018),INDIRECT("R"&amp;($J1018+4)),"")</f>
        <v/>
      </c>
      <c r="H1018" s="298" t="str">
        <f aca="true">IF(ISNUMBER($J1018),INDIRECT("S"&amp;($J1018+4)),"")</f>
        <v/>
      </c>
      <c r="J1018" s="292" t="str">
        <f aca="true">IF(1014&lt;=$K$1,MATCH(1013.5,INDIRECT("$K$4:$K$1374"),1),"")</f>
        <v/>
      </c>
      <c r="K1018" s="292" t="n">
        <f aca="false">$K$900+COUNTIF($Q$901:Q1018,"&gt;0")</f>
        <v>0</v>
      </c>
      <c r="L1018" s="292" t="str">
        <f aca="false">"Стёкла серии Elephant"&amp;" · "&amp;'Стёкла серии Elephant'!$N$154</f>
        <v>Стёкла серии Elephant · Elephant</v>
      </c>
      <c r="M1018" s="292" t="str">
        <f aca="false">IF(ISBLANK('Стёкла серии Elephant'!$O$154),"",'Стёкла серии Elephant'!$O$154)</f>
        <v>Realme C11</v>
      </c>
      <c r="N1018" s="292" t="str">
        <f aca="false">""</f>
        <v/>
      </c>
      <c r="O1018" s="292" t="str">
        <f aca="false">""</f>
        <v/>
      </c>
      <c r="P1018" s="292" t="str">
        <f aca="false">IF(ISBLANK('Стёкла серии Elephant'!$P$154),"",'Стёкла серии Elephant'!$P$154)</f>
        <v>шт.</v>
      </c>
      <c r="Q1018" s="292" t="n">
        <f aca="false">N('Стёкла серии Elephant'!$R$154)</f>
        <v>0</v>
      </c>
      <c r="R1018" s="299" t="n">
        <f aca="false">IF(ISBLANK('Стёкла серии Elephant'!$Q$154),"",'Стёкла серии Elephant'!$Q$154)</f>
        <v>122.32</v>
      </c>
      <c r="S1018" s="292" t="str">
        <f aca="false">IF(ISBLANK('Стёкла серии Elephant'!$S$154),"",'Стёкла серии Elephant'!$S$154)</f>
        <v/>
      </c>
    </row>
    <row r="1019" customFormat="false" ht="66" hidden="false" customHeight="true" outlineLevel="0" collapsed="false">
      <c r="A1019" s="291" t="str">
        <f aca="true">IF(ISNUMBER($J1019),INDIRECT("L"&amp;($J1019+4)),"")</f>
        <v/>
      </c>
      <c r="B1019" s="291" t="str">
        <f aca="true">IF(ISNUMBER($J1019),INDIRECT("M"&amp;($J1019+4)),"")</f>
        <v/>
      </c>
      <c r="C1019" s="296" t="str">
        <f aca="true">IF(ISNUMBER($J1019),INDIRECT("N"&amp;($J1019+4)),"")</f>
        <v/>
      </c>
      <c r="D1019" s="291" t="str">
        <f aca="true">IF(ISNUMBER($J1019),INDIRECT("O"&amp;($J1019+4)),"")</f>
        <v/>
      </c>
      <c r="E1019" s="291" t="str">
        <f aca="true">IF(ISNUMBER($J1019),INDIRECT("P"&amp;($J1019+4)),"")</f>
        <v/>
      </c>
      <c r="F1019" s="300" t="str">
        <f aca="true">IF(ISNUMBER($J1019),INDIRECT("Q"&amp;($J1019+4)),"")</f>
        <v/>
      </c>
      <c r="G1019" s="298" t="str">
        <f aca="true">IF(ISNUMBER($J1019),INDIRECT("R"&amp;($J1019+4)),"")</f>
        <v/>
      </c>
      <c r="H1019" s="298" t="str">
        <f aca="true">IF(ISNUMBER($J1019),INDIRECT("S"&amp;($J1019+4)),"")</f>
        <v/>
      </c>
      <c r="J1019" s="292" t="str">
        <f aca="true">IF(1015&lt;=$K$1,MATCH(1014.5,INDIRECT("$K$4:$K$1374"),1),"")</f>
        <v/>
      </c>
      <c r="K1019" s="292" t="n">
        <f aca="false">$K$900+COUNTIF($Q$901:Q1019,"&gt;0")</f>
        <v>0</v>
      </c>
      <c r="L1019" s="292" t="str">
        <f aca="false">"Стёкла серии Elephant"&amp;" · "&amp;'Стёкла серии Elephant'!$N$155</f>
        <v>Стёкла серии Elephant · Elephant</v>
      </c>
      <c r="M1019" s="292" t="str">
        <f aca="false">IF(ISBLANK('Стёкла серии Elephant'!$O$155),"",'Стёкла серии Elephant'!$O$155)</f>
        <v>ACE 2</v>
      </c>
      <c r="N1019" s="292" t="str">
        <f aca="false">""</f>
        <v/>
      </c>
      <c r="O1019" s="292" t="str">
        <f aca="false">""</f>
        <v/>
      </c>
      <c r="P1019" s="292" t="str">
        <f aca="false">IF(ISBLANK('Стёкла серии Elephant'!$P$155),"",'Стёкла серии Elephant'!$P$155)</f>
        <v>шт.</v>
      </c>
      <c r="Q1019" s="292" t="n">
        <f aca="false">N('Стёкла серии Elephant'!$R$155)</f>
        <v>0</v>
      </c>
      <c r="R1019" s="299" t="n">
        <f aca="false">IF(ISBLANK('Стёкла серии Elephant'!$Q$155),"",'Стёкла серии Elephant'!$Q$155)</f>
        <v>122.32</v>
      </c>
      <c r="S1019" s="292" t="str">
        <f aca="false">IF(ISBLANK('Стёкла серии Elephant'!$S$155),"",'Стёкла серии Elephant'!$S$155)</f>
        <v/>
      </c>
    </row>
    <row r="1020" customFormat="false" ht="66" hidden="false" customHeight="true" outlineLevel="0" collapsed="false">
      <c r="A1020" s="291" t="str">
        <f aca="true">IF(ISNUMBER($J1020),INDIRECT("L"&amp;($J1020+4)),"")</f>
        <v/>
      </c>
      <c r="B1020" s="291" t="str">
        <f aca="true">IF(ISNUMBER($J1020),INDIRECT("M"&amp;($J1020+4)),"")</f>
        <v/>
      </c>
      <c r="C1020" s="296" t="str">
        <f aca="true">IF(ISNUMBER($J1020),INDIRECT("N"&amp;($J1020+4)),"")</f>
        <v/>
      </c>
      <c r="D1020" s="291" t="str">
        <f aca="true">IF(ISNUMBER($J1020),INDIRECT("O"&amp;($J1020+4)),"")</f>
        <v/>
      </c>
      <c r="E1020" s="291" t="str">
        <f aca="true">IF(ISNUMBER($J1020),INDIRECT("P"&amp;($J1020+4)),"")</f>
        <v/>
      </c>
      <c r="F1020" s="300" t="str">
        <f aca="true">IF(ISNUMBER($J1020),INDIRECT("Q"&amp;($J1020+4)),"")</f>
        <v/>
      </c>
      <c r="G1020" s="298" t="str">
        <f aca="true">IF(ISNUMBER($J1020),INDIRECT("R"&amp;($J1020+4)),"")</f>
        <v/>
      </c>
      <c r="H1020" s="298" t="str">
        <f aca="true">IF(ISNUMBER($J1020),INDIRECT("S"&amp;($J1020+4)),"")</f>
        <v/>
      </c>
      <c r="J1020" s="292" t="str">
        <f aca="true">IF(1016&lt;=$K$1,MATCH(1015.5,INDIRECT("$K$4:$K$1374"),1),"")</f>
        <v/>
      </c>
      <c r="K1020" s="292" t="n">
        <f aca="false">$K$900+COUNTIF($Q$901:Q1020,"&gt;0")</f>
        <v>0</v>
      </c>
      <c r="L1020" s="292" t="str">
        <f aca="false">"Стёкла серии Elephant"&amp;" · "&amp;'Стёкла серии Elephant'!$N$156</f>
        <v>Стёкла серии Elephant · Elephant</v>
      </c>
      <c r="M1020" s="292" t="str">
        <f aca="false">IF(ISBLANK('Стёкла серии Elephant'!$O$156),"",'Стёкла серии Elephant'!$O$156)</f>
        <v>Y3</v>
      </c>
      <c r="N1020" s="292" t="str">
        <f aca="false">""</f>
        <v/>
      </c>
      <c r="O1020" s="292" t="str">
        <f aca="false">""</f>
        <v/>
      </c>
      <c r="P1020" s="292" t="str">
        <f aca="false">IF(ISBLANK('Стёкла серии Elephant'!$P$156),"",'Стёкла серии Elephant'!$P$156)</f>
        <v>шт.</v>
      </c>
      <c r="Q1020" s="292" t="n">
        <f aca="false">N('Стёкла серии Elephant'!$R$156)</f>
        <v>0</v>
      </c>
      <c r="R1020" s="299" t="n">
        <f aca="false">IF(ISBLANK('Стёкла серии Elephant'!$Q$156),"",'Стёкла серии Elephant'!$Q$156)</f>
        <v>122.32</v>
      </c>
      <c r="S1020" s="292" t="str">
        <f aca="false">IF(ISBLANK('Стёкла серии Elephant'!$S$156),"",'Стёкла серии Elephant'!$S$156)</f>
        <v/>
      </c>
    </row>
    <row r="1021" customFormat="false" ht="66" hidden="false" customHeight="true" outlineLevel="0" collapsed="false">
      <c r="A1021" s="291" t="str">
        <f aca="true">IF(ISNUMBER($J1021),INDIRECT("L"&amp;($J1021+4)),"")</f>
        <v/>
      </c>
      <c r="B1021" s="291" t="str">
        <f aca="true">IF(ISNUMBER($J1021),INDIRECT("M"&amp;($J1021+4)),"")</f>
        <v/>
      </c>
      <c r="C1021" s="296" t="str">
        <f aca="true">IF(ISNUMBER($J1021),INDIRECT("N"&amp;($J1021+4)),"")</f>
        <v/>
      </c>
      <c r="D1021" s="291" t="str">
        <f aca="true">IF(ISNUMBER($J1021),INDIRECT("O"&amp;($J1021+4)),"")</f>
        <v/>
      </c>
      <c r="E1021" s="291" t="str">
        <f aca="true">IF(ISNUMBER($J1021),INDIRECT("P"&amp;($J1021+4)),"")</f>
        <v/>
      </c>
      <c r="F1021" s="300" t="str">
        <f aca="true">IF(ISNUMBER($J1021),INDIRECT("Q"&amp;($J1021+4)),"")</f>
        <v/>
      </c>
      <c r="G1021" s="298" t="str">
        <f aca="true">IF(ISNUMBER($J1021),INDIRECT("R"&amp;($J1021+4)),"")</f>
        <v/>
      </c>
      <c r="H1021" s="298" t="str">
        <f aca="true">IF(ISNUMBER($J1021),INDIRECT("S"&amp;($J1021+4)),"")</f>
        <v/>
      </c>
      <c r="J1021" s="292" t="str">
        <f aca="true">IF(1017&lt;=$K$1,MATCH(1016.5,INDIRECT("$K$4:$K$1374"),1),"")</f>
        <v/>
      </c>
      <c r="K1021" s="292" t="n">
        <f aca="false">$K$900+COUNTIF($Q$901:Q1021,"&gt;0")</f>
        <v>0</v>
      </c>
      <c r="L1021" s="292" t="str">
        <f aca="false">"Стёкла серии Elephant"&amp;" · "&amp;'Стёкла серии Elephant'!$N$157</f>
        <v>Стёкла серии Elephant · Elephant</v>
      </c>
      <c r="M1021" s="292" t="str">
        <f aca="false">IF(ISBLANK('Стёкла серии Elephant'!$O$157),"",'Стёкла серии Elephant'!$O$157)</f>
        <v>iP13 /13 Pro</v>
      </c>
      <c r="N1021" s="292" t="str">
        <f aca="false">""</f>
        <v/>
      </c>
      <c r="O1021" s="292" t="str">
        <f aca="false">""</f>
        <v/>
      </c>
      <c r="P1021" s="292" t="str">
        <f aca="false">IF(ISBLANK('Стёкла серии Elephant'!$P$157),"",'Стёкла серии Elephant'!$P$157)</f>
        <v>шт.</v>
      </c>
      <c r="Q1021" s="292" t="n">
        <f aca="false">N('Стёкла серии Elephant'!$R$157)</f>
        <v>0</v>
      </c>
      <c r="R1021" s="299" t="n">
        <f aca="false">IF(ISBLANK('Стёкла серии Elephant'!$Q$157),"",'Стёкла серии Elephant'!$Q$157)</f>
        <v>122.32</v>
      </c>
      <c r="S1021" s="292" t="str">
        <f aca="false">IF(ISBLANK('Стёкла серии Elephant'!$S$157),"",'Стёкла серии Elephant'!$S$157)</f>
        <v/>
      </c>
    </row>
    <row r="1022" customFormat="false" ht="66" hidden="false" customHeight="true" outlineLevel="0" collapsed="false">
      <c r="A1022" s="291" t="str">
        <f aca="true">IF(ISNUMBER($J1022),INDIRECT("L"&amp;($J1022+4)),"")</f>
        <v/>
      </c>
      <c r="B1022" s="291" t="str">
        <f aca="true">IF(ISNUMBER($J1022),INDIRECT("M"&amp;($J1022+4)),"")</f>
        <v/>
      </c>
      <c r="C1022" s="296" t="str">
        <f aca="true">IF(ISNUMBER($J1022),INDIRECT("N"&amp;($J1022+4)),"")</f>
        <v/>
      </c>
      <c r="D1022" s="291" t="str">
        <f aca="true">IF(ISNUMBER($J1022),INDIRECT("O"&amp;($J1022+4)),"")</f>
        <v/>
      </c>
      <c r="E1022" s="291" t="str">
        <f aca="true">IF(ISNUMBER($J1022),INDIRECT("P"&amp;($J1022+4)),"")</f>
        <v/>
      </c>
      <c r="F1022" s="300" t="str">
        <f aca="true">IF(ISNUMBER($J1022),INDIRECT("Q"&amp;($J1022+4)),"")</f>
        <v/>
      </c>
      <c r="G1022" s="298" t="str">
        <f aca="true">IF(ISNUMBER($J1022),INDIRECT("R"&amp;($J1022+4)),"")</f>
        <v/>
      </c>
      <c r="H1022" s="298" t="str">
        <f aca="true">IF(ISNUMBER($J1022),INDIRECT("S"&amp;($J1022+4)),"")</f>
        <v/>
      </c>
      <c r="J1022" s="292" t="str">
        <f aca="true">IF(1018&lt;=$K$1,MATCH(1017.5,INDIRECT("$K$4:$K$1374"),1),"")</f>
        <v/>
      </c>
      <c r="K1022" s="292" t="n">
        <f aca="false">$K$900+COUNTIF($Q$901:Q1022,"&gt;0")</f>
        <v>0</v>
      </c>
      <c r="L1022" s="292" t="str">
        <f aca="false">"Стёкла серии Elephant"&amp;" · "&amp;'Стёкла серии Elephant'!$N$158</f>
        <v>Стёкла серии Elephant · Elephant</v>
      </c>
      <c r="M1022" s="292" t="str">
        <f aca="false">IF(ISBLANK('Стёкла серии Elephant'!$O$158),"",'Стёкла серии Elephant'!$O$158)</f>
        <v>Y9-2019/Enjoy9 Plus</v>
      </c>
      <c r="N1022" s="292" t="str">
        <f aca="false">""</f>
        <v/>
      </c>
      <c r="O1022" s="292" t="str">
        <f aca="false">""</f>
        <v/>
      </c>
      <c r="P1022" s="292" t="str">
        <f aca="false">IF(ISBLANK('Стёкла серии Elephant'!$P$158),"",'Стёкла серии Elephant'!$P$158)</f>
        <v>шт.</v>
      </c>
      <c r="Q1022" s="292" t="n">
        <f aca="false">N('Стёкла серии Elephant'!$R$158)</f>
        <v>0</v>
      </c>
      <c r="R1022" s="299" t="n">
        <f aca="false">IF(ISBLANK('Стёкла серии Elephant'!$Q$158),"",'Стёкла серии Elephant'!$Q$158)</f>
        <v>122.32</v>
      </c>
      <c r="S1022" s="292" t="str">
        <f aca="false">IF(ISBLANK('Стёкла серии Elephant'!$S$158),"",'Стёкла серии Elephant'!$S$158)</f>
        <v/>
      </c>
    </row>
    <row r="1023" customFormat="false" ht="66" hidden="false" customHeight="true" outlineLevel="0" collapsed="false">
      <c r="A1023" s="291" t="str">
        <f aca="true">IF(ISNUMBER($J1023),INDIRECT("L"&amp;($J1023+4)),"")</f>
        <v/>
      </c>
      <c r="B1023" s="291" t="str">
        <f aca="true">IF(ISNUMBER($J1023),INDIRECT("M"&amp;($J1023+4)),"")</f>
        <v/>
      </c>
      <c r="C1023" s="296" t="str">
        <f aca="true">IF(ISNUMBER($J1023),INDIRECT("N"&amp;($J1023+4)),"")</f>
        <v/>
      </c>
      <c r="D1023" s="291" t="str">
        <f aca="true">IF(ISNUMBER($J1023),INDIRECT("O"&amp;($J1023+4)),"")</f>
        <v/>
      </c>
      <c r="E1023" s="291" t="str">
        <f aca="true">IF(ISNUMBER($J1023),INDIRECT("P"&amp;($J1023+4)),"")</f>
        <v/>
      </c>
      <c r="F1023" s="300" t="str">
        <f aca="true">IF(ISNUMBER($J1023),INDIRECT("Q"&amp;($J1023+4)),"")</f>
        <v/>
      </c>
      <c r="G1023" s="298" t="str">
        <f aca="true">IF(ISNUMBER($J1023),INDIRECT("R"&amp;($J1023+4)),"")</f>
        <v/>
      </c>
      <c r="H1023" s="298" t="str">
        <f aca="true">IF(ISNUMBER($J1023),INDIRECT("S"&amp;($J1023+4)),"")</f>
        <v/>
      </c>
      <c r="J1023" s="292" t="str">
        <f aca="true">IF(1019&lt;=$K$1,MATCH(1018.5,INDIRECT("$K$4:$K$1374"),1),"")</f>
        <v/>
      </c>
      <c r="K1023" s="292" t="n">
        <f aca="false">$K$900+COUNTIF($Q$901:Q1023,"&gt;0")</f>
        <v>0</v>
      </c>
      <c r="L1023" s="292" t="str">
        <f aca="false">"Стёкла серии Elephant"&amp;" · "&amp;'Стёкла серии Elephant'!$N$159</f>
        <v>Стёкла серии Elephant · Elephant</v>
      </c>
      <c r="M1023" s="292" t="str">
        <f aca="false">IF(ISBLANK('Стёкла серии Elephant'!$O$159),"",'Стёкла серии Elephant'!$O$159)</f>
        <v>Honor 9X/9X Pro</v>
      </c>
      <c r="N1023" s="292" t="str">
        <f aca="false">""</f>
        <v/>
      </c>
      <c r="O1023" s="292" t="str">
        <f aca="false">""</f>
        <v/>
      </c>
      <c r="P1023" s="292" t="str">
        <f aca="false">IF(ISBLANK('Стёкла серии Elephant'!$P$159),"",'Стёкла серии Elephant'!$P$159)</f>
        <v>шт.</v>
      </c>
      <c r="Q1023" s="292" t="n">
        <f aca="false">N('Стёкла серии Elephant'!$R$159)</f>
        <v>0</v>
      </c>
      <c r="R1023" s="299" t="n">
        <f aca="false">IF(ISBLANK('Стёкла серии Elephant'!$Q$159),"",'Стёкла серии Elephant'!$Q$159)</f>
        <v>122.32</v>
      </c>
      <c r="S1023" s="292" t="str">
        <f aca="false">IF(ISBLANK('Стёкла серии Elephant'!$S$159),"",'Стёкла серии Elephant'!$S$159)</f>
        <v/>
      </c>
    </row>
    <row r="1024" customFormat="false" ht="66" hidden="false" customHeight="true" outlineLevel="0" collapsed="false">
      <c r="A1024" s="291" t="str">
        <f aca="true">IF(ISNUMBER($J1024),INDIRECT("L"&amp;($J1024+4)),"")</f>
        <v/>
      </c>
      <c r="B1024" s="291" t="str">
        <f aca="true">IF(ISNUMBER($J1024),INDIRECT("M"&amp;($J1024+4)),"")</f>
        <v/>
      </c>
      <c r="C1024" s="296" t="str">
        <f aca="true">IF(ISNUMBER($J1024),INDIRECT("N"&amp;($J1024+4)),"")</f>
        <v/>
      </c>
      <c r="D1024" s="291" t="str">
        <f aca="true">IF(ISNUMBER($J1024),INDIRECT("O"&amp;($J1024+4)),"")</f>
        <v/>
      </c>
      <c r="E1024" s="291" t="str">
        <f aca="true">IF(ISNUMBER($J1024),INDIRECT("P"&amp;($J1024+4)),"")</f>
        <v/>
      </c>
      <c r="F1024" s="300" t="str">
        <f aca="true">IF(ISNUMBER($J1024),INDIRECT("Q"&amp;($J1024+4)),"")</f>
        <v/>
      </c>
      <c r="G1024" s="298" t="str">
        <f aca="true">IF(ISNUMBER($J1024),INDIRECT("R"&amp;($J1024+4)),"")</f>
        <v/>
      </c>
      <c r="H1024" s="298" t="str">
        <f aca="true">IF(ISNUMBER($J1024),INDIRECT("S"&amp;($J1024+4)),"")</f>
        <v/>
      </c>
      <c r="J1024" s="292" t="str">
        <f aca="true">IF(1020&lt;=$K$1,MATCH(1019.5,INDIRECT("$K$4:$K$1374"),1),"")</f>
        <v/>
      </c>
      <c r="K1024" s="292" t="n">
        <f aca="false">$K$900+COUNTIF($Q$901:Q1024,"&gt;0")</f>
        <v>0</v>
      </c>
      <c r="L1024" s="292" t="str">
        <f aca="false">"Стёкла серии Elephant"&amp;" · "&amp;'Стёкла серии Elephant'!$N$160</f>
        <v>Стёкла серии Elephant · Elephant</v>
      </c>
      <c r="M1024" s="292" t="str">
        <f aca="false">IF(ISBLANK('Стёкла серии Elephant'!$O$160),"",'Стёкла серии Elephant'!$O$160)</f>
        <v>Redmi Note5 Pro/Note5 domestic edition</v>
      </c>
      <c r="N1024" s="292" t="str">
        <f aca="false">""</f>
        <v/>
      </c>
      <c r="O1024" s="292" t="str">
        <f aca="false">""</f>
        <v/>
      </c>
      <c r="P1024" s="292" t="str">
        <f aca="false">IF(ISBLANK('Стёкла серии Elephant'!$P$160),"",'Стёкла серии Elephant'!$P$160)</f>
        <v>шт.</v>
      </c>
      <c r="Q1024" s="292" t="n">
        <f aca="false">N('Стёкла серии Elephant'!$R$160)</f>
        <v>0</v>
      </c>
      <c r="R1024" s="299" t="n">
        <f aca="false">IF(ISBLANK('Стёкла серии Elephant'!$Q$160),"",'Стёкла серии Elephant'!$Q$160)</f>
        <v>122.32</v>
      </c>
      <c r="S1024" s="292" t="str">
        <f aca="false">IF(ISBLANK('Стёкла серии Elephant'!$S$160),"",'Стёкла серии Elephant'!$S$160)</f>
        <v/>
      </c>
    </row>
    <row r="1025" customFormat="false" ht="66" hidden="false" customHeight="true" outlineLevel="0" collapsed="false">
      <c r="A1025" s="291" t="str">
        <f aca="true">IF(ISNUMBER($J1025),INDIRECT("L"&amp;($J1025+4)),"")</f>
        <v/>
      </c>
      <c r="B1025" s="291" t="str">
        <f aca="true">IF(ISNUMBER($J1025),INDIRECT("M"&amp;($J1025+4)),"")</f>
        <v/>
      </c>
      <c r="C1025" s="296" t="str">
        <f aca="true">IF(ISNUMBER($J1025),INDIRECT("N"&amp;($J1025+4)),"")</f>
        <v/>
      </c>
      <c r="D1025" s="291" t="str">
        <f aca="true">IF(ISNUMBER($J1025),INDIRECT("O"&amp;($J1025+4)),"")</f>
        <v/>
      </c>
      <c r="E1025" s="291" t="str">
        <f aca="true">IF(ISNUMBER($J1025),INDIRECT("P"&amp;($J1025+4)),"")</f>
        <v/>
      </c>
      <c r="F1025" s="300" t="str">
        <f aca="true">IF(ISNUMBER($J1025),INDIRECT("Q"&amp;($J1025+4)),"")</f>
        <v/>
      </c>
      <c r="G1025" s="298" t="str">
        <f aca="true">IF(ISNUMBER($J1025),INDIRECT("R"&amp;($J1025+4)),"")</f>
        <v/>
      </c>
      <c r="H1025" s="298" t="str">
        <f aca="true">IF(ISNUMBER($J1025),INDIRECT("S"&amp;($J1025+4)),"")</f>
        <v/>
      </c>
      <c r="J1025" s="292" t="str">
        <f aca="true">IF(1021&lt;=$K$1,MATCH(1020.5,INDIRECT("$K$4:$K$1374"),1),"")</f>
        <v/>
      </c>
      <c r="K1025" s="292" t="n">
        <f aca="false">$K$900+COUNTIF($Q$901:Q1025,"&gt;0")</f>
        <v>0</v>
      </c>
      <c r="L1025" s="292" t="str">
        <f aca="false">"Стёкла серии Elephant"&amp;" · "&amp;'Стёкла серии Elephant'!$N$161</f>
        <v>Стёкла серии Elephant · Elephant</v>
      </c>
      <c r="M1025" s="292" t="str">
        <f aca="false">IF(ISBLANK('Стёкла серии Elephant'!$O$161),"",'Стёкла серии Elephant'!$O$161)</f>
        <v>REDMI NOTE 9 PRO</v>
      </c>
      <c r="N1025" s="292" t="str">
        <f aca="false">""</f>
        <v/>
      </c>
      <c r="O1025" s="292" t="str">
        <f aca="false">""</f>
        <v/>
      </c>
      <c r="P1025" s="292" t="str">
        <f aca="false">IF(ISBLANK('Стёкла серии Elephant'!$P$161),"",'Стёкла серии Elephant'!$P$161)</f>
        <v>шт.</v>
      </c>
      <c r="Q1025" s="292" t="n">
        <f aca="false">N('Стёкла серии Elephant'!$R$161)</f>
        <v>0</v>
      </c>
      <c r="R1025" s="299" t="n">
        <f aca="false">IF(ISBLANK('Стёкла серии Elephant'!$Q$161),"",'Стёкла серии Elephant'!$Q$161)</f>
        <v>122.32</v>
      </c>
      <c r="S1025" s="292" t="str">
        <f aca="false">IF(ISBLANK('Стёкла серии Elephant'!$S$161),"",'Стёкла серии Elephant'!$S$161)</f>
        <v/>
      </c>
    </row>
    <row r="1026" customFormat="false" ht="66" hidden="false" customHeight="true" outlineLevel="0" collapsed="false">
      <c r="A1026" s="291" t="str">
        <f aca="true">IF(ISNUMBER($J1026),INDIRECT("L"&amp;($J1026+4)),"")</f>
        <v/>
      </c>
      <c r="B1026" s="291" t="str">
        <f aca="true">IF(ISNUMBER($J1026),INDIRECT("M"&amp;($J1026+4)),"")</f>
        <v/>
      </c>
      <c r="C1026" s="296" t="str">
        <f aca="true">IF(ISNUMBER($J1026),INDIRECT("N"&amp;($J1026+4)),"")</f>
        <v/>
      </c>
      <c r="D1026" s="291" t="str">
        <f aca="true">IF(ISNUMBER($J1026),INDIRECT("O"&amp;($J1026+4)),"")</f>
        <v/>
      </c>
      <c r="E1026" s="291" t="str">
        <f aca="true">IF(ISNUMBER($J1026),INDIRECT("P"&amp;($J1026+4)),"")</f>
        <v/>
      </c>
      <c r="F1026" s="300" t="str">
        <f aca="true">IF(ISNUMBER($J1026),INDIRECT("Q"&amp;($J1026+4)),"")</f>
        <v/>
      </c>
      <c r="G1026" s="298" t="str">
        <f aca="true">IF(ISNUMBER($J1026),INDIRECT("R"&amp;($J1026+4)),"")</f>
        <v/>
      </c>
      <c r="H1026" s="298" t="str">
        <f aca="true">IF(ISNUMBER($J1026),INDIRECT("S"&amp;($J1026+4)),"")</f>
        <v/>
      </c>
      <c r="J1026" s="292" t="str">
        <f aca="true">IF(1022&lt;=$K$1,MATCH(1021.5,INDIRECT("$K$4:$K$1374"),1),"")</f>
        <v/>
      </c>
      <c r="K1026" s="292" t="n">
        <f aca="false">$K$900+COUNTIF($Q$901:Q1026,"&gt;0")</f>
        <v>0</v>
      </c>
      <c r="L1026" s="292" t="str">
        <f aca="false">"Стёкла серии Elephant"&amp;" · "&amp;'Стёкла серии Elephant'!$N$162</f>
        <v>Стёкла серии Elephant · Elephant</v>
      </c>
      <c r="M1026" s="292" t="str">
        <f aca="false">IF(ISBLANK('Стёкла серии Elephant'!$O$162),"",'Стёкла серии Elephant'!$O$162)</f>
        <v>S10 Lite（2020）</v>
      </c>
      <c r="N1026" s="292" t="str">
        <f aca="false">""</f>
        <v/>
      </c>
      <c r="O1026" s="292" t="str">
        <f aca="false">""</f>
        <v/>
      </c>
      <c r="P1026" s="292" t="str">
        <f aca="false">IF(ISBLANK('Стёкла серии Elephant'!$P$162),"",'Стёкла серии Elephant'!$P$162)</f>
        <v>шт.</v>
      </c>
      <c r="Q1026" s="292" t="n">
        <f aca="false">N('Стёкла серии Elephant'!$R$162)</f>
        <v>0</v>
      </c>
      <c r="R1026" s="299" t="n">
        <f aca="false">IF(ISBLANK('Стёкла серии Elephant'!$Q$162),"",'Стёкла серии Elephant'!$Q$162)</f>
        <v>122.32</v>
      </c>
      <c r="S1026" s="292" t="str">
        <f aca="false">IF(ISBLANK('Стёкла серии Elephant'!$S$162),"",'Стёкла серии Elephant'!$S$162)</f>
        <v/>
      </c>
    </row>
    <row r="1027" customFormat="false" ht="66" hidden="false" customHeight="true" outlineLevel="0" collapsed="false">
      <c r="A1027" s="291" t="str">
        <f aca="true">IF(ISNUMBER($J1027),INDIRECT("L"&amp;($J1027+4)),"")</f>
        <v/>
      </c>
      <c r="B1027" s="291" t="str">
        <f aca="true">IF(ISNUMBER($J1027),INDIRECT("M"&amp;($J1027+4)),"")</f>
        <v/>
      </c>
      <c r="C1027" s="296" t="str">
        <f aca="true">IF(ISNUMBER($J1027),INDIRECT("N"&amp;($J1027+4)),"")</f>
        <v/>
      </c>
      <c r="D1027" s="291" t="str">
        <f aca="true">IF(ISNUMBER($J1027),INDIRECT("O"&amp;($J1027+4)),"")</f>
        <v/>
      </c>
      <c r="E1027" s="291" t="str">
        <f aca="true">IF(ISNUMBER($J1027),INDIRECT("P"&amp;($J1027+4)),"")</f>
        <v/>
      </c>
      <c r="F1027" s="300" t="str">
        <f aca="true">IF(ISNUMBER($J1027),INDIRECT("Q"&amp;($J1027+4)),"")</f>
        <v/>
      </c>
      <c r="G1027" s="298" t="str">
        <f aca="true">IF(ISNUMBER($J1027),INDIRECT("R"&amp;($J1027+4)),"")</f>
        <v/>
      </c>
      <c r="H1027" s="298" t="str">
        <f aca="true">IF(ISNUMBER($J1027),INDIRECT("S"&amp;($J1027+4)),"")</f>
        <v/>
      </c>
      <c r="J1027" s="292" t="str">
        <f aca="true">IF(1023&lt;=$K$1,MATCH(1022.5,INDIRECT("$K$4:$K$1374"),1),"")</f>
        <v/>
      </c>
      <c r="K1027" s="292" t="n">
        <f aca="false">$K$900+COUNTIF($Q$901:Q1027,"&gt;0")</f>
        <v>0</v>
      </c>
      <c r="L1027" s="292" t="str">
        <f aca="false">"Стёкла серии Elephant"&amp;" · "&amp;'Стёкла серии Elephant'!$N$163</f>
        <v>Стёкла серии Elephant · Elephant</v>
      </c>
      <c r="M1027" s="292" t="str">
        <f aca="false">IF(ISBLANK('Стёкла серии Elephant'!$O$163),"",'Стёкла серии Elephant'!$O$163)</f>
        <v>Realme Q</v>
      </c>
      <c r="N1027" s="292" t="str">
        <f aca="false">""</f>
        <v/>
      </c>
      <c r="O1027" s="292" t="str">
        <f aca="false">""</f>
        <v/>
      </c>
      <c r="P1027" s="292" t="str">
        <f aca="false">IF(ISBLANK('Стёкла серии Elephant'!$P$163),"",'Стёкла серии Elephant'!$P$163)</f>
        <v>шт.</v>
      </c>
      <c r="Q1027" s="292" t="n">
        <f aca="false">N('Стёкла серии Elephant'!$R$163)</f>
        <v>0</v>
      </c>
      <c r="R1027" s="299" t="n">
        <f aca="false">IF(ISBLANK('Стёкла серии Elephant'!$Q$163),"",'Стёкла серии Elephant'!$Q$163)</f>
        <v>122.32</v>
      </c>
      <c r="S1027" s="292" t="str">
        <f aca="false">IF(ISBLANK('Стёкла серии Elephant'!$S$163),"",'Стёкла серии Elephant'!$S$163)</f>
        <v/>
      </c>
    </row>
    <row r="1028" customFormat="false" ht="66" hidden="false" customHeight="true" outlineLevel="0" collapsed="false">
      <c r="A1028" s="291" t="str">
        <f aca="true">IF(ISNUMBER($J1028),INDIRECT("L"&amp;($J1028+4)),"")</f>
        <v/>
      </c>
      <c r="B1028" s="291" t="str">
        <f aca="true">IF(ISNUMBER($J1028),INDIRECT("M"&amp;($J1028+4)),"")</f>
        <v/>
      </c>
      <c r="C1028" s="296" t="str">
        <f aca="true">IF(ISNUMBER($J1028),INDIRECT("N"&amp;($J1028+4)),"")</f>
        <v/>
      </c>
      <c r="D1028" s="291" t="str">
        <f aca="true">IF(ISNUMBER($J1028),INDIRECT("O"&amp;($J1028+4)),"")</f>
        <v/>
      </c>
      <c r="E1028" s="291" t="str">
        <f aca="true">IF(ISNUMBER($J1028),INDIRECT("P"&amp;($J1028+4)),"")</f>
        <v/>
      </c>
      <c r="F1028" s="300" t="str">
        <f aca="true">IF(ISNUMBER($J1028),INDIRECT("Q"&amp;($J1028+4)),"")</f>
        <v/>
      </c>
      <c r="G1028" s="298" t="str">
        <f aca="true">IF(ISNUMBER($J1028),INDIRECT("R"&amp;($J1028+4)),"")</f>
        <v/>
      </c>
      <c r="H1028" s="298" t="str">
        <f aca="true">IF(ISNUMBER($J1028),INDIRECT("S"&amp;($J1028+4)),"")</f>
        <v/>
      </c>
      <c r="J1028" s="292" t="str">
        <f aca="true">IF(1024&lt;=$K$1,MATCH(1023.5,INDIRECT("$K$4:$K$1374"),1),"")</f>
        <v/>
      </c>
      <c r="K1028" s="292" t="n">
        <f aca="false">$K$900+COUNTIF($Q$901:Q1028,"&gt;0")</f>
        <v>0</v>
      </c>
      <c r="L1028" s="292" t="str">
        <f aca="false">"Стёкла серии Elephant"&amp;" · "&amp;'Стёкла серии Elephant'!$N$164</f>
        <v>Стёкла серии Elephant · Elephant</v>
      </c>
      <c r="M1028" s="292" t="str">
        <f aca="false">IF(ISBLANK('Стёкла серии Elephant'!$O$164),"",'Стёкла серии Elephant'!$O$164)</f>
        <v>F15</v>
      </c>
      <c r="N1028" s="292" t="str">
        <f aca="false">""</f>
        <v/>
      </c>
      <c r="O1028" s="292" t="str">
        <f aca="false">""</f>
        <v/>
      </c>
      <c r="P1028" s="292" t="str">
        <f aca="false">IF(ISBLANK('Стёкла серии Elephant'!$P$164),"",'Стёкла серии Elephant'!$P$164)</f>
        <v>шт.</v>
      </c>
      <c r="Q1028" s="292" t="n">
        <f aca="false">N('Стёкла серии Elephant'!$R$164)</f>
        <v>0</v>
      </c>
      <c r="R1028" s="299" t="n">
        <f aca="false">IF(ISBLANK('Стёкла серии Elephant'!$Q$164),"",'Стёкла серии Elephant'!$Q$164)</f>
        <v>122.32</v>
      </c>
      <c r="S1028" s="292" t="str">
        <f aca="false">IF(ISBLANK('Стёкла серии Elephant'!$S$164),"",'Стёкла серии Elephant'!$S$164)</f>
        <v/>
      </c>
    </row>
    <row r="1029" customFormat="false" ht="66" hidden="false" customHeight="true" outlineLevel="0" collapsed="false">
      <c r="A1029" s="291" t="str">
        <f aca="true">IF(ISNUMBER($J1029),INDIRECT("L"&amp;($J1029+4)),"")</f>
        <v/>
      </c>
      <c r="B1029" s="291" t="str">
        <f aca="true">IF(ISNUMBER($J1029),INDIRECT("M"&amp;($J1029+4)),"")</f>
        <v/>
      </c>
      <c r="C1029" s="296" t="str">
        <f aca="true">IF(ISNUMBER($J1029),INDIRECT("N"&amp;($J1029+4)),"")</f>
        <v/>
      </c>
      <c r="D1029" s="291" t="str">
        <f aca="true">IF(ISNUMBER($J1029),INDIRECT("O"&amp;($J1029+4)),"")</f>
        <v/>
      </c>
      <c r="E1029" s="291" t="str">
        <f aca="true">IF(ISNUMBER($J1029),INDIRECT("P"&amp;($J1029+4)),"")</f>
        <v/>
      </c>
      <c r="F1029" s="300" t="str">
        <f aca="true">IF(ISNUMBER($J1029),INDIRECT("Q"&amp;($J1029+4)),"")</f>
        <v/>
      </c>
      <c r="G1029" s="298" t="str">
        <f aca="true">IF(ISNUMBER($J1029),INDIRECT("R"&amp;($J1029+4)),"")</f>
        <v/>
      </c>
      <c r="H1029" s="298" t="str">
        <f aca="true">IF(ISNUMBER($J1029),INDIRECT("S"&amp;($J1029+4)),"")</f>
        <v/>
      </c>
      <c r="J1029" s="292" t="str">
        <f aca="true">IF(1025&lt;=$K$1,MATCH(1024.5,INDIRECT("$K$4:$K$1374"),1),"")</f>
        <v/>
      </c>
      <c r="K1029" s="292" t="n">
        <f aca="false">$K$1028+COUNTIF($Q$1029:Q1029,"&gt;0")</f>
        <v>0</v>
      </c>
      <c r="L1029" s="292" t="str">
        <f aca="false">"Стёкла серии Elephant"&amp;" · "&amp;'Стёкла серии Elephant'!$N$165</f>
        <v>Стёкла серии Elephant · Elephant</v>
      </c>
      <c r="M1029" s="292" t="str">
        <f aca="false">IF(ISBLANK('Стёкла серии Elephant'!$O$165),"",'Стёкла серии Elephant'!$O$165)</f>
        <v>Y11-2019</v>
      </c>
      <c r="N1029" s="292" t="str">
        <f aca="false">""</f>
        <v/>
      </c>
      <c r="O1029" s="292" t="str">
        <f aca="false">""</f>
        <v/>
      </c>
      <c r="P1029" s="292" t="str">
        <f aca="false">IF(ISBLANK('Стёкла серии Elephant'!$P$165),"",'Стёкла серии Elephant'!$P$165)</f>
        <v>шт.</v>
      </c>
      <c r="Q1029" s="292" t="n">
        <f aca="false">N('Стёкла серии Elephant'!$R$165)</f>
        <v>0</v>
      </c>
      <c r="R1029" s="299" t="n">
        <f aca="false">IF(ISBLANK('Стёкла серии Elephant'!$Q$165),"",'Стёкла серии Elephant'!$Q$165)</f>
        <v>122.32</v>
      </c>
      <c r="S1029" s="292" t="str">
        <f aca="false">IF(ISBLANK('Стёкла серии Elephant'!$S$165),"",'Стёкла серии Elephant'!$S$165)</f>
        <v/>
      </c>
    </row>
    <row r="1030" customFormat="false" ht="66" hidden="false" customHeight="true" outlineLevel="0" collapsed="false">
      <c r="A1030" s="291" t="str">
        <f aca="true">IF(ISNUMBER($J1030),INDIRECT("L"&amp;($J1030+4)),"")</f>
        <v/>
      </c>
      <c r="B1030" s="291" t="str">
        <f aca="true">IF(ISNUMBER($J1030),INDIRECT("M"&amp;($J1030+4)),"")</f>
        <v/>
      </c>
      <c r="C1030" s="296" t="str">
        <f aca="true">IF(ISNUMBER($J1030),INDIRECT("N"&amp;($J1030+4)),"")</f>
        <v/>
      </c>
      <c r="D1030" s="291" t="str">
        <f aca="true">IF(ISNUMBER($J1030),INDIRECT("O"&amp;($J1030+4)),"")</f>
        <v/>
      </c>
      <c r="E1030" s="291" t="str">
        <f aca="true">IF(ISNUMBER($J1030),INDIRECT("P"&amp;($J1030+4)),"")</f>
        <v/>
      </c>
      <c r="F1030" s="300" t="str">
        <f aca="true">IF(ISNUMBER($J1030),INDIRECT("Q"&amp;($J1030+4)),"")</f>
        <v/>
      </c>
      <c r="G1030" s="298" t="str">
        <f aca="true">IF(ISNUMBER($J1030),INDIRECT("R"&amp;($J1030+4)),"")</f>
        <v/>
      </c>
      <c r="H1030" s="298" t="str">
        <f aca="true">IF(ISNUMBER($J1030),INDIRECT("S"&amp;($J1030+4)),"")</f>
        <v/>
      </c>
      <c r="J1030" s="292" t="str">
        <f aca="true">IF(1026&lt;=$K$1,MATCH(1025.5,INDIRECT("$K$4:$K$1374"),1),"")</f>
        <v/>
      </c>
      <c r="K1030" s="292" t="n">
        <f aca="false">$K$1028+COUNTIF($Q$1029:Q1030,"&gt;0")</f>
        <v>0</v>
      </c>
      <c r="L1030" s="292" t="str">
        <f aca="false">"Стёкла серии Elephant"&amp;" · "&amp;'Стёкла серии Elephant'!$N$166</f>
        <v>Стёкла серии Elephant · Elephant</v>
      </c>
      <c r="M1030" s="292" t="str">
        <f aca="false">IF(ISBLANK('Стёкла серии Elephant'!$O$166),"",'Стёкла серии Elephant'!$O$166)</f>
        <v>iP 13 Pro Max</v>
      </c>
      <c r="N1030" s="292" t="str">
        <f aca="false">""</f>
        <v/>
      </c>
      <c r="O1030" s="292" t="str">
        <f aca="false">""</f>
        <v/>
      </c>
      <c r="P1030" s="292" t="str">
        <f aca="false">IF(ISBLANK('Стёкла серии Elephant'!$P$166),"",'Стёкла серии Elephant'!$P$166)</f>
        <v>шт.</v>
      </c>
      <c r="Q1030" s="292" t="n">
        <f aca="false">N('Стёкла серии Elephant'!$R$166)</f>
        <v>0</v>
      </c>
      <c r="R1030" s="299" t="n">
        <f aca="false">IF(ISBLANK('Стёкла серии Elephant'!$Q$166),"",'Стёкла серии Elephant'!$Q$166)</f>
        <v>122.32</v>
      </c>
      <c r="S1030" s="292" t="str">
        <f aca="false">IF(ISBLANK('Стёкла серии Elephant'!$S$166),"",'Стёкла серии Elephant'!$S$166)</f>
        <v/>
      </c>
    </row>
    <row r="1031" customFormat="false" ht="66" hidden="false" customHeight="true" outlineLevel="0" collapsed="false">
      <c r="A1031" s="291" t="str">
        <f aca="true">IF(ISNUMBER($J1031),INDIRECT("L"&amp;($J1031+4)),"")</f>
        <v/>
      </c>
      <c r="B1031" s="291" t="str">
        <f aca="true">IF(ISNUMBER($J1031),INDIRECT("M"&amp;($J1031+4)),"")</f>
        <v/>
      </c>
      <c r="C1031" s="296" t="str">
        <f aca="true">IF(ISNUMBER($J1031),INDIRECT("N"&amp;($J1031+4)),"")</f>
        <v/>
      </c>
      <c r="D1031" s="291" t="str">
        <f aca="true">IF(ISNUMBER($J1031),INDIRECT("O"&amp;($J1031+4)),"")</f>
        <v/>
      </c>
      <c r="E1031" s="291" t="str">
        <f aca="true">IF(ISNUMBER($J1031),INDIRECT("P"&amp;($J1031+4)),"")</f>
        <v/>
      </c>
      <c r="F1031" s="300" t="str">
        <f aca="true">IF(ISNUMBER($J1031),INDIRECT("Q"&amp;($J1031+4)),"")</f>
        <v/>
      </c>
      <c r="G1031" s="298" t="str">
        <f aca="true">IF(ISNUMBER($J1031),INDIRECT("R"&amp;($J1031+4)),"")</f>
        <v/>
      </c>
      <c r="H1031" s="298" t="str">
        <f aca="true">IF(ISNUMBER($J1031),INDIRECT("S"&amp;($J1031+4)),"")</f>
        <v/>
      </c>
      <c r="J1031" s="292" t="str">
        <f aca="true">IF(1027&lt;=$K$1,MATCH(1026.5,INDIRECT("$K$4:$K$1374"),1),"")</f>
        <v/>
      </c>
      <c r="K1031" s="292" t="n">
        <f aca="false">$K$1028+COUNTIF($Q$1029:Q1031,"&gt;0")</f>
        <v>0</v>
      </c>
      <c r="L1031" s="292" t="str">
        <f aca="false">"Стёкла серии Elephant"&amp;" · "&amp;'Стёкла серии Elephant'!$N$167</f>
        <v>Стёкла серии Elephant · Elephant</v>
      </c>
      <c r="M1031" s="292" t="str">
        <f aca="false">IF(ISBLANK('Стёкла серии Elephant'!$O$167),"",'Стёкла серии Elephant'!$O$167)</f>
        <v>Y7/Y7pro/Y7prime-2019</v>
      </c>
      <c r="N1031" s="292" t="str">
        <f aca="false">""</f>
        <v/>
      </c>
      <c r="O1031" s="292" t="str">
        <f aca="false">""</f>
        <v/>
      </c>
      <c r="P1031" s="292" t="str">
        <f aca="false">IF(ISBLANK('Стёкла серии Elephant'!$P$167),"",'Стёкла серии Elephant'!$P$167)</f>
        <v>шт.</v>
      </c>
      <c r="Q1031" s="292" t="n">
        <f aca="false">N('Стёкла серии Elephant'!$R$167)</f>
        <v>0</v>
      </c>
      <c r="R1031" s="299" t="n">
        <f aca="false">IF(ISBLANK('Стёкла серии Elephant'!$Q$167),"",'Стёкла серии Elephant'!$Q$167)</f>
        <v>122.32</v>
      </c>
      <c r="S1031" s="292" t="str">
        <f aca="false">IF(ISBLANK('Стёкла серии Elephant'!$S$167),"",'Стёкла серии Elephant'!$S$167)</f>
        <v/>
      </c>
    </row>
    <row r="1032" customFormat="false" ht="66" hidden="false" customHeight="true" outlineLevel="0" collapsed="false">
      <c r="A1032" s="291" t="str">
        <f aca="true">IF(ISNUMBER($J1032),INDIRECT("L"&amp;($J1032+4)),"")</f>
        <v/>
      </c>
      <c r="B1032" s="291" t="str">
        <f aca="true">IF(ISNUMBER($J1032),INDIRECT("M"&amp;($J1032+4)),"")</f>
        <v/>
      </c>
      <c r="C1032" s="296" t="str">
        <f aca="true">IF(ISNUMBER($J1032),INDIRECT("N"&amp;($J1032+4)),"")</f>
        <v/>
      </c>
      <c r="D1032" s="291" t="str">
        <f aca="true">IF(ISNUMBER($J1032),INDIRECT("O"&amp;($J1032+4)),"")</f>
        <v/>
      </c>
      <c r="E1032" s="291" t="str">
        <f aca="true">IF(ISNUMBER($J1032),INDIRECT("P"&amp;($J1032+4)),"")</f>
        <v/>
      </c>
      <c r="F1032" s="300" t="str">
        <f aca="true">IF(ISNUMBER($J1032),INDIRECT("Q"&amp;($J1032+4)),"")</f>
        <v/>
      </c>
      <c r="G1032" s="298" t="str">
        <f aca="true">IF(ISNUMBER($J1032),INDIRECT("R"&amp;($J1032+4)),"")</f>
        <v/>
      </c>
      <c r="H1032" s="298" t="str">
        <f aca="true">IF(ISNUMBER($J1032),INDIRECT("S"&amp;($J1032+4)),"")</f>
        <v/>
      </c>
      <c r="J1032" s="292" t="str">
        <f aca="true">IF(1028&lt;=$K$1,MATCH(1027.5,INDIRECT("$K$4:$K$1374"),1),"")</f>
        <v/>
      </c>
      <c r="K1032" s="292" t="n">
        <f aca="false">$K$1028+COUNTIF($Q$1029:Q1032,"&gt;0")</f>
        <v>0</v>
      </c>
      <c r="L1032" s="292" t="str">
        <f aca="false">"Стёкла серии Elephant"&amp;" · "&amp;'Стёкла серии Elephant'!$N$168</f>
        <v>Стёкла серии Elephant · Elephant</v>
      </c>
      <c r="M1032" s="292" t="str">
        <f aca="false">IF(ISBLANK('Стёкла серии Elephant'!$O$168),"",'Стёкла серии Elephant'!$O$168)</f>
        <v>Honor X10</v>
      </c>
      <c r="N1032" s="292" t="str">
        <f aca="false">""</f>
        <v/>
      </c>
      <c r="O1032" s="292" t="str">
        <f aca="false">""</f>
        <v/>
      </c>
      <c r="P1032" s="292" t="str">
        <f aca="false">IF(ISBLANK('Стёкла серии Elephant'!$P$168),"",'Стёкла серии Elephant'!$P$168)</f>
        <v>шт.</v>
      </c>
      <c r="Q1032" s="292" t="n">
        <f aca="false">N('Стёкла серии Elephant'!$R$168)</f>
        <v>0</v>
      </c>
      <c r="R1032" s="299" t="n">
        <f aca="false">IF(ISBLANK('Стёкла серии Elephant'!$Q$168),"",'Стёкла серии Elephant'!$Q$168)</f>
        <v>122.32</v>
      </c>
      <c r="S1032" s="292" t="str">
        <f aca="false">IF(ISBLANK('Стёкла серии Elephant'!$S$168),"",'Стёкла серии Elephant'!$S$168)</f>
        <v/>
      </c>
    </row>
    <row r="1033" customFormat="false" ht="66" hidden="false" customHeight="true" outlineLevel="0" collapsed="false">
      <c r="A1033" s="291" t="str">
        <f aca="true">IF(ISNUMBER($J1033),INDIRECT("L"&amp;($J1033+4)),"")</f>
        <v/>
      </c>
      <c r="B1033" s="291" t="str">
        <f aca="true">IF(ISNUMBER($J1033),INDIRECT("M"&amp;($J1033+4)),"")</f>
        <v/>
      </c>
      <c r="C1033" s="296" t="str">
        <f aca="true">IF(ISNUMBER($J1033),INDIRECT("N"&amp;($J1033+4)),"")</f>
        <v/>
      </c>
      <c r="D1033" s="291" t="str">
        <f aca="true">IF(ISNUMBER($J1033),INDIRECT("O"&amp;($J1033+4)),"")</f>
        <v/>
      </c>
      <c r="E1033" s="291" t="str">
        <f aca="true">IF(ISNUMBER($J1033),INDIRECT("P"&amp;($J1033+4)),"")</f>
        <v/>
      </c>
      <c r="F1033" s="300" t="str">
        <f aca="true">IF(ISNUMBER($J1033),INDIRECT("Q"&amp;($J1033+4)),"")</f>
        <v/>
      </c>
      <c r="G1033" s="298" t="str">
        <f aca="true">IF(ISNUMBER($J1033),INDIRECT("R"&amp;($J1033+4)),"")</f>
        <v/>
      </c>
      <c r="H1033" s="298" t="str">
        <f aca="true">IF(ISNUMBER($J1033),INDIRECT("S"&amp;($J1033+4)),"")</f>
        <v/>
      </c>
      <c r="J1033" s="292" t="str">
        <f aca="true">IF(1029&lt;=$K$1,MATCH(1028.5,INDIRECT("$K$4:$K$1374"),1),"")</f>
        <v/>
      </c>
      <c r="K1033" s="292" t="n">
        <f aca="false">$K$1028+COUNTIF($Q$1029:Q1033,"&gt;0")</f>
        <v>0</v>
      </c>
      <c r="L1033" s="292" t="str">
        <f aca="false">"Стёкла серии Elephant"&amp;" · "&amp;'Стёкла серии Elephant'!$N$169</f>
        <v>Стёкла серии Elephant · Elephant</v>
      </c>
      <c r="M1033" s="292" t="str">
        <f aca="false">IF(ISBLANK('Стёкла серии Elephant'!$O$169),"",'Стёкла серии Elephant'!$O$169)</f>
        <v>Redmi Y3</v>
      </c>
      <c r="N1033" s="292" t="str">
        <f aca="false">""</f>
        <v/>
      </c>
      <c r="O1033" s="292" t="str">
        <f aca="false">""</f>
        <v/>
      </c>
      <c r="P1033" s="292" t="str">
        <f aca="false">IF(ISBLANK('Стёкла серии Elephant'!$P$169),"",'Стёкла серии Elephant'!$P$169)</f>
        <v>шт.</v>
      </c>
      <c r="Q1033" s="292" t="n">
        <f aca="false">N('Стёкла серии Elephant'!$R$169)</f>
        <v>0</v>
      </c>
      <c r="R1033" s="299" t="n">
        <f aca="false">IF(ISBLANK('Стёкла серии Elephant'!$Q$169),"",'Стёкла серии Elephant'!$Q$169)</f>
        <v>122.32</v>
      </c>
      <c r="S1033" s="292" t="str">
        <f aca="false">IF(ISBLANK('Стёкла серии Elephant'!$S$169),"",'Стёкла серии Elephant'!$S$169)</f>
        <v/>
      </c>
    </row>
    <row r="1034" customFormat="false" ht="66" hidden="false" customHeight="true" outlineLevel="0" collapsed="false">
      <c r="A1034" s="291" t="str">
        <f aca="true">IF(ISNUMBER($J1034),INDIRECT("L"&amp;($J1034+4)),"")</f>
        <v/>
      </c>
      <c r="B1034" s="291" t="str">
        <f aca="true">IF(ISNUMBER($J1034),INDIRECT("M"&amp;($J1034+4)),"")</f>
        <v/>
      </c>
      <c r="C1034" s="296" t="str">
        <f aca="true">IF(ISNUMBER($J1034),INDIRECT("N"&amp;($J1034+4)),"")</f>
        <v/>
      </c>
      <c r="D1034" s="291" t="str">
        <f aca="true">IF(ISNUMBER($J1034),INDIRECT("O"&amp;($J1034+4)),"")</f>
        <v/>
      </c>
      <c r="E1034" s="291" t="str">
        <f aca="true">IF(ISNUMBER($J1034),INDIRECT("P"&amp;($J1034+4)),"")</f>
        <v/>
      </c>
      <c r="F1034" s="300" t="str">
        <f aca="true">IF(ISNUMBER($J1034),INDIRECT("Q"&amp;($J1034+4)),"")</f>
        <v/>
      </c>
      <c r="G1034" s="298" t="str">
        <f aca="true">IF(ISNUMBER($J1034),INDIRECT("R"&amp;($J1034+4)),"")</f>
        <v/>
      </c>
      <c r="H1034" s="298" t="str">
        <f aca="true">IF(ISNUMBER($J1034),INDIRECT("S"&amp;($J1034+4)),"")</f>
        <v/>
      </c>
      <c r="J1034" s="292" t="str">
        <f aca="true">IF(1030&lt;=$K$1,MATCH(1029.5,INDIRECT("$K$4:$K$1374"),1),"")</f>
        <v/>
      </c>
      <c r="K1034" s="292" t="n">
        <f aca="false">$K$1028+COUNTIF($Q$1029:Q1034,"&gt;0")</f>
        <v>0</v>
      </c>
      <c r="L1034" s="292" t="str">
        <f aca="false">"Стёкла серии Elephant"&amp;" · "&amp;'Стёкла серии Elephant'!$N$170</f>
        <v>Стёкла серии Elephant · Elephant</v>
      </c>
      <c r="M1034" s="292" t="str">
        <f aca="false">IF(ISBLANK('Стёкла серии Elephant'!$O$170),"",'Стёкла серии Elephant'!$O$170)</f>
        <v>REDMI NOTE 9 PRO MAX</v>
      </c>
      <c r="N1034" s="292" t="str">
        <f aca="false">""</f>
        <v/>
      </c>
      <c r="O1034" s="292" t="str">
        <f aca="false">""</f>
        <v/>
      </c>
      <c r="P1034" s="292" t="str">
        <f aca="false">IF(ISBLANK('Стёкла серии Elephant'!$P$170),"",'Стёкла серии Elephant'!$P$170)</f>
        <v>шт.</v>
      </c>
      <c r="Q1034" s="292" t="n">
        <f aca="false">N('Стёкла серии Elephant'!$R$170)</f>
        <v>0</v>
      </c>
      <c r="R1034" s="299" t="n">
        <f aca="false">IF(ISBLANK('Стёкла серии Elephant'!$Q$170),"",'Стёкла серии Elephant'!$Q$170)</f>
        <v>122.32</v>
      </c>
      <c r="S1034" s="292" t="str">
        <f aca="false">IF(ISBLANK('Стёкла серии Elephant'!$S$170),"",'Стёкла серии Elephant'!$S$170)</f>
        <v/>
      </c>
    </row>
    <row r="1035" customFormat="false" ht="66" hidden="false" customHeight="true" outlineLevel="0" collapsed="false">
      <c r="A1035" s="291" t="str">
        <f aca="true">IF(ISNUMBER($J1035),INDIRECT("L"&amp;($J1035+4)),"")</f>
        <v/>
      </c>
      <c r="B1035" s="291" t="str">
        <f aca="true">IF(ISNUMBER($J1035),INDIRECT("M"&amp;($J1035+4)),"")</f>
        <v/>
      </c>
      <c r="C1035" s="296" t="str">
        <f aca="true">IF(ISNUMBER($J1035),INDIRECT("N"&amp;($J1035+4)),"")</f>
        <v/>
      </c>
      <c r="D1035" s="291" t="str">
        <f aca="true">IF(ISNUMBER($J1035),INDIRECT("O"&amp;($J1035+4)),"")</f>
        <v/>
      </c>
      <c r="E1035" s="291" t="str">
        <f aca="true">IF(ISNUMBER($J1035),INDIRECT("P"&amp;($J1035+4)),"")</f>
        <v/>
      </c>
      <c r="F1035" s="300" t="str">
        <f aca="true">IF(ISNUMBER($J1035),INDIRECT("Q"&amp;($J1035+4)),"")</f>
        <v/>
      </c>
      <c r="G1035" s="298" t="str">
        <f aca="true">IF(ISNUMBER($J1035),INDIRECT("R"&amp;($J1035+4)),"")</f>
        <v/>
      </c>
      <c r="H1035" s="298" t="str">
        <f aca="true">IF(ISNUMBER($J1035),INDIRECT("S"&amp;($J1035+4)),"")</f>
        <v/>
      </c>
      <c r="J1035" s="292" t="str">
        <f aca="true">IF(1031&lt;=$K$1,MATCH(1030.5,INDIRECT("$K$4:$K$1374"),1),"")</f>
        <v/>
      </c>
      <c r="K1035" s="292" t="n">
        <f aca="false">$K$1028+COUNTIF($Q$1029:Q1035,"&gt;0")</f>
        <v>0</v>
      </c>
      <c r="L1035" s="292" t="str">
        <f aca="false">"Стёкла серии Elephant"&amp;" · "&amp;'Стёкла серии Elephant'!$N$171</f>
        <v>Стёкла серии Elephant · Elephant</v>
      </c>
      <c r="M1035" s="292" t="str">
        <f aca="false">IF(ISBLANK('Стёкла серии Elephant'!$O$171),"",'Стёкла серии Elephant'!$O$171)</f>
        <v>S10E/S10 Lite (老款)</v>
      </c>
      <c r="N1035" s="292" t="str">
        <f aca="false">""</f>
        <v/>
      </c>
      <c r="O1035" s="292" t="str">
        <f aca="false">""</f>
        <v/>
      </c>
      <c r="P1035" s="292" t="str">
        <f aca="false">IF(ISBLANK('Стёкла серии Elephant'!$P$171),"",'Стёкла серии Elephant'!$P$171)</f>
        <v>шт.</v>
      </c>
      <c r="Q1035" s="292" t="n">
        <f aca="false">N('Стёкла серии Elephant'!$R$171)</f>
        <v>0</v>
      </c>
      <c r="R1035" s="299" t="n">
        <f aca="false">IF(ISBLANK('Стёкла серии Elephant'!$Q$171),"",'Стёкла серии Elephant'!$Q$171)</f>
        <v>122.32</v>
      </c>
      <c r="S1035" s="292" t="str">
        <f aca="false">IF(ISBLANK('Стёкла серии Elephant'!$S$171),"",'Стёкла серии Elephant'!$S$171)</f>
        <v/>
      </c>
    </row>
    <row r="1036" customFormat="false" ht="66" hidden="false" customHeight="true" outlineLevel="0" collapsed="false">
      <c r="A1036" s="291" t="str">
        <f aca="true">IF(ISNUMBER($J1036),INDIRECT("L"&amp;($J1036+4)),"")</f>
        <v/>
      </c>
      <c r="B1036" s="291" t="str">
        <f aca="true">IF(ISNUMBER($J1036),INDIRECT("M"&amp;($J1036+4)),"")</f>
        <v/>
      </c>
      <c r="C1036" s="296" t="str">
        <f aca="true">IF(ISNUMBER($J1036),INDIRECT("N"&amp;($J1036+4)),"")</f>
        <v/>
      </c>
      <c r="D1036" s="291" t="str">
        <f aca="true">IF(ISNUMBER($J1036),INDIRECT("O"&amp;($J1036+4)),"")</f>
        <v/>
      </c>
      <c r="E1036" s="291" t="str">
        <f aca="true">IF(ISNUMBER($J1036),INDIRECT("P"&amp;($J1036+4)),"")</f>
        <v/>
      </c>
      <c r="F1036" s="300" t="str">
        <f aca="true">IF(ISNUMBER($J1036),INDIRECT("Q"&amp;($J1036+4)),"")</f>
        <v/>
      </c>
      <c r="G1036" s="298" t="str">
        <f aca="true">IF(ISNUMBER($J1036),INDIRECT("R"&amp;($J1036+4)),"")</f>
        <v/>
      </c>
      <c r="H1036" s="298" t="str">
        <f aca="true">IF(ISNUMBER($J1036),INDIRECT("S"&amp;($J1036+4)),"")</f>
        <v/>
      </c>
      <c r="J1036" s="292" t="str">
        <f aca="true">IF(1032&lt;=$K$1,MATCH(1031.5,INDIRECT("$K$4:$K$1374"),1),"")</f>
        <v/>
      </c>
      <c r="K1036" s="292" t="n">
        <f aca="false">$K$1028+COUNTIF($Q$1029:Q1036,"&gt;0")</f>
        <v>0</v>
      </c>
      <c r="L1036" s="292" t="str">
        <f aca="false">"Стёкла серии Elephant"&amp;" · "&amp;'Стёкла серии Elephant'!$N$172</f>
        <v>Стёкла серии Elephant · Elephant</v>
      </c>
      <c r="M1036" s="292" t="str">
        <f aca="false">IF(ISBLANK('Стёкла серии Elephant'!$O$172),"",'Стёкла серии Elephant'!$O$172)</f>
        <v>Realme X3 Superzoom</v>
      </c>
      <c r="N1036" s="292" t="str">
        <f aca="false">""</f>
        <v/>
      </c>
      <c r="O1036" s="292" t="str">
        <f aca="false">""</f>
        <v/>
      </c>
      <c r="P1036" s="292" t="str">
        <f aca="false">IF(ISBLANK('Стёкла серии Elephant'!$P$172),"",'Стёкла серии Elephant'!$P$172)</f>
        <v>шт.</v>
      </c>
      <c r="Q1036" s="292" t="n">
        <f aca="false">N('Стёкла серии Elephant'!$R$172)</f>
        <v>0</v>
      </c>
      <c r="R1036" s="299" t="n">
        <f aca="false">IF(ISBLANK('Стёкла серии Elephant'!$Q$172),"",'Стёкла серии Elephant'!$Q$172)</f>
        <v>122.32</v>
      </c>
      <c r="S1036" s="292" t="str">
        <f aca="false">IF(ISBLANK('Стёкла серии Elephant'!$S$172),"",'Стёкла серии Elephant'!$S$172)</f>
        <v/>
      </c>
    </row>
    <row r="1037" customFormat="false" ht="66" hidden="false" customHeight="true" outlineLevel="0" collapsed="false">
      <c r="A1037" s="291" t="str">
        <f aca="true">IF(ISNUMBER($J1037),INDIRECT("L"&amp;($J1037+4)),"")</f>
        <v/>
      </c>
      <c r="B1037" s="291" t="str">
        <f aca="true">IF(ISNUMBER($J1037),INDIRECT("M"&amp;($J1037+4)),"")</f>
        <v/>
      </c>
      <c r="C1037" s="296" t="str">
        <f aca="true">IF(ISNUMBER($J1037),INDIRECT("N"&amp;($J1037+4)),"")</f>
        <v/>
      </c>
      <c r="D1037" s="291" t="str">
        <f aca="true">IF(ISNUMBER($J1037),INDIRECT("O"&amp;($J1037+4)),"")</f>
        <v/>
      </c>
      <c r="E1037" s="291" t="str">
        <f aca="true">IF(ISNUMBER($J1037),INDIRECT("P"&amp;($J1037+4)),"")</f>
        <v/>
      </c>
      <c r="F1037" s="300" t="str">
        <f aca="true">IF(ISNUMBER($J1037),INDIRECT("Q"&amp;($J1037+4)),"")</f>
        <v/>
      </c>
      <c r="G1037" s="298" t="str">
        <f aca="true">IF(ISNUMBER($J1037),INDIRECT("R"&amp;($J1037+4)),"")</f>
        <v/>
      </c>
      <c r="H1037" s="298" t="str">
        <f aca="true">IF(ISNUMBER($J1037),INDIRECT("S"&amp;($J1037+4)),"")</f>
        <v/>
      </c>
      <c r="J1037" s="292" t="str">
        <f aca="true">IF(1033&lt;=$K$1,MATCH(1032.5,INDIRECT("$K$4:$K$1374"),1),"")</f>
        <v/>
      </c>
      <c r="K1037" s="292" t="n">
        <f aca="false">$K$1028+COUNTIF($Q$1029:Q1037,"&gt;0")</f>
        <v>0</v>
      </c>
      <c r="L1037" s="292" t="str">
        <f aca="false">"Стёкла серии Elephant"&amp;" · "&amp;'Стёкла серии Elephant'!$N$173</f>
        <v>Стёкла серии Elephant · Elephant</v>
      </c>
      <c r="M1037" s="292" t="str">
        <f aca="false">IF(ISBLANK('Стёкла серии Elephant'!$O$173),"",'Стёкла серии Elephant'!$O$173)</f>
        <v>F17 PRO/F19 PRO/A94</v>
      </c>
      <c r="N1037" s="292" t="str">
        <f aca="false">""</f>
        <v/>
      </c>
      <c r="O1037" s="292" t="str">
        <f aca="false">""</f>
        <v/>
      </c>
      <c r="P1037" s="292" t="str">
        <f aca="false">IF(ISBLANK('Стёкла серии Elephant'!$P$173),"",'Стёкла серии Elephant'!$P$173)</f>
        <v>шт.</v>
      </c>
      <c r="Q1037" s="292" t="n">
        <f aca="false">N('Стёкла серии Elephant'!$R$173)</f>
        <v>0</v>
      </c>
      <c r="R1037" s="299" t="n">
        <f aca="false">IF(ISBLANK('Стёкла серии Elephant'!$Q$173),"",'Стёкла серии Elephant'!$Q$173)</f>
        <v>122.32</v>
      </c>
      <c r="S1037" s="292" t="str">
        <f aca="false">IF(ISBLANK('Стёкла серии Elephant'!$S$173),"",'Стёкла серии Elephant'!$S$173)</f>
        <v/>
      </c>
    </row>
    <row r="1038" customFormat="false" ht="66" hidden="false" customHeight="true" outlineLevel="0" collapsed="false">
      <c r="A1038" s="291" t="str">
        <f aca="true">IF(ISNUMBER($J1038),INDIRECT("L"&amp;($J1038+4)),"")</f>
        <v/>
      </c>
      <c r="B1038" s="291" t="str">
        <f aca="true">IF(ISNUMBER($J1038),INDIRECT("M"&amp;($J1038+4)),"")</f>
        <v/>
      </c>
      <c r="C1038" s="296" t="str">
        <f aca="true">IF(ISNUMBER($J1038),INDIRECT("N"&amp;($J1038+4)),"")</f>
        <v/>
      </c>
      <c r="D1038" s="291" t="str">
        <f aca="true">IF(ISNUMBER($J1038),INDIRECT("O"&amp;($J1038+4)),"")</f>
        <v/>
      </c>
      <c r="E1038" s="291" t="str">
        <f aca="true">IF(ISNUMBER($J1038),INDIRECT("P"&amp;($J1038+4)),"")</f>
        <v/>
      </c>
      <c r="F1038" s="300" t="str">
        <f aca="true">IF(ISNUMBER($J1038),INDIRECT("Q"&amp;($J1038+4)),"")</f>
        <v/>
      </c>
      <c r="G1038" s="298" t="str">
        <f aca="true">IF(ISNUMBER($J1038),INDIRECT("R"&amp;($J1038+4)),"")</f>
        <v/>
      </c>
      <c r="H1038" s="298" t="str">
        <f aca="true">IF(ISNUMBER($J1038),INDIRECT("S"&amp;($J1038+4)),"")</f>
        <v/>
      </c>
      <c r="J1038" s="292" t="str">
        <f aca="true">IF(1034&lt;=$K$1,MATCH(1033.5,INDIRECT("$K$4:$K$1374"),1),"")</f>
        <v/>
      </c>
      <c r="K1038" s="292" t="n">
        <f aca="false">$K$1028+COUNTIF($Q$1029:Q1038,"&gt;0")</f>
        <v>0</v>
      </c>
      <c r="L1038" s="292" t="str">
        <f aca="false">"Стёкла серии Elephant"&amp;" · "&amp;'Стёкла серии Elephant'!$N$174</f>
        <v>Стёкла серии Elephant · Elephant</v>
      </c>
      <c r="M1038" s="292" t="str">
        <f aca="false">IF(ISBLANK('Стёкла серии Elephant'!$O$174),"",'Стёкла серии Elephant'!$O$174)</f>
        <v>Y12</v>
      </c>
      <c r="N1038" s="292" t="str">
        <f aca="false">""</f>
        <v/>
      </c>
      <c r="O1038" s="292" t="str">
        <f aca="false">""</f>
        <v/>
      </c>
      <c r="P1038" s="292" t="str">
        <f aca="false">IF(ISBLANK('Стёкла серии Elephant'!$P$174),"",'Стёкла серии Elephant'!$P$174)</f>
        <v>шт.</v>
      </c>
      <c r="Q1038" s="292" t="n">
        <f aca="false">N('Стёкла серии Elephant'!$R$174)</f>
        <v>0</v>
      </c>
      <c r="R1038" s="299" t="n">
        <f aca="false">IF(ISBLANK('Стёкла серии Elephant'!$Q$174),"",'Стёкла серии Elephant'!$Q$174)</f>
        <v>122.32</v>
      </c>
      <c r="S1038" s="292" t="str">
        <f aca="false">IF(ISBLANK('Стёкла серии Elephant'!$S$174),"",'Стёкла серии Elephant'!$S$174)</f>
        <v/>
      </c>
    </row>
    <row r="1039" customFormat="false" ht="66" hidden="false" customHeight="true" outlineLevel="0" collapsed="false">
      <c r="A1039" s="291" t="str">
        <f aca="true">IF(ISNUMBER($J1039),INDIRECT("L"&amp;($J1039+4)),"")</f>
        <v/>
      </c>
      <c r="B1039" s="291" t="str">
        <f aca="true">IF(ISNUMBER($J1039),INDIRECT("M"&amp;($J1039+4)),"")</f>
        <v/>
      </c>
      <c r="C1039" s="296" t="str">
        <f aca="true">IF(ISNUMBER($J1039),INDIRECT("N"&amp;($J1039+4)),"")</f>
        <v/>
      </c>
      <c r="D1039" s="291" t="str">
        <f aca="true">IF(ISNUMBER($J1039),INDIRECT("O"&amp;($J1039+4)),"")</f>
        <v/>
      </c>
      <c r="E1039" s="291" t="str">
        <f aca="true">IF(ISNUMBER($J1039),INDIRECT("P"&amp;($J1039+4)),"")</f>
        <v/>
      </c>
      <c r="F1039" s="300" t="str">
        <f aca="true">IF(ISNUMBER($J1039),INDIRECT("Q"&amp;($J1039+4)),"")</f>
        <v/>
      </c>
      <c r="G1039" s="298" t="str">
        <f aca="true">IF(ISNUMBER($J1039),INDIRECT("R"&amp;($J1039+4)),"")</f>
        <v/>
      </c>
      <c r="H1039" s="298" t="str">
        <f aca="true">IF(ISNUMBER($J1039),INDIRECT("S"&amp;($J1039+4)),"")</f>
        <v/>
      </c>
      <c r="J1039" s="292" t="str">
        <f aca="true">IF(1035&lt;=$K$1,MATCH(1034.5,INDIRECT("$K$4:$K$1374"),1),"")</f>
        <v/>
      </c>
      <c r="K1039" s="292" t="n">
        <f aca="false">$K$1028+COUNTIF($Q$1029:Q1039,"&gt;0")</f>
        <v>0</v>
      </c>
      <c r="L1039" s="292" t="str">
        <f aca="false">"Стёкла серии Elephant"&amp;" · "&amp;'Стёкла серии Elephant'!$N$175</f>
        <v>Стёкла серии Elephant · Elephant</v>
      </c>
      <c r="M1039" s="292" t="str">
        <f aca="false">IF(ISBLANK('Стёкла серии Elephant'!$O$175),"",'Стёкла серии Elephant'!$O$175)</f>
        <v>iP 14 6.1</v>
      </c>
      <c r="N1039" s="292" t="str">
        <f aca="false">""</f>
        <v/>
      </c>
      <c r="O1039" s="292" t="str">
        <f aca="false">""</f>
        <v/>
      </c>
      <c r="P1039" s="292" t="str">
        <f aca="false">IF(ISBLANK('Стёкла серии Elephant'!$P$175),"",'Стёкла серии Elephant'!$P$175)</f>
        <v>шт.</v>
      </c>
      <c r="Q1039" s="292" t="n">
        <f aca="false">N('Стёкла серии Elephant'!$R$175)</f>
        <v>0</v>
      </c>
      <c r="R1039" s="299" t="n">
        <f aca="false">IF(ISBLANK('Стёкла серии Elephant'!$Q$175),"",'Стёкла серии Elephant'!$Q$175)</f>
        <v>122.32</v>
      </c>
      <c r="S1039" s="292" t="str">
        <f aca="false">IF(ISBLANK('Стёкла серии Elephant'!$S$175),"",'Стёкла серии Elephant'!$S$175)</f>
        <v/>
      </c>
    </row>
    <row r="1040" customFormat="false" ht="66" hidden="false" customHeight="true" outlineLevel="0" collapsed="false">
      <c r="A1040" s="291" t="str">
        <f aca="true">IF(ISNUMBER($J1040),INDIRECT("L"&amp;($J1040+4)),"")</f>
        <v/>
      </c>
      <c r="B1040" s="291" t="str">
        <f aca="true">IF(ISNUMBER($J1040),INDIRECT("M"&amp;($J1040+4)),"")</f>
        <v/>
      </c>
      <c r="C1040" s="296" t="str">
        <f aca="true">IF(ISNUMBER($J1040),INDIRECT("N"&amp;($J1040+4)),"")</f>
        <v/>
      </c>
      <c r="D1040" s="291" t="str">
        <f aca="true">IF(ISNUMBER($J1040),INDIRECT("O"&amp;($J1040+4)),"")</f>
        <v/>
      </c>
      <c r="E1040" s="291" t="str">
        <f aca="true">IF(ISNUMBER($J1040),INDIRECT("P"&amp;($J1040+4)),"")</f>
        <v/>
      </c>
      <c r="F1040" s="300" t="str">
        <f aca="true">IF(ISNUMBER($J1040),INDIRECT("Q"&amp;($J1040+4)),"")</f>
        <v/>
      </c>
      <c r="G1040" s="298" t="str">
        <f aca="true">IF(ISNUMBER($J1040),INDIRECT("R"&amp;($J1040+4)),"")</f>
        <v/>
      </c>
      <c r="H1040" s="298" t="str">
        <f aca="true">IF(ISNUMBER($J1040),INDIRECT("S"&amp;($J1040+4)),"")</f>
        <v/>
      </c>
      <c r="J1040" s="292" t="str">
        <f aca="true">IF(1036&lt;=$K$1,MATCH(1035.5,INDIRECT("$K$4:$K$1374"),1),"")</f>
        <v/>
      </c>
      <c r="K1040" s="292" t="n">
        <f aca="false">$K$1028+COUNTIF($Q$1029:Q1040,"&gt;0")</f>
        <v>0</v>
      </c>
      <c r="L1040" s="292" t="str">
        <f aca="false">"Стёкла серии Elephant"&amp;" · "&amp;'Стёкла серии Elephant'!$N$176</f>
        <v>Стёкла серии Elephant · Elephant</v>
      </c>
      <c r="M1040" s="292" t="str">
        <f aca="false">IF(ISBLANK('Стёкла серии Elephant'!$O$176),"",'Стёкла серии Elephant'!$O$176)</f>
        <v>Y6/Y6pro/Y6prime-2019</v>
      </c>
      <c r="N1040" s="292" t="str">
        <f aca="false">""</f>
        <v/>
      </c>
      <c r="O1040" s="292" t="str">
        <f aca="false">""</f>
        <v/>
      </c>
      <c r="P1040" s="292" t="str">
        <f aca="false">IF(ISBLANK('Стёкла серии Elephant'!$P$176),"",'Стёкла серии Elephant'!$P$176)</f>
        <v>шт.</v>
      </c>
      <c r="Q1040" s="292" t="n">
        <f aca="false">N('Стёкла серии Elephant'!$R$176)</f>
        <v>0</v>
      </c>
      <c r="R1040" s="299" t="n">
        <f aca="false">IF(ISBLANK('Стёкла серии Elephant'!$Q$176),"",'Стёкла серии Elephant'!$Q$176)</f>
        <v>122.32</v>
      </c>
      <c r="S1040" s="292" t="str">
        <f aca="false">IF(ISBLANK('Стёкла серии Elephant'!$S$176),"",'Стёкла серии Elephant'!$S$176)</f>
        <v/>
      </c>
    </row>
    <row r="1041" customFormat="false" ht="66" hidden="false" customHeight="true" outlineLevel="0" collapsed="false">
      <c r="A1041" s="291" t="str">
        <f aca="true">IF(ISNUMBER($J1041),INDIRECT("L"&amp;($J1041+4)),"")</f>
        <v/>
      </c>
      <c r="B1041" s="291" t="str">
        <f aca="true">IF(ISNUMBER($J1041),INDIRECT("M"&amp;($J1041+4)),"")</f>
        <v/>
      </c>
      <c r="C1041" s="296" t="str">
        <f aca="true">IF(ISNUMBER($J1041),INDIRECT("N"&amp;($J1041+4)),"")</f>
        <v/>
      </c>
      <c r="D1041" s="291" t="str">
        <f aca="true">IF(ISNUMBER($J1041),INDIRECT("O"&amp;($J1041+4)),"")</f>
        <v/>
      </c>
      <c r="E1041" s="291" t="str">
        <f aca="true">IF(ISNUMBER($J1041),INDIRECT("P"&amp;($J1041+4)),"")</f>
        <v/>
      </c>
      <c r="F1041" s="300" t="str">
        <f aca="true">IF(ISNUMBER($J1041),INDIRECT("Q"&amp;($J1041+4)),"")</f>
        <v/>
      </c>
      <c r="G1041" s="298" t="str">
        <f aca="true">IF(ISNUMBER($J1041),INDIRECT("R"&amp;($J1041+4)),"")</f>
        <v/>
      </c>
      <c r="H1041" s="298" t="str">
        <f aca="true">IF(ISNUMBER($J1041),INDIRECT("S"&amp;($J1041+4)),"")</f>
        <v/>
      </c>
      <c r="J1041" s="292" t="str">
        <f aca="true">IF(1037&lt;=$K$1,MATCH(1036.5,INDIRECT("$K$4:$K$1374"),1),"")</f>
        <v/>
      </c>
      <c r="K1041" s="292" t="n">
        <f aca="false">$K$1028+COUNTIF($Q$1029:Q1041,"&gt;0")</f>
        <v>0</v>
      </c>
      <c r="L1041" s="292" t="str">
        <f aca="false">"Стёкла серии Elephant"&amp;" · "&amp;'Стёкла серии Elephant'!$N$177</f>
        <v>Стёкла серии Elephant · Elephant</v>
      </c>
      <c r="M1041" s="292" t="str">
        <f aca="false">IF(ISBLANK('Стёкла серии Elephant'!$O$177),"",'Стёкла серии Elephant'!$O$177)</f>
        <v>Honor 9C</v>
      </c>
      <c r="N1041" s="292" t="str">
        <f aca="false">""</f>
        <v/>
      </c>
      <c r="O1041" s="292" t="str">
        <f aca="false">""</f>
        <v/>
      </c>
      <c r="P1041" s="292" t="str">
        <f aca="false">IF(ISBLANK('Стёкла серии Elephant'!$P$177),"",'Стёкла серии Elephant'!$P$177)</f>
        <v>шт.</v>
      </c>
      <c r="Q1041" s="292" t="n">
        <f aca="false">N('Стёкла серии Elephant'!$R$177)</f>
        <v>0</v>
      </c>
      <c r="R1041" s="299" t="n">
        <f aca="false">IF(ISBLANK('Стёкла серии Elephant'!$Q$177),"",'Стёкла серии Elephant'!$Q$177)</f>
        <v>122.32</v>
      </c>
      <c r="S1041" s="292" t="str">
        <f aca="false">IF(ISBLANK('Стёкла серии Elephant'!$S$177),"",'Стёкла серии Elephant'!$S$177)</f>
        <v/>
      </c>
    </row>
    <row r="1042" customFormat="false" ht="66" hidden="false" customHeight="true" outlineLevel="0" collapsed="false">
      <c r="A1042" s="291" t="str">
        <f aca="true">IF(ISNUMBER($J1042),INDIRECT("L"&amp;($J1042+4)),"")</f>
        <v/>
      </c>
      <c r="B1042" s="291" t="str">
        <f aca="true">IF(ISNUMBER($J1042),INDIRECT("M"&amp;($J1042+4)),"")</f>
        <v/>
      </c>
      <c r="C1042" s="296" t="str">
        <f aca="true">IF(ISNUMBER($J1042),INDIRECT("N"&amp;($J1042+4)),"")</f>
        <v/>
      </c>
      <c r="D1042" s="291" t="str">
        <f aca="true">IF(ISNUMBER($J1042),INDIRECT("O"&amp;($J1042+4)),"")</f>
        <v/>
      </c>
      <c r="E1042" s="291" t="str">
        <f aca="true">IF(ISNUMBER($J1042),INDIRECT("P"&amp;($J1042+4)),"")</f>
        <v/>
      </c>
      <c r="F1042" s="300" t="str">
        <f aca="true">IF(ISNUMBER($J1042),INDIRECT("Q"&amp;($J1042+4)),"")</f>
        <v/>
      </c>
      <c r="G1042" s="298" t="str">
        <f aca="true">IF(ISNUMBER($J1042),INDIRECT("R"&amp;($J1042+4)),"")</f>
        <v/>
      </c>
      <c r="H1042" s="298" t="str">
        <f aca="true">IF(ISNUMBER($J1042),INDIRECT("S"&amp;($J1042+4)),"")</f>
        <v/>
      </c>
      <c r="J1042" s="292" t="str">
        <f aca="true">IF(1038&lt;=$K$1,MATCH(1037.5,INDIRECT("$K$4:$K$1374"),1),"")</f>
        <v/>
      </c>
      <c r="K1042" s="292" t="n">
        <f aca="false">$K$1028+COUNTIF($Q$1029:Q1042,"&gt;0")</f>
        <v>0</v>
      </c>
      <c r="L1042" s="292" t="str">
        <f aca="false">"Стёкла серии Elephant"&amp;" · "&amp;'Стёкла серии Elephant'!$N$178</f>
        <v>Стёкла серии Elephant · Elephant</v>
      </c>
      <c r="M1042" s="292" t="str">
        <f aca="false">IF(ISBLANK('Стёкла серии Elephant'!$O$178),"",'Стёкла серии Elephant'!$O$178)</f>
        <v>MiCC9</v>
      </c>
      <c r="N1042" s="292" t="str">
        <f aca="false">""</f>
        <v/>
      </c>
      <c r="O1042" s="292" t="str">
        <f aca="false">""</f>
        <v/>
      </c>
      <c r="P1042" s="292" t="str">
        <f aca="false">IF(ISBLANK('Стёкла серии Elephant'!$P$178),"",'Стёкла серии Elephant'!$P$178)</f>
        <v>шт.</v>
      </c>
      <c r="Q1042" s="292" t="n">
        <f aca="false">N('Стёкла серии Elephant'!$R$178)</f>
        <v>0</v>
      </c>
      <c r="R1042" s="299" t="n">
        <f aca="false">IF(ISBLANK('Стёкла серии Elephant'!$Q$178),"",'Стёкла серии Elephant'!$Q$178)</f>
        <v>122.32</v>
      </c>
      <c r="S1042" s="292" t="str">
        <f aca="false">IF(ISBLANK('Стёкла серии Elephant'!$S$178),"",'Стёкла серии Elephant'!$S$178)</f>
        <v/>
      </c>
    </row>
    <row r="1043" customFormat="false" ht="66" hidden="false" customHeight="true" outlineLevel="0" collapsed="false">
      <c r="A1043" s="291" t="str">
        <f aca="true">IF(ISNUMBER($J1043),INDIRECT("L"&amp;($J1043+4)),"")</f>
        <v/>
      </c>
      <c r="B1043" s="291" t="str">
        <f aca="true">IF(ISNUMBER($J1043),INDIRECT("M"&amp;($J1043+4)),"")</f>
        <v/>
      </c>
      <c r="C1043" s="296" t="str">
        <f aca="true">IF(ISNUMBER($J1043),INDIRECT("N"&amp;($J1043+4)),"")</f>
        <v/>
      </c>
      <c r="D1043" s="291" t="str">
        <f aca="true">IF(ISNUMBER($J1043),INDIRECT("O"&amp;($J1043+4)),"")</f>
        <v/>
      </c>
      <c r="E1043" s="291" t="str">
        <f aca="true">IF(ISNUMBER($J1043),INDIRECT("P"&amp;($J1043+4)),"")</f>
        <v/>
      </c>
      <c r="F1043" s="300" t="str">
        <f aca="true">IF(ISNUMBER($J1043),INDIRECT("Q"&amp;($J1043+4)),"")</f>
        <v/>
      </c>
      <c r="G1043" s="298" t="str">
        <f aca="true">IF(ISNUMBER($J1043),INDIRECT("R"&amp;($J1043+4)),"")</f>
        <v/>
      </c>
      <c r="H1043" s="298" t="str">
        <f aca="true">IF(ISNUMBER($J1043),INDIRECT("S"&amp;($J1043+4)),"")</f>
        <v/>
      </c>
      <c r="J1043" s="292" t="str">
        <f aca="true">IF(1039&lt;=$K$1,MATCH(1038.5,INDIRECT("$K$4:$K$1374"),1),"")</f>
        <v/>
      </c>
      <c r="K1043" s="292" t="n">
        <f aca="false">$K$1028+COUNTIF($Q$1029:Q1043,"&gt;0")</f>
        <v>0</v>
      </c>
      <c r="L1043" s="292" t="str">
        <f aca="false">"Стёкла серии Elephant"&amp;" · "&amp;'Стёкла серии Elephant'!$N$179</f>
        <v>Стёкла серии Elephant · Elephant</v>
      </c>
      <c r="M1043" s="292" t="str">
        <f aca="false">IF(ISBLANK('Стёкла серии Elephant'!$O$179),"",'Стёкла серии Elephant'!$O$179)</f>
        <v>REDMI NOTE 9S</v>
      </c>
      <c r="N1043" s="292" t="str">
        <f aca="false">""</f>
        <v/>
      </c>
      <c r="O1043" s="292" t="str">
        <f aca="false">""</f>
        <v/>
      </c>
      <c r="P1043" s="292" t="str">
        <f aca="false">IF(ISBLANK('Стёкла серии Elephant'!$P$179),"",'Стёкла серии Elephant'!$P$179)</f>
        <v>шт.</v>
      </c>
      <c r="Q1043" s="292" t="n">
        <f aca="false">N('Стёкла серии Elephant'!$R$179)</f>
        <v>0</v>
      </c>
      <c r="R1043" s="299" t="n">
        <f aca="false">IF(ISBLANK('Стёкла серии Elephant'!$Q$179),"",'Стёкла серии Elephant'!$Q$179)</f>
        <v>122.32</v>
      </c>
      <c r="S1043" s="292" t="str">
        <f aca="false">IF(ISBLANK('Стёкла серии Elephant'!$S$179),"",'Стёкла серии Elephant'!$S$179)</f>
        <v/>
      </c>
    </row>
    <row r="1044" customFormat="false" ht="66" hidden="false" customHeight="true" outlineLevel="0" collapsed="false">
      <c r="A1044" s="291" t="str">
        <f aca="true">IF(ISNUMBER($J1044),INDIRECT("L"&amp;($J1044+4)),"")</f>
        <v/>
      </c>
      <c r="B1044" s="291" t="str">
        <f aca="true">IF(ISNUMBER($J1044),INDIRECT("M"&amp;($J1044+4)),"")</f>
        <v/>
      </c>
      <c r="C1044" s="296" t="str">
        <f aca="true">IF(ISNUMBER($J1044),INDIRECT("N"&amp;($J1044+4)),"")</f>
        <v/>
      </c>
      <c r="D1044" s="291" t="str">
        <f aca="true">IF(ISNUMBER($J1044),INDIRECT("O"&amp;($J1044+4)),"")</f>
        <v/>
      </c>
      <c r="E1044" s="291" t="str">
        <f aca="true">IF(ISNUMBER($J1044),INDIRECT("P"&amp;($J1044+4)),"")</f>
        <v/>
      </c>
      <c r="F1044" s="300" t="str">
        <f aca="true">IF(ISNUMBER($J1044),INDIRECT("Q"&amp;($J1044+4)),"")</f>
        <v/>
      </c>
      <c r="G1044" s="298" t="str">
        <f aca="true">IF(ISNUMBER($J1044),INDIRECT("R"&amp;($J1044+4)),"")</f>
        <v/>
      </c>
      <c r="H1044" s="298" t="str">
        <f aca="true">IF(ISNUMBER($J1044),INDIRECT("S"&amp;($J1044+4)),"")</f>
        <v/>
      </c>
      <c r="J1044" s="292" t="str">
        <f aca="true">IF(1040&lt;=$K$1,MATCH(1039.5,INDIRECT("$K$4:$K$1374"),1),"")</f>
        <v/>
      </c>
      <c r="K1044" s="292" t="n">
        <f aca="false">$K$1028+COUNTIF($Q$1029:Q1044,"&gt;0")</f>
        <v>0</v>
      </c>
      <c r="L1044" s="292" t="str">
        <f aca="false">"Стёкла серии Elephant"&amp;" · "&amp;'Стёкла серии Elephant'!$N$180</f>
        <v>Стёкла серии Elephant · Elephant</v>
      </c>
      <c r="M1044" s="292" t="str">
        <f aca="false">IF(ISBLANK('Стёкла серии Elephant'!$O$180),"",'Стёкла серии Elephant'!$O$180)</f>
        <v>A10/M10</v>
      </c>
      <c r="N1044" s="292" t="str">
        <f aca="false">""</f>
        <v/>
      </c>
      <c r="O1044" s="292" t="str">
        <f aca="false">""</f>
        <v/>
      </c>
      <c r="P1044" s="292" t="str">
        <f aca="false">IF(ISBLANK('Стёкла серии Elephant'!$P$180),"",'Стёкла серии Elephant'!$P$180)</f>
        <v>шт.</v>
      </c>
      <c r="Q1044" s="292" t="n">
        <f aca="false">N('Стёкла серии Elephant'!$R$180)</f>
        <v>0</v>
      </c>
      <c r="R1044" s="299" t="n">
        <f aca="false">IF(ISBLANK('Стёкла серии Elephant'!$Q$180),"",'Стёкла серии Elephant'!$Q$180)</f>
        <v>122.32</v>
      </c>
      <c r="S1044" s="292" t="str">
        <f aca="false">IF(ISBLANK('Стёкла серии Elephant'!$S$180),"",'Стёкла серии Elephant'!$S$180)</f>
        <v/>
      </c>
    </row>
    <row r="1045" customFormat="false" ht="66" hidden="false" customHeight="true" outlineLevel="0" collapsed="false">
      <c r="A1045" s="291" t="str">
        <f aca="true">IF(ISNUMBER($J1045),INDIRECT("L"&amp;($J1045+4)),"")</f>
        <v/>
      </c>
      <c r="B1045" s="291" t="str">
        <f aca="true">IF(ISNUMBER($J1045),INDIRECT("M"&amp;($J1045+4)),"")</f>
        <v/>
      </c>
      <c r="C1045" s="296" t="str">
        <f aca="true">IF(ISNUMBER($J1045),INDIRECT("N"&amp;($J1045+4)),"")</f>
        <v/>
      </c>
      <c r="D1045" s="291" t="str">
        <f aca="true">IF(ISNUMBER($J1045),INDIRECT("O"&amp;($J1045+4)),"")</f>
        <v/>
      </c>
      <c r="E1045" s="291" t="str">
        <f aca="true">IF(ISNUMBER($J1045),INDIRECT("P"&amp;($J1045+4)),"")</f>
        <v/>
      </c>
      <c r="F1045" s="300" t="str">
        <f aca="true">IF(ISNUMBER($J1045),INDIRECT("Q"&amp;($J1045+4)),"")</f>
        <v/>
      </c>
      <c r="G1045" s="298" t="str">
        <f aca="true">IF(ISNUMBER($J1045),INDIRECT("R"&amp;($J1045+4)),"")</f>
        <v/>
      </c>
      <c r="H1045" s="298" t="str">
        <f aca="true">IF(ISNUMBER($J1045),INDIRECT("S"&amp;($J1045+4)),"")</f>
        <v/>
      </c>
      <c r="J1045" s="292" t="str">
        <f aca="true">IF(1041&lt;=$K$1,MATCH(1040.5,INDIRECT("$K$4:$K$1374"),1),"")</f>
        <v/>
      </c>
      <c r="K1045" s="292" t="n">
        <f aca="false">$K$1028+COUNTIF($Q$1029:Q1045,"&gt;0")</f>
        <v>0</v>
      </c>
      <c r="L1045" s="292" t="str">
        <f aca="false">"Стёкла серии Elephant"&amp;" · "&amp;'Стёкла серии Elephant'!$N$181</f>
        <v>Стёкла серии Elephant · Elephant</v>
      </c>
      <c r="M1045" s="292" t="str">
        <f aca="false">IF(ISBLANK('Стёкла серии Elephant'!$O$181),"",'Стёкла серии Elephant'!$O$181)</f>
        <v>Realme x3</v>
      </c>
      <c r="N1045" s="292" t="str">
        <f aca="false">""</f>
        <v/>
      </c>
      <c r="O1045" s="292" t="str">
        <f aca="false">""</f>
        <v/>
      </c>
      <c r="P1045" s="292" t="str">
        <f aca="false">IF(ISBLANK('Стёкла серии Elephant'!$P$181),"",'Стёкла серии Elephant'!$P$181)</f>
        <v>шт.</v>
      </c>
      <c r="Q1045" s="292" t="n">
        <f aca="false">N('Стёкла серии Elephant'!$R$181)</f>
        <v>0</v>
      </c>
      <c r="R1045" s="299" t="n">
        <f aca="false">IF(ISBLANK('Стёкла серии Elephant'!$Q$181),"",'Стёкла серии Elephant'!$Q$181)</f>
        <v>122.32</v>
      </c>
      <c r="S1045" s="292" t="str">
        <f aca="false">IF(ISBLANK('Стёкла серии Elephant'!$S$181),"",'Стёкла серии Elephant'!$S$181)</f>
        <v/>
      </c>
    </row>
    <row r="1046" customFormat="false" ht="66" hidden="false" customHeight="true" outlineLevel="0" collapsed="false">
      <c r="A1046" s="291" t="str">
        <f aca="true">IF(ISNUMBER($J1046),INDIRECT("L"&amp;($J1046+4)),"")</f>
        <v/>
      </c>
      <c r="B1046" s="291" t="str">
        <f aca="true">IF(ISNUMBER($J1046),INDIRECT("M"&amp;($J1046+4)),"")</f>
        <v/>
      </c>
      <c r="C1046" s="296" t="str">
        <f aca="true">IF(ISNUMBER($J1046),INDIRECT("N"&amp;($J1046+4)),"")</f>
        <v/>
      </c>
      <c r="D1046" s="291" t="str">
        <f aca="true">IF(ISNUMBER($J1046),INDIRECT("O"&amp;($J1046+4)),"")</f>
        <v/>
      </c>
      <c r="E1046" s="291" t="str">
        <f aca="true">IF(ISNUMBER($J1046),INDIRECT("P"&amp;($J1046+4)),"")</f>
        <v/>
      </c>
      <c r="F1046" s="300" t="str">
        <f aca="true">IF(ISNUMBER($J1046),INDIRECT("Q"&amp;($J1046+4)),"")</f>
        <v/>
      </c>
      <c r="G1046" s="298" t="str">
        <f aca="true">IF(ISNUMBER($J1046),INDIRECT("R"&amp;($J1046+4)),"")</f>
        <v/>
      </c>
      <c r="H1046" s="298" t="str">
        <f aca="true">IF(ISNUMBER($J1046),INDIRECT("S"&amp;($J1046+4)),"")</f>
        <v/>
      </c>
      <c r="J1046" s="292" t="str">
        <f aca="true">IF(1042&lt;=$K$1,MATCH(1041.5,INDIRECT("$K$4:$K$1374"),1),"")</f>
        <v/>
      </c>
      <c r="K1046" s="292" t="n">
        <f aca="false">$K$1028+COUNTIF($Q$1029:Q1046,"&gt;0")</f>
        <v>0</v>
      </c>
      <c r="L1046" s="292" t="str">
        <f aca="false">"Стёкла серии Elephant"&amp;" · "&amp;'Стёкла серии Elephant'!$N$182</f>
        <v>Стёкла серии Elephant · Elephant</v>
      </c>
      <c r="M1046" s="292" t="str">
        <f aca="false">IF(ISBLANK('Стёкла серии Elephant'!$O$182),"",'Стёкла серии Elephant'!$O$182)</f>
        <v>A15 2020/A15S/A35</v>
      </c>
      <c r="N1046" s="292" t="str">
        <f aca="false">""</f>
        <v/>
      </c>
      <c r="O1046" s="292" t="str">
        <f aca="false">""</f>
        <v/>
      </c>
      <c r="P1046" s="292" t="str">
        <f aca="false">IF(ISBLANK('Стёкла серии Elephant'!$P$182),"",'Стёкла серии Elephant'!$P$182)</f>
        <v>шт.</v>
      </c>
      <c r="Q1046" s="292" t="n">
        <f aca="false">N('Стёкла серии Elephant'!$R$182)</f>
        <v>0</v>
      </c>
      <c r="R1046" s="299" t="n">
        <f aca="false">IF(ISBLANK('Стёкла серии Elephant'!$Q$182),"",'Стёкла серии Elephant'!$Q$182)</f>
        <v>122.32</v>
      </c>
      <c r="S1046" s="292" t="str">
        <f aca="false">IF(ISBLANK('Стёкла серии Elephant'!$S$182),"",'Стёкла серии Elephant'!$S$182)</f>
        <v/>
      </c>
    </row>
    <row r="1047" customFormat="false" ht="66" hidden="false" customHeight="true" outlineLevel="0" collapsed="false">
      <c r="A1047" s="291" t="str">
        <f aca="true">IF(ISNUMBER($J1047),INDIRECT("L"&amp;($J1047+4)),"")</f>
        <v/>
      </c>
      <c r="B1047" s="291" t="str">
        <f aca="true">IF(ISNUMBER($J1047),INDIRECT("M"&amp;($J1047+4)),"")</f>
        <v/>
      </c>
      <c r="C1047" s="296" t="str">
        <f aca="true">IF(ISNUMBER($J1047),INDIRECT("N"&amp;($J1047+4)),"")</f>
        <v/>
      </c>
      <c r="D1047" s="291" t="str">
        <f aca="true">IF(ISNUMBER($J1047),INDIRECT("O"&amp;($J1047+4)),"")</f>
        <v/>
      </c>
      <c r="E1047" s="291" t="str">
        <f aca="true">IF(ISNUMBER($J1047),INDIRECT("P"&amp;($J1047+4)),"")</f>
        <v/>
      </c>
      <c r="F1047" s="300" t="str">
        <f aca="true">IF(ISNUMBER($J1047),INDIRECT("Q"&amp;($J1047+4)),"")</f>
        <v/>
      </c>
      <c r="G1047" s="298" t="str">
        <f aca="true">IF(ISNUMBER($J1047),INDIRECT("R"&amp;($J1047+4)),"")</f>
        <v/>
      </c>
      <c r="H1047" s="298" t="str">
        <f aca="true">IF(ISNUMBER($J1047),INDIRECT("S"&amp;($J1047+4)),"")</f>
        <v/>
      </c>
      <c r="J1047" s="292" t="str">
        <f aca="true">IF(1043&lt;=$K$1,MATCH(1042.5,INDIRECT("$K$4:$K$1374"),1),"")</f>
        <v/>
      </c>
      <c r="K1047" s="292" t="n">
        <f aca="false">$K$1028+COUNTIF($Q$1029:Q1047,"&gt;0")</f>
        <v>0</v>
      </c>
      <c r="L1047" s="292" t="str">
        <f aca="false">"Стёкла серии Elephant"&amp;" · "&amp;'Стёкла серии Elephant'!$N$183</f>
        <v>Стёкла серии Elephant · Elephant</v>
      </c>
      <c r="M1047" s="292" t="str">
        <f aca="false">IF(ISBLANK('Стёкла серии Elephant'!$O$183),"",'Стёкла серии Elephant'!$O$183)</f>
        <v>Y15</v>
      </c>
      <c r="N1047" s="292" t="str">
        <f aca="false">""</f>
        <v/>
      </c>
      <c r="O1047" s="292" t="str">
        <f aca="false">""</f>
        <v/>
      </c>
      <c r="P1047" s="292" t="str">
        <f aca="false">IF(ISBLANK('Стёкла серии Elephant'!$P$183),"",'Стёкла серии Elephant'!$P$183)</f>
        <v>шт.</v>
      </c>
      <c r="Q1047" s="292" t="n">
        <f aca="false">N('Стёкла серии Elephant'!$R$183)</f>
        <v>0</v>
      </c>
      <c r="R1047" s="299" t="n">
        <f aca="false">IF(ISBLANK('Стёкла серии Elephant'!$Q$183),"",'Стёкла серии Elephant'!$Q$183)</f>
        <v>122.32</v>
      </c>
      <c r="S1047" s="292" t="str">
        <f aca="false">IF(ISBLANK('Стёкла серии Elephant'!$S$183),"",'Стёкла серии Elephant'!$S$183)</f>
        <v/>
      </c>
    </row>
    <row r="1048" customFormat="false" ht="66" hidden="false" customHeight="true" outlineLevel="0" collapsed="false">
      <c r="A1048" s="291" t="str">
        <f aca="true">IF(ISNUMBER($J1048),INDIRECT("L"&amp;($J1048+4)),"")</f>
        <v/>
      </c>
      <c r="B1048" s="291" t="str">
        <f aca="true">IF(ISNUMBER($J1048),INDIRECT("M"&amp;($J1048+4)),"")</f>
        <v/>
      </c>
      <c r="C1048" s="296" t="str">
        <f aca="true">IF(ISNUMBER($J1048),INDIRECT("N"&amp;($J1048+4)),"")</f>
        <v/>
      </c>
      <c r="D1048" s="291" t="str">
        <f aca="true">IF(ISNUMBER($J1048),INDIRECT("O"&amp;($J1048+4)),"")</f>
        <v/>
      </c>
      <c r="E1048" s="291" t="str">
        <f aca="true">IF(ISNUMBER($J1048),INDIRECT("P"&amp;($J1048+4)),"")</f>
        <v/>
      </c>
      <c r="F1048" s="300" t="str">
        <f aca="true">IF(ISNUMBER($J1048),INDIRECT("Q"&amp;($J1048+4)),"")</f>
        <v/>
      </c>
      <c r="G1048" s="298" t="str">
        <f aca="true">IF(ISNUMBER($J1048),INDIRECT("R"&amp;($J1048+4)),"")</f>
        <v/>
      </c>
      <c r="H1048" s="298" t="str">
        <f aca="true">IF(ISNUMBER($J1048),INDIRECT("S"&amp;($J1048+4)),"")</f>
        <v/>
      </c>
      <c r="J1048" s="292" t="str">
        <f aca="true">IF(1044&lt;=$K$1,MATCH(1043.5,INDIRECT("$K$4:$K$1374"),1),"")</f>
        <v/>
      </c>
      <c r="K1048" s="292" t="n">
        <f aca="false">$K$1028+COUNTIF($Q$1029:Q1048,"&gt;0")</f>
        <v>0</v>
      </c>
      <c r="L1048" s="292" t="str">
        <f aca="false">"Стёкла серии Elephant"&amp;" · "&amp;'Стёкла серии Elephant'!$N$184</f>
        <v>Стёкла серии Elephant · Elephant</v>
      </c>
      <c r="M1048" s="292" t="str">
        <f aca="false">IF(ISBLANK('Стёкла серии Elephant'!$O$184),"",'Стёкла серии Elephant'!$O$184)</f>
        <v>iP 14 Plus  6.1</v>
      </c>
      <c r="N1048" s="292" t="str">
        <f aca="false">""</f>
        <v/>
      </c>
      <c r="O1048" s="292" t="str">
        <f aca="false">""</f>
        <v/>
      </c>
      <c r="P1048" s="292" t="str">
        <f aca="false">IF(ISBLANK('Стёкла серии Elephant'!$P$184),"",'Стёкла серии Elephant'!$P$184)</f>
        <v>шт.</v>
      </c>
      <c r="Q1048" s="292" t="n">
        <f aca="false">N('Стёкла серии Elephant'!$R$184)</f>
        <v>0</v>
      </c>
      <c r="R1048" s="299" t="n">
        <f aca="false">IF(ISBLANK('Стёкла серии Elephant'!$Q$184),"",'Стёкла серии Elephant'!$Q$184)</f>
        <v>122.32</v>
      </c>
      <c r="S1048" s="292" t="str">
        <f aca="false">IF(ISBLANK('Стёкла серии Elephant'!$S$184),"",'Стёкла серии Elephant'!$S$184)</f>
        <v/>
      </c>
    </row>
    <row r="1049" customFormat="false" ht="66" hidden="false" customHeight="true" outlineLevel="0" collapsed="false">
      <c r="A1049" s="291" t="str">
        <f aca="true">IF(ISNUMBER($J1049),INDIRECT("L"&amp;($J1049+4)),"")</f>
        <v/>
      </c>
      <c r="B1049" s="291" t="str">
        <f aca="true">IF(ISNUMBER($J1049),INDIRECT("M"&amp;($J1049+4)),"")</f>
        <v/>
      </c>
      <c r="C1049" s="296" t="str">
        <f aca="true">IF(ISNUMBER($J1049),INDIRECT("N"&amp;($J1049+4)),"")</f>
        <v/>
      </c>
      <c r="D1049" s="291" t="str">
        <f aca="true">IF(ISNUMBER($J1049),INDIRECT("O"&amp;($J1049+4)),"")</f>
        <v/>
      </c>
      <c r="E1049" s="291" t="str">
        <f aca="true">IF(ISNUMBER($J1049),INDIRECT("P"&amp;($J1049+4)),"")</f>
        <v/>
      </c>
      <c r="F1049" s="300" t="str">
        <f aca="true">IF(ISNUMBER($J1049),INDIRECT("Q"&amp;($J1049+4)),"")</f>
        <v/>
      </c>
      <c r="G1049" s="298" t="str">
        <f aca="true">IF(ISNUMBER($J1049),INDIRECT("R"&amp;($J1049+4)),"")</f>
        <v/>
      </c>
      <c r="H1049" s="298" t="str">
        <f aca="true">IF(ISNUMBER($J1049),INDIRECT("S"&amp;($J1049+4)),"")</f>
        <v/>
      </c>
      <c r="J1049" s="292" t="str">
        <f aca="true">IF(1045&lt;=$K$1,MATCH(1044.5,INDIRECT("$K$4:$K$1374"),1),"")</f>
        <v/>
      </c>
      <c r="K1049" s="292" t="n">
        <f aca="false">$K$1028+COUNTIF($Q$1029:Q1049,"&gt;0")</f>
        <v>0</v>
      </c>
      <c r="L1049" s="292" t="str">
        <f aca="false">"Стёкла серии Elephant"&amp;" · "&amp;'Стёкла серии Elephant'!$N$185</f>
        <v>Стёкла серии Elephant · Elephant</v>
      </c>
      <c r="M1049" s="292" t="str">
        <f aca="false">IF(ISBLANK('Стёкла серии Elephant'!$O$185),"",'Стёкла серии Elephant'!$O$185)</f>
        <v>Y5/Y5pro/Y5prime-2019</v>
      </c>
      <c r="N1049" s="292" t="str">
        <f aca="false">""</f>
        <v/>
      </c>
      <c r="O1049" s="292" t="str">
        <f aca="false">""</f>
        <v/>
      </c>
      <c r="P1049" s="292" t="str">
        <f aca="false">IF(ISBLANK('Стёкла серии Elephant'!$P$185),"",'Стёкла серии Elephant'!$P$185)</f>
        <v>шт.</v>
      </c>
      <c r="Q1049" s="292" t="n">
        <f aca="false">N('Стёкла серии Elephant'!$R$185)</f>
        <v>0</v>
      </c>
      <c r="R1049" s="299" t="n">
        <f aca="false">IF(ISBLANK('Стёкла серии Elephant'!$Q$185),"",'Стёкла серии Elephant'!$Q$185)</f>
        <v>122.32</v>
      </c>
      <c r="S1049" s="292" t="str">
        <f aca="false">IF(ISBLANK('Стёкла серии Elephant'!$S$185),"",'Стёкла серии Elephant'!$S$185)</f>
        <v/>
      </c>
    </row>
    <row r="1050" customFormat="false" ht="66" hidden="false" customHeight="true" outlineLevel="0" collapsed="false">
      <c r="A1050" s="291" t="str">
        <f aca="true">IF(ISNUMBER($J1050),INDIRECT("L"&amp;($J1050+4)),"")</f>
        <v/>
      </c>
      <c r="B1050" s="291" t="str">
        <f aca="true">IF(ISNUMBER($J1050),INDIRECT("M"&amp;($J1050+4)),"")</f>
        <v/>
      </c>
      <c r="C1050" s="296" t="str">
        <f aca="true">IF(ISNUMBER($J1050),INDIRECT("N"&amp;($J1050+4)),"")</f>
        <v/>
      </c>
      <c r="D1050" s="291" t="str">
        <f aca="true">IF(ISNUMBER($J1050),INDIRECT("O"&amp;($J1050+4)),"")</f>
        <v/>
      </c>
      <c r="E1050" s="291" t="str">
        <f aca="true">IF(ISNUMBER($J1050),INDIRECT("P"&amp;($J1050+4)),"")</f>
        <v/>
      </c>
      <c r="F1050" s="300" t="str">
        <f aca="true">IF(ISNUMBER($J1050),INDIRECT("Q"&amp;($J1050+4)),"")</f>
        <v/>
      </c>
      <c r="G1050" s="298" t="str">
        <f aca="true">IF(ISNUMBER($J1050),INDIRECT("R"&amp;($J1050+4)),"")</f>
        <v/>
      </c>
      <c r="H1050" s="298" t="str">
        <f aca="true">IF(ISNUMBER($J1050),INDIRECT("S"&amp;($J1050+4)),"")</f>
        <v/>
      </c>
      <c r="J1050" s="292" t="str">
        <f aca="true">IF(1046&lt;=$K$1,MATCH(1045.5,INDIRECT("$K$4:$K$1374"),1),"")</f>
        <v/>
      </c>
      <c r="K1050" s="292" t="n">
        <f aca="false">$K$1028+COUNTIF($Q$1029:Q1050,"&gt;0")</f>
        <v>0</v>
      </c>
      <c r="L1050" s="292" t="str">
        <f aca="false">"Стёкла серии Elephant"&amp;" · "&amp;'Стёкла серии Elephant'!$N$186</f>
        <v>Стёкла серии Elephant · Elephant</v>
      </c>
      <c r="M1050" s="292" t="str">
        <f aca="false">IF(ISBLANK('Стёкла серии Elephant'!$O$186),"",'Стёкла серии Elephant'!$O$186)</f>
        <v>Honor 8X</v>
      </c>
      <c r="N1050" s="292" t="str">
        <f aca="false">""</f>
        <v/>
      </c>
      <c r="O1050" s="292" t="str">
        <f aca="false">""</f>
        <v/>
      </c>
      <c r="P1050" s="292" t="str">
        <f aca="false">IF(ISBLANK('Стёкла серии Elephant'!$P$186),"",'Стёкла серии Elephant'!$P$186)</f>
        <v>шт.</v>
      </c>
      <c r="Q1050" s="292" t="n">
        <f aca="false">N('Стёкла серии Elephant'!$R$186)</f>
        <v>0</v>
      </c>
      <c r="R1050" s="299" t="n">
        <f aca="false">IF(ISBLANK('Стёкла серии Elephant'!$Q$186),"",'Стёкла серии Elephant'!$Q$186)</f>
        <v>122.32</v>
      </c>
      <c r="S1050" s="292" t="str">
        <f aca="false">IF(ISBLANK('Стёкла серии Elephant'!$S$186),"",'Стёкла серии Elephant'!$S$186)</f>
        <v/>
      </c>
    </row>
    <row r="1051" customFormat="false" ht="66" hidden="false" customHeight="true" outlineLevel="0" collapsed="false">
      <c r="A1051" s="291" t="str">
        <f aca="true">IF(ISNUMBER($J1051),INDIRECT("L"&amp;($J1051+4)),"")</f>
        <v/>
      </c>
      <c r="B1051" s="291" t="str">
        <f aca="true">IF(ISNUMBER($J1051),INDIRECT("M"&amp;($J1051+4)),"")</f>
        <v/>
      </c>
      <c r="C1051" s="296" t="str">
        <f aca="true">IF(ISNUMBER($J1051),INDIRECT("N"&amp;($J1051+4)),"")</f>
        <v/>
      </c>
      <c r="D1051" s="291" t="str">
        <f aca="true">IF(ISNUMBER($J1051),INDIRECT("O"&amp;($J1051+4)),"")</f>
        <v/>
      </c>
      <c r="E1051" s="291" t="str">
        <f aca="true">IF(ISNUMBER($J1051),INDIRECT("P"&amp;($J1051+4)),"")</f>
        <v/>
      </c>
      <c r="F1051" s="300" t="str">
        <f aca="true">IF(ISNUMBER($J1051),INDIRECT("Q"&amp;($J1051+4)),"")</f>
        <v/>
      </c>
      <c r="G1051" s="298" t="str">
        <f aca="true">IF(ISNUMBER($J1051),INDIRECT("R"&amp;($J1051+4)),"")</f>
        <v/>
      </c>
      <c r="H1051" s="298" t="str">
        <f aca="true">IF(ISNUMBER($J1051),INDIRECT("S"&amp;($J1051+4)),"")</f>
        <v/>
      </c>
      <c r="J1051" s="292" t="str">
        <f aca="true">IF(1047&lt;=$K$1,MATCH(1046.5,INDIRECT("$K$4:$K$1374"),1),"")</f>
        <v/>
      </c>
      <c r="K1051" s="292" t="n">
        <f aca="false">$K$1028+COUNTIF($Q$1029:Q1051,"&gt;0")</f>
        <v>0</v>
      </c>
      <c r="L1051" s="292" t="str">
        <f aca="false">"Стёкла серии Elephant"&amp;" · "&amp;'Стёкла серии Elephant'!$N$187</f>
        <v>Стёкла серии Elephant · Elephant</v>
      </c>
      <c r="M1051" s="292" t="str">
        <f aca="false">IF(ISBLANK('Стёкла серии Elephant'!$O$187),"",'Стёкла серии Elephant'!$O$187)</f>
        <v>MiCC9 Meitu edition</v>
      </c>
      <c r="N1051" s="292" t="str">
        <f aca="false">""</f>
        <v/>
      </c>
      <c r="O1051" s="292" t="str">
        <f aca="false">""</f>
        <v/>
      </c>
      <c r="P1051" s="292" t="str">
        <f aca="false">IF(ISBLANK('Стёкла серии Elephant'!$P$187),"",'Стёкла серии Elephant'!$P$187)</f>
        <v>шт.</v>
      </c>
      <c r="Q1051" s="292" t="n">
        <f aca="false">N('Стёкла серии Elephant'!$R$187)</f>
        <v>0</v>
      </c>
      <c r="R1051" s="299" t="n">
        <f aca="false">IF(ISBLANK('Стёкла серии Elephant'!$Q$187),"",'Стёкла серии Elephant'!$Q$187)</f>
        <v>122.32</v>
      </c>
      <c r="S1051" s="292" t="str">
        <f aca="false">IF(ISBLANK('Стёкла серии Elephant'!$S$187),"",'Стёкла серии Elephant'!$S$187)</f>
        <v/>
      </c>
    </row>
    <row r="1052" customFormat="false" ht="66" hidden="false" customHeight="true" outlineLevel="0" collapsed="false">
      <c r="A1052" s="291" t="str">
        <f aca="true">IF(ISNUMBER($J1052),INDIRECT("L"&amp;($J1052+4)),"")</f>
        <v/>
      </c>
      <c r="B1052" s="291" t="str">
        <f aca="true">IF(ISNUMBER($J1052),INDIRECT("M"&amp;($J1052+4)),"")</f>
        <v/>
      </c>
      <c r="C1052" s="296" t="str">
        <f aca="true">IF(ISNUMBER($J1052),INDIRECT("N"&amp;($J1052+4)),"")</f>
        <v/>
      </c>
      <c r="D1052" s="291" t="str">
        <f aca="true">IF(ISNUMBER($J1052),INDIRECT("O"&amp;($J1052+4)),"")</f>
        <v/>
      </c>
      <c r="E1052" s="291" t="str">
        <f aca="true">IF(ISNUMBER($J1052),INDIRECT("P"&amp;($J1052+4)),"")</f>
        <v/>
      </c>
      <c r="F1052" s="300" t="str">
        <f aca="true">IF(ISNUMBER($J1052),INDIRECT("Q"&amp;($J1052+4)),"")</f>
        <v/>
      </c>
      <c r="G1052" s="298" t="str">
        <f aca="true">IF(ISNUMBER($J1052),INDIRECT("R"&amp;($J1052+4)),"")</f>
        <v/>
      </c>
      <c r="H1052" s="298" t="str">
        <f aca="true">IF(ISNUMBER($J1052),INDIRECT("S"&amp;($J1052+4)),"")</f>
        <v/>
      </c>
      <c r="J1052" s="292" t="str">
        <f aca="true">IF(1048&lt;=$K$1,MATCH(1047.5,INDIRECT("$K$4:$K$1374"),1),"")</f>
        <v/>
      </c>
      <c r="K1052" s="292" t="n">
        <f aca="false">$K$1028+COUNTIF($Q$1029:Q1052,"&gt;0")</f>
        <v>0</v>
      </c>
      <c r="L1052" s="292" t="str">
        <f aca="false">"Стёкла серии Elephant"&amp;" · "&amp;'Стёкла серии Elephant'!$N$188</f>
        <v>Стёкла серии Elephant · Elephant</v>
      </c>
      <c r="M1052" s="292" t="str">
        <f aca="false">IF(ISBLANK('Стёкла серии Elephant'!$O$188),"",'Стёкла серии Elephant'!$O$188)</f>
        <v>REDMI NOTE 9</v>
      </c>
      <c r="N1052" s="292" t="str">
        <f aca="false">""</f>
        <v/>
      </c>
      <c r="O1052" s="292" t="str">
        <f aca="false">""</f>
        <v/>
      </c>
      <c r="P1052" s="292" t="str">
        <f aca="false">IF(ISBLANK('Стёкла серии Elephant'!$P$188),"",'Стёкла серии Elephant'!$P$188)</f>
        <v>шт.</v>
      </c>
      <c r="Q1052" s="292" t="n">
        <f aca="false">N('Стёкла серии Elephant'!$R$188)</f>
        <v>0</v>
      </c>
      <c r="R1052" s="299" t="n">
        <f aca="false">IF(ISBLANK('Стёкла серии Elephant'!$Q$188),"",'Стёкла серии Elephant'!$Q$188)</f>
        <v>122.32</v>
      </c>
      <c r="S1052" s="292" t="str">
        <f aca="false">IF(ISBLANK('Стёкла серии Elephant'!$S$188),"",'Стёкла серии Elephant'!$S$188)</f>
        <v/>
      </c>
    </row>
    <row r="1053" customFormat="false" ht="66" hidden="false" customHeight="true" outlineLevel="0" collapsed="false">
      <c r="A1053" s="291" t="str">
        <f aca="true">IF(ISNUMBER($J1053),INDIRECT("L"&amp;($J1053+4)),"")</f>
        <v/>
      </c>
      <c r="B1053" s="291" t="str">
        <f aca="true">IF(ISNUMBER($J1053),INDIRECT("M"&amp;($J1053+4)),"")</f>
        <v/>
      </c>
      <c r="C1053" s="296" t="str">
        <f aca="true">IF(ISNUMBER($J1053),INDIRECT("N"&amp;($J1053+4)),"")</f>
        <v/>
      </c>
      <c r="D1053" s="291" t="str">
        <f aca="true">IF(ISNUMBER($J1053),INDIRECT("O"&amp;($J1053+4)),"")</f>
        <v/>
      </c>
      <c r="E1053" s="291" t="str">
        <f aca="true">IF(ISNUMBER($J1053),INDIRECT("P"&amp;($J1053+4)),"")</f>
        <v/>
      </c>
      <c r="F1053" s="300" t="str">
        <f aca="true">IF(ISNUMBER($J1053),INDIRECT("Q"&amp;($J1053+4)),"")</f>
        <v/>
      </c>
      <c r="G1053" s="298" t="str">
        <f aca="true">IF(ISNUMBER($J1053),INDIRECT("R"&amp;($J1053+4)),"")</f>
        <v/>
      </c>
      <c r="H1053" s="298" t="str">
        <f aca="true">IF(ISNUMBER($J1053),INDIRECT("S"&amp;($J1053+4)),"")</f>
        <v/>
      </c>
      <c r="J1053" s="292" t="str">
        <f aca="true">IF(1049&lt;=$K$1,MATCH(1048.5,INDIRECT("$K$4:$K$1374"),1),"")</f>
        <v/>
      </c>
      <c r="K1053" s="292" t="n">
        <f aca="false">$K$1028+COUNTIF($Q$1029:Q1053,"&gt;0")</f>
        <v>0</v>
      </c>
      <c r="L1053" s="292" t="str">
        <f aca="false">"Стёкла серии Elephant"&amp;" · "&amp;'Стёкла серии Elephant'!$N$189</f>
        <v>Стёкла серии Elephant · Elephant</v>
      </c>
      <c r="M1053" s="292" t="str">
        <f aca="false">IF(ISBLANK('Стёкла серии Elephant'!$O$189),"",'Стёкла серии Elephant'!$O$189)</f>
        <v>A20/A30/A50</v>
      </c>
      <c r="N1053" s="292" t="str">
        <f aca="false">""</f>
        <v/>
      </c>
      <c r="O1053" s="292" t="str">
        <f aca="false">""</f>
        <v/>
      </c>
      <c r="P1053" s="292" t="str">
        <f aca="false">IF(ISBLANK('Стёкла серии Elephant'!$P$189),"",'Стёкла серии Elephant'!$P$189)</f>
        <v>шт.</v>
      </c>
      <c r="Q1053" s="292" t="n">
        <f aca="false">N('Стёкла серии Elephant'!$R$189)</f>
        <v>0</v>
      </c>
      <c r="R1053" s="299" t="n">
        <f aca="false">IF(ISBLANK('Стёкла серии Elephant'!$Q$189),"",'Стёкла серии Elephant'!$Q$189)</f>
        <v>122.32</v>
      </c>
      <c r="S1053" s="292" t="str">
        <f aca="false">IF(ISBLANK('Стёкла серии Elephant'!$S$189),"",'Стёкла серии Elephant'!$S$189)</f>
        <v/>
      </c>
    </row>
    <row r="1054" customFormat="false" ht="66" hidden="false" customHeight="true" outlineLevel="0" collapsed="false">
      <c r="A1054" s="291" t="str">
        <f aca="true">IF(ISNUMBER($J1054),INDIRECT("L"&amp;($J1054+4)),"")</f>
        <v/>
      </c>
      <c r="B1054" s="291" t="str">
        <f aca="true">IF(ISNUMBER($J1054),INDIRECT("M"&amp;($J1054+4)),"")</f>
        <v/>
      </c>
      <c r="C1054" s="296" t="str">
        <f aca="true">IF(ISNUMBER($J1054),INDIRECT("N"&amp;($J1054+4)),"")</f>
        <v/>
      </c>
      <c r="D1054" s="291" t="str">
        <f aca="true">IF(ISNUMBER($J1054),INDIRECT("O"&amp;($J1054+4)),"")</f>
        <v/>
      </c>
      <c r="E1054" s="291" t="str">
        <f aca="true">IF(ISNUMBER($J1054),INDIRECT("P"&amp;($J1054+4)),"")</f>
        <v/>
      </c>
      <c r="F1054" s="300" t="str">
        <f aca="true">IF(ISNUMBER($J1054),INDIRECT("Q"&amp;($J1054+4)),"")</f>
        <v/>
      </c>
      <c r="G1054" s="298" t="str">
        <f aca="true">IF(ISNUMBER($J1054),INDIRECT("R"&amp;($J1054+4)),"")</f>
        <v/>
      </c>
      <c r="H1054" s="298" t="str">
        <f aca="true">IF(ISNUMBER($J1054),INDIRECT("S"&amp;($J1054+4)),"")</f>
        <v/>
      </c>
      <c r="J1054" s="292" t="str">
        <f aca="true">IF(1050&lt;=$K$1,MATCH(1049.5,INDIRECT("$K$4:$K$1374"),1),"")</f>
        <v/>
      </c>
      <c r="K1054" s="292" t="n">
        <f aca="false">$K$1028+COUNTIF($Q$1029:Q1054,"&gt;0")</f>
        <v>0</v>
      </c>
      <c r="L1054" s="292" t="str">
        <f aca="false">"Стёкла серии Elephant"&amp;" · "&amp;'Стёкла серии Elephant'!$N$190</f>
        <v>Стёкла серии Elephant · Elephant</v>
      </c>
      <c r="M1054" s="292" t="str">
        <f aca="false">IF(ISBLANK('Стёкла серии Elephant'!$O$190),"",'Стёкла серии Elephant'!$O$190)</f>
        <v>Realme x2 pro</v>
      </c>
      <c r="N1054" s="292" t="str">
        <f aca="false">""</f>
        <v/>
      </c>
      <c r="O1054" s="292" t="str">
        <f aca="false">""</f>
        <v/>
      </c>
      <c r="P1054" s="292" t="str">
        <f aca="false">IF(ISBLANK('Стёкла серии Elephant'!$P$190),"",'Стёкла серии Elephant'!$P$190)</f>
        <v>шт.</v>
      </c>
      <c r="Q1054" s="292" t="n">
        <f aca="false">N('Стёкла серии Elephant'!$R$190)</f>
        <v>0</v>
      </c>
      <c r="R1054" s="299" t="n">
        <f aca="false">IF(ISBLANK('Стёкла серии Elephant'!$Q$190),"",'Стёкла серии Elephant'!$Q$190)</f>
        <v>122.32</v>
      </c>
      <c r="S1054" s="292" t="str">
        <f aca="false">IF(ISBLANK('Стёкла серии Elephant'!$S$190),"",'Стёкла серии Elephant'!$S$190)</f>
        <v/>
      </c>
    </row>
    <row r="1055" customFormat="false" ht="66" hidden="false" customHeight="true" outlineLevel="0" collapsed="false">
      <c r="A1055" s="291" t="str">
        <f aca="true">IF(ISNUMBER($J1055),INDIRECT("L"&amp;($J1055+4)),"")</f>
        <v/>
      </c>
      <c r="B1055" s="291" t="str">
        <f aca="true">IF(ISNUMBER($J1055),INDIRECT("M"&amp;($J1055+4)),"")</f>
        <v/>
      </c>
      <c r="C1055" s="296" t="str">
        <f aca="true">IF(ISNUMBER($J1055),INDIRECT("N"&amp;($J1055+4)),"")</f>
        <v/>
      </c>
      <c r="D1055" s="291" t="str">
        <f aca="true">IF(ISNUMBER($J1055),INDIRECT("O"&amp;($J1055+4)),"")</f>
        <v/>
      </c>
      <c r="E1055" s="291" t="str">
        <f aca="true">IF(ISNUMBER($J1055),INDIRECT("P"&amp;($J1055+4)),"")</f>
        <v/>
      </c>
      <c r="F1055" s="300" t="str">
        <f aca="true">IF(ISNUMBER($J1055),INDIRECT("Q"&amp;($J1055+4)),"")</f>
        <v/>
      </c>
      <c r="G1055" s="298" t="str">
        <f aca="true">IF(ISNUMBER($J1055),INDIRECT("R"&amp;($J1055+4)),"")</f>
        <v/>
      </c>
      <c r="H1055" s="298" t="str">
        <f aca="true">IF(ISNUMBER($J1055),INDIRECT("S"&amp;($J1055+4)),"")</f>
        <v/>
      </c>
      <c r="J1055" s="292" t="str">
        <f aca="true">IF(1051&lt;=$K$1,MATCH(1050.5,INDIRECT("$K$4:$K$1374"),1),"")</f>
        <v/>
      </c>
      <c r="K1055" s="292" t="n">
        <f aca="false">$K$1028+COUNTIF($Q$1029:Q1055,"&gt;0")</f>
        <v>0</v>
      </c>
      <c r="L1055" s="292" t="str">
        <f aca="false">"Стёкла серии Elephant"&amp;" · "&amp;'Стёкла серии Elephant'!$N$191</f>
        <v>Стёкла серии Elephant · Elephant</v>
      </c>
      <c r="M1055" s="292" t="str">
        <f aca="false">IF(ISBLANK('Стёкла серии Elephant'!$O$191),"",'Стёкла серии Elephant'!$O$191)</f>
        <v>A32/A33/A53S 4G</v>
      </c>
      <c r="N1055" s="292" t="str">
        <f aca="false">""</f>
        <v/>
      </c>
      <c r="O1055" s="292" t="str">
        <f aca="false">""</f>
        <v/>
      </c>
      <c r="P1055" s="292" t="str">
        <f aca="false">IF(ISBLANK('Стёкла серии Elephant'!$P$191),"",'Стёкла серии Elephant'!$P$191)</f>
        <v>шт.</v>
      </c>
      <c r="Q1055" s="292" t="n">
        <f aca="false">N('Стёкла серии Elephant'!$R$191)</f>
        <v>0</v>
      </c>
      <c r="R1055" s="299" t="n">
        <f aca="false">IF(ISBLANK('Стёкла серии Elephant'!$Q$191),"",'Стёкла серии Elephant'!$Q$191)</f>
        <v>122.32</v>
      </c>
      <c r="S1055" s="292" t="str">
        <f aca="false">IF(ISBLANK('Стёкла серии Elephant'!$S$191),"",'Стёкла серии Elephant'!$S$191)</f>
        <v/>
      </c>
    </row>
    <row r="1056" customFormat="false" ht="66" hidden="false" customHeight="true" outlineLevel="0" collapsed="false">
      <c r="A1056" s="291" t="str">
        <f aca="true">IF(ISNUMBER($J1056),INDIRECT("L"&amp;($J1056+4)),"")</f>
        <v/>
      </c>
      <c r="B1056" s="291" t="str">
        <f aca="true">IF(ISNUMBER($J1056),INDIRECT("M"&amp;($J1056+4)),"")</f>
        <v/>
      </c>
      <c r="C1056" s="296" t="str">
        <f aca="true">IF(ISNUMBER($J1056),INDIRECT("N"&amp;($J1056+4)),"")</f>
        <v/>
      </c>
      <c r="D1056" s="291" t="str">
        <f aca="true">IF(ISNUMBER($J1056),INDIRECT("O"&amp;($J1056+4)),"")</f>
        <v/>
      </c>
      <c r="E1056" s="291" t="str">
        <f aca="true">IF(ISNUMBER($J1056),INDIRECT("P"&amp;($J1056+4)),"")</f>
        <v/>
      </c>
      <c r="F1056" s="300" t="str">
        <f aca="true">IF(ISNUMBER($J1056),INDIRECT("Q"&amp;($J1056+4)),"")</f>
        <v/>
      </c>
      <c r="G1056" s="298" t="str">
        <f aca="true">IF(ISNUMBER($J1056),INDIRECT("R"&amp;($J1056+4)),"")</f>
        <v/>
      </c>
      <c r="H1056" s="298" t="str">
        <f aca="true">IF(ISNUMBER($J1056),INDIRECT("S"&amp;($J1056+4)),"")</f>
        <v/>
      </c>
      <c r="J1056" s="292" t="str">
        <f aca="true">IF(1052&lt;=$K$1,MATCH(1051.5,INDIRECT("$K$4:$K$1374"),1),"")</f>
        <v/>
      </c>
      <c r="K1056" s="292" t="n">
        <f aca="false">$K$1028+COUNTIF($Q$1029:Q1056,"&gt;0")</f>
        <v>0</v>
      </c>
      <c r="L1056" s="292" t="str">
        <f aca="false">"Стёкла серии Elephant"&amp;" · "&amp;'Стёкла серии Elephant'!$N$192</f>
        <v>Стёкла серии Elephant · Elephant</v>
      </c>
      <c r="M1056" s="292" t="str">
        <f aca="false">IF(ISBLANK('Стёкла серии Elephant'!$O$192),"",'Стёкла серии Elephant'!$O$192)</f>
        <v>Y17</v>
      </c>
      <c r="N1056" s="292" t="str">
        <f aca="false">""</f>
        <v/>
      </c>
      <c r="O1056" s="292" t="str">
        <f aca="false">""</f>
        <v/>
      </c>
      <c r="P1056" s="292" t="str">
        <f aca="false">IF(ISBLANK('Стёкла серии Elephant'!$P$192),"",'Стёкла серии Elephant'!$P$192)</f>
        <v>шт.</v>
      </c>
      <c r="Q1056" s="292" t="n">
        <f aca="false">N('Стёкла серии Elephant'!$R$192)</f>
        <v>0</v>
      </c>
      <c r="R1056" s="299" t="n">
        <f aca="false">IF(ISBLANK('Стёкла серии Elephant'!$Q$192),"",'Стёкла серии Elephant'!$Q$192)</f>
        <v>122.32</v>
      </c>
      <c r="S1056" s="292" t="str">
        <f aca="false">IF(ISBLANK('Стёкла серии Elephant'!$S$192),"",'Стёкла серии Elephant'!$S$192)</f>
        <v/>
      </c>
    </row>
    <row r="1057" customFormat="false" ht="66" hidden="false" customHeight="true" outlineLevel="0" collapsed="false">
      <c r="A1057" s="291" t="str">
        <f aca="true">IF(ISNUMBER($J1057),INDIRECT("L"&amp;($J1057+4)),"")</f>
        <v/>
      </c>
      <c r="B1057" s="291" t="str">
        <f aca="true">IF(ISNUMBER($J1057),INDIRECT("M"&amp;($J1057+4)),"")</f>
        <v/>
      </c>
      <c r="C1057" s="296" t="str">
        <f aca="true">IF(ISNUMBER($J1057),INDIRECT("N"&amp;($J1057+4)),"")</f>
        <v/>
      </c>
      <c r="D1057" s="291" t="str">
        <f aca="true">IF(ISNUMBER($J1057),INDIRECT("O"&amp;($J1057+4)),"")</f>
        <v/>
      </c>
      <c r="E1057" s="291" t="str">
        <f aca="true">IF(ISNUMBER($J1057),INDIRECT("P"&amp;($J1057+4)),"")</f>
        <v/>
      </c>
      <c r="F1057" s="300" t="str">
        <f aca="true">IF(ISNUMBER($J1057),INDIRECT("Q"&amp;($J1057+4)),"")</f>
        <v/>
      </c>
      <c r="G1057" s="298" t="str">
        <f aca="true">IF(ISNUMBER($J1057),INDIRECT("R"&amp;($J1057+4)),"")</f>
        <v/>
      </c>
      <c r="H1057" s="298" t="str">
        <f aca="true">IF(ISNUMBER($J1057),INDIRECT("S"&amp;($J1057+4)),"")</f>
        <v/>
      </c>
      <c r="J1057" s="292" t="str">
        <f aca="true">IF(1053&lt;=$K$1,MATCH(1052.5,INDIRECT("$K$4:$K$1374"),1),"")</f>
        <v/>
      </c>
      <c r="K1057" s="292" t="n">
        <f aca="false">$K$1028+COUNTIF($Q$1029:Q1057,"&gt;0")</f>
        <v>0</v>
      </c>
      <c r="L1057" s="292" t="str">
        <f aca="false">"Стёкла серии Elephant"&amp;" · "&amp;'Стёкла серии Elephant'!$N$193</f>
        <v>Стёкла серии Elephant · Elephant</v>
      </c>
      <c r="M1057" s="292" t="str">
        <f aca="false">IF(ISBLANK('Стёкла серии Elephant'!$O$193),"",'Стёкла серии Elephant'!$O$193)</f>
        <v>iP 14 pro 6.1</v>
      </c>
      <c r="N1057" s="292" t="str">
        <f aca="false">""</f>
        <v/>
      </c>
      <c r="O1057" s="292" t="str">
        <f aca="false">""</f>
        <v/>
      </c>
      <c r="P1057" s="292" t="str">
        <f aca="false">IF(ISBLANK('Стёкла серии Elephant'!$P$193),"",'Стёкла серии Elephant'!$P$193)</f>
        <v>шт.</v>
      </c>
      <c r="Q1057" s="292" t="n">
        <f aca="false">N('Стёкла серии Elephant'!$R$193)</f>
        <v>0</v>
      </c>
      <c r="R1057" s="299" t="n">
        <f aca="false">IF(ISBLANK('Стёкла серии Elephant'!$Q$193),"",'Стёкла серии Elephant'!$Q$193)</f>
        <v>122.32</v>
      </c>
      <c r="S1057" s="292" t="str">
        <f aca="false">IF(ISBLANK('Стёкла серии Elephant'!$S$193),"",'Стёкла серии Elephant'!$S$193)</f>
        <v/>
      </c>
    </row>
    <row r="1058" customFormat="false" ht="66" hidden="false" customHeight="true" outlineLevel="0" collapsed="false">
      <c r="A1058" s="291" t="str">
        <f aca="true">IF(ISNUMBER($J1058),INDIRECT("L"&amp;($J1058+4)),"")</f>
        <v/>
      </c>
      <c r="B1058" s="291" t="str">
        <f aca="true">IF(ISNUMBER($J1058),INDIRECT("M"&amp;($J1058+4)),"")</f>
        <v/>
      </c>
      <c r="C1058" s="296" t="str">
        <f aca="true">IF(ISNUMBER($J1058),INDIRECT("N"&amp;($J1058+4)),"")</f>
        <v/>
      </c>
      <c r="D1058" s="291" t="str">
        <f aca="true">IF(ISNUMBER($J1058),INDIRECT("O"&amp;($J1058+4)),"")</f>
        <v/>
      </c>
      <c r="E1058" s="291" t="str">
        <f aca="true">IF(ISNUMBER($J1058),INDIRECT("P"&amp;($J1058+4)),"")</f>
        <v/>
      </c>
      <c r="F1058" s="300" t="str">
        <f aca="true">IF(ISNUMBER($J1058),INDIRECT("Q"&amp;($J1058+4)),"")</f>
        <v/>
      </c>
      <c r="G1058" s="298" t="str">
        <f aca="true">IF(ISNUMBER($J1058),INDIRECT("R"&amp;($J1058+4)),"")</f>
        <v/>
      </c>
      <c r="H1058" s="298" t="str">
        <f aca="true">IF(ISNUMBER($J1058),INDIRECT("S"&amp;($J1058+4)),"")</f>
        <v/>
      </c>
      <c r="J1058" s="292" t="str">
        <f aca="true">IF(1054&lt;=$K$1,MATCH(1053.5,INDIRECT("$K$4:$K$1374"),1),"")</f>
        <v/>
      </c>
      <c r="K1058" s="292" t="n">
        <f aca="false">$K$1028+COUNTIF($Q$1029:Q1058,"&gt;0")</f>
        <v>0</v>
      </c>
      <c r="L1058" s="292" t="str">
        <f aca="false">"Стёкла серии Elephant"&amp;" · "&amp;'Стёкла серии Elephant'!$N$194</f>
        <v>Стёкла серии Elephant · Elephant</v>
      </c>
      <c r="M1058" s="292" t="str">
        <f aca="false">IF(ISBLANK('Стёкла серии Elephant'!$O$194),"",'Стёкла серии Elephant'!$O$194)</f>
        <v>Y9-2018/Enjoy8 Plus</v>
      </c>
      <c r="N1058" s="292" t="str">
        <f aca="false">""</f>
        <v/>
      </c>
      <c r="O1058" s="292" t="str">
        <f aca="false">""</f>
        <v/>
      </c>
      <c r="P1058" s="292" t="str">
        <f aca="false">IF(ISBLANK('Стёкла серии Elephant'!$P$194),"",'Стёкла серии Elephant'!$P$194)</f>
        <v>шт.</v>
      </c>
      <c r="Q1058" s="292" t="n">
        <f aca="false">N('Стёкла серии Elephant'!$R$194)</f>
        <v>0</v>
      </c>
      <c r="R1058" s="299" t="n">
        <f aca="false">IF(ISBLANK('Стёкла серии Elephant'!$Q$194),"",'Стёкла серии Elephant'!$Q$194)</f>
        <v>122.32</v>
      </c>
      <c r="S1058" s="292" t="str">
        <f aca="false">IF(ISBLANK('Стёкла серии Elephant'!$S$194),"",'Стёкла серии Elephant'!$S$194)</f>
        <v/>
      </c>
    </row>
    <row r="1059" customFormat="false" ht="66" hidden="false" customHeight="true" outlineLevel="0" collapsed="false">
      <c r="A1059" s="291" t="str">
        <f aca="true">IF(ISNUMBER($J1059),INDIRECT("L"&amp;($J1059+4)),"")</f>
        <v/>
      </c>
      <c r="B1059" s="291" t="str">
        <f aca="true">IF(ISNUMBER($J1059),INDIRECT("M"&amp;($J1059+4)),"")</f>
        <v/>
      </c>
      <c r="C1059" s="296" t="str">
        <f aca="true">IF(ISNUMBER($J1059),INDIRECT("N"&amp;($J1059+4)),"")</f>
        <v/>
      </c>
      <c r="D1059" s="291" t="str">
        <f aca="true">IF(ISNUMBER($J1059),INDIRECT("O"&amp;($J1059+4)),"")</f>
        <v/>
      </c>
      <c r="E1059" s="291" t="str">
        <f aca="true">IF(ISNUMBER($J1059),INDIRECT("P"&amp;($J1059+4)),"")</f>
        <v/>
      </c>
      <c r="F1059" s="300" t="str">
        <f aca="true">IF(ISNUMBER($J1059),INDIRECT("Q"&amp;($J1059+4)),"")</f>
        <v/>
      </c>
      <c r="G1059" s="298" t="str">
        <f aca="true">IF(ISNUMBER($J1059),INDIRECT("R"&amp;($J1059+4)),"")</f>
        <v/>
      </c>
      <c r="H1059" s="298" t="str">
        <f aca="true">IF(ISNUMBER($J1059),INDIRECT("S"&amp;($J1059+4)),"")</f>
        <v/>
      </c>
      <c r="J1059" s="292" t="str">
        <f aca="true">IF(1055&lt;=$K$1,MATCH(1054.5,INDIRECT("$K$4:$K$1374"),1),"")</f>
        <v/>
      </c>
      <c r="K1059" s="292" t="n">
        <f aca="false">$K$1028+COUNTIF($Q$1029:Q1059,"&gt;0")</f>
        <v>0</v>
      </c>
      <c r="L1059" s="292" t="str">
        <f aca="false">"Стёкла серии Elephant"&amp;" · "&amp;'Стёкла серии Elephant'!$N$195</f>
        <v>Стёкла серии Elephant · Elephant</v>
      </c>
      <c r="M1059" s="292" t="str">
        <f aca="false">IF(ISBLANK('Стёкла серии Elephant'!$O$195),"",'Стёкла серии Elephant'!$O$195)</f>
        <v>Honor 8A Pro</v>
      </c>
      <c r="N1059" s="292" t="str">
        <f aca="false">""</f>
        <v/>
      </c>
      <c r="O1059" s="292" t="str">
        <f aca="false">""</f>
        <v/>
      </c>
      <c r="P1059" s="292" t="str">
        <f aca="false">IF(ISBLANK('Стёкла серии Elephant'!$P$195),"",'Стёкла серии Elephant'!$P$195)</f>
        <v>шт.</v>
      </c>
      <c r="Q1059" s="292" t="n">
        <f aca="false">N('Стёкла серии Elephant'!$R$195)</f>
        <v>0</v>
      </c>
      <c r="R1059" s="299" t="n">
        <f aca="false">IF(ISBLANK('Стёкла серии Elephant'!$Q$195),"",'Стёкла серии Elephant'!$Q$195)</f>
        <v>122.32</v>
      </c>
      <c r="S1059" s="292" t="str">
        <f aca="false">IF(ISBLANK('Стёкла серии Elephant'!$S$195),"",'Стёкла серии Elephant'!$S$195)</f>
        <v/>
      </c>
    </row>
    <row r="1060" customFormat="false" ht="66" hidden="false" customHeight="true" outlineLevel="0" collapsed="false">
      <c r="A1060" s="291" t="str">
        <f aca="true">IF(ISNUMBER($J1060),INDIRECT("L"&amp;($J1060+4)),"")</f>
        <v/>
      </c>
      <c r="B1060" s="291" t="str">
        <f aca="true">IF(ISNUMBER($J1060),INDIRECT("M"&amp;($J1060+4)),"")</f>
        <v/>
      </c>
      <c r="C1060" s="296" t="str">
        <f aca="true">IF(ISNUMBER($J1060),INDIRECT("N"&amp;($J1060+4)),"")</f>
        <v/>
      </c>
      <c r="D1060" s="291" t="str">
        <f aca="true">IF(ISNUMBER($J1060),INDIRECT("O"&amp;($J1060+4)),"")</f>
        <v/>
      </c>
      <c r="E1060" s="291" t="str">
        <f aca="true">IF(ISNUMBER($J1060),INDIRECT("P"&amp;($J1060+4)),"")</f>
        <v/>
      </c>
      <c r="F1060" s="300" t="str">
        <f aca="true">IF(ISNUMBER($J1060),INDIRECT("Q"&amp;($J1060+4)),"")</f>
        <v/>
      </c>
      <c r="G1060" s="298" t="str">
        <f aca="true">IF(ISNUMBER($J1060),INDIRECT("R"&amp;($J1060+4)),"")</f>
        <v/>
      </c>
      <c r="H1060" s="298" t="str">
        <f aca="true">IF(ISNUMBER($J1060),INDIRECT("S"&amp;($J1060+4)),"")</f>
        <v/>
      </c>
      <c r="J1060" s="292" t="str">
        <f aca="true">IF(1056&lt;=$K$1,MATCH(1055.5,INDIRECT("$K$4:$K$1374"),1),"")</f>
        <v/>
      </c>
      <c r="K1060" s="292" t="n">
        <f aca="false">$K$1028+COUNTIF($Q$1029:Q1060,"&gt;0")</f>
        <v>0</v>
      </c>
      <c r="L1060" s="292" t="str">
        <f aca="false">"Стёкла серии Elephant"&amp;" · "&amp;'Стёкла серии Elephant'!$N$196</f>
        <v>Стёкла серии Elephant · Elephant</v>
      </c>
      <c r="M1060" s="292" t="str">
        <f aca="false">IF(ISBLANK('Стёкла серии Elephant'!$O$196),"",'Стёкла серии Elephant'!$O$196)</f>
        <v>MiCC9e</v>
      </c>
      <c r="N1060" s="292" t="str">
        <f aca="false">""</f>
        <v/>
      </c>
      <c r="O1060" s="292" t="str">
        <f aca="false">""</f>
        <v/>
      </c>
      <c r="P1060" s="292" t="str">
        <f aca="false">IF(ISBLANK('Стёкла серии Elephant'!$P$196),"",'Стёкла серии Elephant'!$P$196)</f>
        <v>шт.</v>
      </c>
      <c r="Q1060" s="292" t="n">
        <f aca="false">N('Стёкла серии Elephant'!$R$196)</f>
        <v>0</v>
      </c>
      <c r="R1060" s="299" t="n">
        <f aca="false">IF(ISBLANK('Стёкла серии Elephant'!$Q$196),"",'Стёкла серии Elephant'!$Q$196)</f>
        <v>122.32</v>
      </c>
      <c r="S1060" s="292" t="str">
        <f aca="false">IF(ISBLANK('Стёкла серии Elephant'!$S$196),"",'Стёкла серии Elephant'!$S$196)</f>
        <v/>
      </c>
    </row>
    <row r="1061" customFormat="false" ht="66" hidden="false" customHeight="true" outlineLevel="0" collapsed="false">
      <c r="A1061" s="291" t="str">
        <f aca="true">IF(ISNUMBER($J1061),INDIRECT("L"&amp;($J1061+4)),"")</f>
        <v/>
      </c>
      <c r="B1061" s="291" t="str">
        <f aca="true">IF(ISNUMBER($J1061),INDIRECT("M"&amp;($J1061+4)),"")</f>
        <v/>
      </c>
      <c r="C1061" s="296" t="str">
        <f aca="true">IF(ISNUMBER($J1061),INDIRECT("N"&amp;($J1061+4)),"")</f>
        <v/>
      </c>
      <c r="D1061" s="291" t="str">
        <f aca="true">IF(ISNUMBER($J1061),INDIRECT("O"&amp;($J1061+4)),"")</f>
        <v/>
      </c>
      <c r="E1061" s="291" t="str">
        <f aca="true">IF(ISNUMBER($J1061),INDIRECT("P"&amp;($J1061+4)),"")</f>
        <v/>
      </c>
      <c r="F1061" s="300" t="str">
        <f aca="true">IF(ISNUMBER($J1061),INDIRECT("Q"&amp;($J1061+4)),"")</f>
        <v/>
      </c>
      <c r="G1061" s="298" t="str">
        <f aca="true">IF(ISNUMBER($J1061),INDIRECT("R"&amp;($J1061+4)),"")</f>
        <v/>
      </c>
      <c r="H1061" s="298" t="str">
        <f aca="true">IF(ISNUMBER($J1061),INDIRECT("S"&amp;($J1061+4)),"")</f>
        <v/>
      </c>
      <c r="J1061" s="292" t="str">
        <f aca="true">IF(1057&lt;=$K$1,MATCH(1056.5,INDIRECT("$K$4:$K$1374"),1),"")</f>
        <v/>
      </c>
      <c r="K1061" s="292" t="n">
        <f aca="false">$K$1028+COUNTIF($Q$1029:Q1061,"&gt;0")</f>
        <v>0</v>
      </c>
      <c r="L1061" s="292" t="str">
        <f aca="false">"Стёкла серии Elephant"&amp;" · "&amp;'Стёкла серии Elephant'!$N$197</f>
        <v>Стёкла серии Elephant · Elephant</v>
      </c>
      <c r="M1061" s="292" t="str">
        <f aca="false">IF(ISBLANK('Стёкла серии Elephant'!$O$197),"",'Стёкла серии Elephant'!$O$197)</f>
        <v>Redmi K40/K40 Pro</v>
      </c>
      <c r="N1061" s="292" t="str">
        <f aca="false">""</f>
        <v/>
      </c>
      <c r="O1061" s="292" t="str">
        <f aca="false">""</f>
        <v/>
      </c>
      <c r="P1061" s="292" t="str">
        <f aca="false">IF(ISBLANK('Стёкла серии Elephant'!$P$197),"",'Стёкла серии Elephant'!$P$197)</f>
        <v>шт.</v>
      </c>
      <c r="Q1061" s="292" t="n">
        <f aca="false">N('Стёкла серии Elephant'!$R$197)</f>
        <v>0</v>
      </c>
      <c r="R1061" s="299" t="n">
        <f aca="false">IF(ISBLANK('Стёкла серии Elephant'!$Q$197),"",'Стёкла серии Elephant'!$Q$197)</f>
        <v>122.32</v>
      </c>
      <c r="S1061" s="292" t="str">
        <f aca="false">IF(ISBLANK('Стёкла серии Elephant'!$S$197),"",'Стёкла серии Elephant'!$S$197)</f>
        <v/>
      </c>
    </row>
    <row r="1062" customFormat="false" ht="66" hidden="false" customHeight="true" outlineLevel="0" collapsed="false">
      <c r="A1062" s="291" t="str">
        <f aca="true">IF(ISNUMBER($J1062),INDIRECT("L"&amp;($J1062+4)),"")</f>
        <v/>
      </c>
      <c r="B1062" s="291" t="str">
        <f aca="true">IF(ISNUMBER($J1062),INDIRECT("M"&amp;($J1062+4)),"")</f>
        <v/>
      </c>
      <c r="C1062" s="296" t="str">
        <f aca="true">IF(ISNUMBER($J1062),INDIRECT("N"&amp;($J1062+4)),"")</f>
        <v/>
      </c>
      <c r="D1062" s="291" t="str">
        <f aca="true">IF(ISNUMBER($J1062),INDIRECT("O"&amp;($J1062+4)),"")</f>
        <v/>
      </c>
      <c r="E1062" s="291" t="str">
        <f aca="true">IF(ISNUMBER($J1062),INDIRECT("P"&amp;($J1062+4)),"")</f>
        <v/>
      </c>
      <c r="F1062" s="300" t="str">
        <f aca="true">IF(ISNUMBER($J1062),INDIRECT("Q"&amp;($J1062+4)),"")</f>
        <v/>
      </c>
      <c r="G1062" s="298" t="str">
        <f aca="true">IF(ISNUMBER($J1062),INDIRECT("R"&amp;($J1062+4)),"")</f>
        <v/>
      </c>
      <c r="H1062" s="298" t="str">
        <f aca="true">IF(ISNUMBER($J1062),INDIRECT("S"&amp;($J1062+4)),"")</f>
        <v/>
      </c>
      <c r="J1062" s="292" t="str">
        <f aca="true">IF(1058&lt;=$K$1,MATCH(1057.5,INDIRECT("$K$4:$K$1374"),1),"")</f>
        <v/>
      </c>
      <c r="K1062" s="292" t="n">
        <f aca="false">$K$1028+COUNTIF($Q$1029:Q1062,"&gt;0")</f>
        <v>0</v>
      </c>
      <c r="L1062" s="292" t="str">
        <f aca="false">"Стёкла серии Elephant"&amp;" · "&amp;'Стёкла серии Elephant'!$N$198</f>
        <v>Стёкла серии Elephant · Elephant</v>
      </c>
      <c r="M1062" s="292" t="str">
        <f aca="false">IF(ISBLANK('Стёкла серии Elephant'!$O$198),"",'Стёкла серии Elephant'!$O$198)</f>
        <v>A60/M40</v>
      </c>
      <c r="N1062" s="292" t="str">
        <f aca="false">""</f>
        <v/>
      </c>
      <c r="O1062" s="292" t="str">
        <f aca="false">""</f>
        <v/>
      </c>
      <c r="P1062" s="292" t="str">
        <f aca="false">IF(ISBLANK('Стёкла серии Elephant'!$P$198),"",'Стёкла серии Elephant'!$P$198)</f>
        <v>шт.</v>
      </c>
      <c r="Q1062" s="292" t="n">
        <f aca="false">N('Стёкла серии Elephant'!$R$198)</f>
        <v>0</v>
      </c>
      <c r="R1062" s="299" t="n">
        <f aca="false">IF(ISBLANK('Стёкла серии Elephant'!$Q$198),"",'Стёкла серии Elephant'!$Q$198)</f>
        <v>122.32</v>
      </c>
      <c r="S1062" s="292" t="str">
        <f aca="false">IF(ISBLANK('Стёкла серии Elephant'!$S$198),"",'Стёкла серии Elephant'!$S$198)</f>
        <v/>
      </c>
    </row>
    <row r="1063" customFormat="false" ht="66" hidden="false" customHeight="true" outlineLevel="0" collapsed="false">
      <c r="A1063" s="291" t="str">
        <f aca="true">IF(ISNUMBER($J1063),INDIRECT("L"&amp;($J1063+4)),"")</f>
        <v/>
      </c>
      <c r="B1063" s="291" t="str">
        <f aca="true">IF(ISNUMBER($J1063),INDIRECT("M"&amp;($J1063+4)),"")</f>
        <v/>
      </c>
      <c r="C1063" s="296" t="str">
        <f aca="true">IF(ISNUMBER($J1063),INDIRECT("N"&amp;($J1063+4)),"")</f>
        <v/>
      </c>
      <c r="D1063" s="291" t="str">
        <f aca="true">IF(ISNUMBER($J1063),INDIRECT("O"&amp;($J1063+4)),"")</f>
        <v/>
      </c>
      <c r="E1063" s="291" t="str">
        <f aca="true">IF(ISNUMBER($J1063),INDIRECT("P"&amp;($J1063+4)),"")</f>
        <v/>
      </c>
      <c r="F1063" s="300" t="str">
        <f aca="true">IF(ISNUMBER($J1063),INDIRECT("Q"&amp;($J1063+4)),"")</f>
        <v/>
      </c>
      <c r="G1063" s="298" t="str">
        <f aca="true">IF(ISNUMBER($J1063),INDIRECT("R"&amp;($J1063+4)),"")</f>
        <v/>
      </c>
      <c r="H1063" s="298" t="str">
        <f aca="true">IF(ISNUMBER($J1063),INDIRECT("S"&amp;($J1063+4)),"")</f>
        <v/>
      </c>
      <c r="J1063" s="292" t="str">
        <f aca="true">IF(1059&lt;=$K$1,MATCH(1058.5,INDIRECT("$K$4:$K$1374"),1),"")</f>
        <v/>
      </c>
      <c r="K1063" s="292" t="n">
        <f aca="false">$K$1028+COUNTIF($Q$1029:Q1063,"&gt;0")</f>
        <v>0</v>
      </c>
      <c r="L1063" s="292" t="str">
        <f aca="false">"Стёкла серии Elephant"&amp;" · "&amp;'Стёкла серии Elephant'!$N$199</f>
        <v>Стёкла серии Elephant · Elephant</v>
      </c>
      <c r="M1063" s="292" t="str">
        <f aca="false">IF(ISBLANK('Стёкла серии Elephant'!$O$199),"",'Стёкла серии Elephant'!$O$199)</f>
        <v>Realme X2</v>
      </c>
      <c r="N1063" s="292" t="str">
        <f aca="false">""</f>
        <v/>
      </c>
      <c r="O1063" s="292" t="str">
        <f aca="false">""</f>
        <v/>
      </c>
      <c r="P1063" s="292" t="str">
        <f aca="false">IF(ISBLANK('Стёкла серии Elephant'!$P$199),"",'Стёкла серии Elephant'!$P$199)</f>
        <v>шт.</v>
      </c>
      <c r="Q1063" s="292" t="n">
        <f aca="false">N('Стёкла серии Elephant'!$R$199)</f>
        <v>0</v>
      </c>
      <c r="R1063" s="299" t="n">
        <f aca="false">IF(ISBLANK('Стёкла серии Elephant'!$Q$199),"",'Стёкла серии Elephant'!$Q$199)</f>
        <v>122.32</v>
      </c>
      <c r="S1063" s="292" t="str">
        <f aca="false">IF(ISBLANK('Стёкла серии Elephant'!$S$199),"",'Стёкла серии Elephant'!$S$199)</f>
        <v/>
      </c>
    </row>
    <row r="1064" customFormat="false" ht="66" hidden="false" customHeight="true" outlineLevel="0" collapsed="false">
      <c r="A1064" s="291" t="str">
        <f aca="true">IF(ISNUMBER($J1064),INDIRECT("L"&amp;($J1064+4)),"")</f>
        <v/>
      </c>
      <c r="B1064" s="291" t="str">
        <f aca="true">IF(ISNUMBER($J1064),INDIRECT("M"&amp;($J1064+4)),"")</f>
        <v/>
      </c>
      <c r="C1064" s="296" t="str">
        <f aca="true">IF(ISNUMBER($J1064),INDIRECT("N"&amp;($J1064+4)),"")</f>
        <v/>
      </c>
      <c r="D1064" s="291" t="str">
        <f aca="true">IF(ISNUMBER($J1064),INDIRECT("O"&amp;($J1064+4)),"")</f>
        <v/>
      </c>
      <c r="E1064" s="291" t="str">
        <f aca="true">IF(ISNUMBER($J1064),INDIRECT("P"&amp;($J1064+4)),"")</f>
        <v/>
      </c>
      <c r="F1064" s="300" t="str">
        <f aca="true">IF(ISNUMBER($J1064),INDIRECT("Q"&amp;($J1064+4)),"")</f>
        <v/>
      </c>
      <c r="G1064" s="298" t="str">
        <f aca="true">IF(ISNUMBER($J1064),INDIRECT("R"&amp;($J1064+4)),"")</f>
        <v/>
      </c>
      <c r="H1064" s="298" t="str">
        <f aca="true">IF(ISNUMBER($J1064),INDIRECT("S"&amp;($J1064+4)),"")</f>
        <v/>
      </c>
      <c r="J1064" s="292" t="str">
        <f aca="true">IF(1060&lt;=$K$1,MATCH(1059.5,INDIRECT("$K$4:$K$1374"),1),"")</f>
        <v/>
      </c>
      <c r="K1064" s="292" t="n">
        <f aca="false">$K$1028+COUNTIF($Q$1029:Q1064,"&gt;0")</f>
        <v>0</v>
      </c>
      <c r="L1064" s="292" t="str">
        <f aca="false">"Стёкла серии Elephant"&amp;" · "&amp;'Стёкла серии Elephant'!$N$200</f>
        <v>Стёкла серии Elephant · Elephant</v>
      </c>
      <c r="M1064" s="292" t="str">
        <f aca="false">IF(ISBLANK('Стёкла серии Elephant'!$O$200),"",'Стёкла серии Elephant'!$O$200)</f>
        <v>A95 5G</v>
      </c>
      <c r="N1064" s="292" t="str">
        <f aca="false">""</f>
        <v/>
      </c>
      <c r="O1064" s="292" t="str">
        <f aca="false">""</f>
        <v/>
      </c>
      <c r="P1064" s="292" t="str">
        <f aca="false">IF(ISBLANK('Стёкла серии Elephant'!$P$200),"",'Стёкла серии Elephant'!$P$200)</f>
        <v>шт.</v>
      </c>
      <c r="Q1064" s="292" t="n">
        <f aca="false">N('Стёкла серии Elephant'!$R$200)</f>
        <v>0</v>
      </c>
      <c r="R1064" s="299" t="n">
        <f aca="false">IF(ISBLANK('Стёкла серии Elephant'!$Q$200),"",'Стёкла серии Elephant'!$Q$200)</f>
        <v>122.32</v>
      </c>
      <c r="S1064" s="292" t="str">
        <f aca="false">IF(ISBLANK('Стёкла серии Elephant'!$S$200),"",'Стёкла серии Elephant'!$S$200)</f>
        <v/>
      </c>
    </row>
    <row r="1065" customFormat="false" ht="66" hidden="false" customHeight="true" outlineLevel="0" collapsed="false">
      <c r="A1065" s="291" t="str">
        <f aca="true">IF(ISNUMBER($J1065),INDIRECT("L"&amp;($J1065+4)),"")</f>
        <v/>
      </c>
      <c r="B1065" s="291" t="str">
        <f aca="true">IF(ISNUMBER($J1065),INDIRECT("M"&amp;($J1065+4)),"")</f>
        <v/>
      </c>
      <c r="C1065" s="296" t="str">
        <f aca="true">IF(ISNUMBER($J1065),INDIRECT("N"&amp;($J1065+4)),"")</f>
        <v/>
      </c>
      <c r="D1065" s="291" t="str">
        <f aca="true">IF(ISNUMBER($J1065),INDIRECT("O"&amp;($J1065+4)),"")</f>
        <v/>
      </c>
      <c r="E1065" s="291" t="str">
        <f aca="true">IF(ISNUMBER($J1065),INDIRECT("P"&amp;($J1065+4)),"")</f>
        <v/>
      </c>
      <c r="F1065" s="300" t="str">
        <f aca="true">IF(ISNUMBER($J1065),INDIRECT("Q"&amp;($J1065+4)),"")</f>
        <v/>
      </c>
      <c r="G1065" s="298" t="str">
        <f aca="true">IF(ISNUMBER($J1065),INDIRECT("R"&amp;($J1065+4)),"")</f>
        <v/>
      </c>
      <c r="H1065" s="298" t="str">
        <f aca="true">IF(ISNUMBER($J1065),INDIRECT("S"&amp;($J1065+4)),"")</f>
        <v/>
      </c>
      <c r="J1065" s="292" t="str">
        <f aca="true">IF(1061&lt;=$K$1,MATCH(1060.5,INDIRECT("$K$4:$K$1374"),1),"")</f>
        <v/>
      </c>
      <c r="K1065" s="292" t="n">
        <f aca="false">$K$1028+COUNTIF($Q$1029:Q1065,"&gt;0")</f>
        <v>0</v>
      </c>
      <c r="L1065" s="292" t="str">
        <f aca="false">"Стёкла серии Elephant"&amp;" · "&amp;'Стёкла серии Elephant'!$N$201</f>
        <v>Стёкла серии Elephant · Elephant</v>
      </c>
      <c r="M1065" s="292" t="str">
        <f aca="false">IF(ISBLANK('Стёкла серии Elephant'!$O$201),"",'Стёкла серии Elephant'!$O$201)</f>
        <v>Y19</v>
      </c>
      <c r="N1065" s="292" t="str">
        <f aca="false">""</f>
        <v/>
      </c>
      <c r="O1065" s="292" t="str">
        <f aca="false">""</f>
        <v/>
      </c>
      <c r="P1065" s="292" t="str">
        <f aca="false">IF(ISBLANK('Стёкла серии Elephant'!$P$201),"",'Стёкла серии Elephant'!$P$201)</f>
        <v>шт.</v>
      </c>
      <c r="Q1065" s="292" t="n">
        <f aca="false">N('Стёкла серии Elephant'!$R$201)</f>
        <v>0</v>
      </c>
      <c r="R1065" s="299" t="n">
        <f aca="false">IF(ISBLANK('Стёкла серии Elephant'!$Q$201),"",'Стёкла серии Elephant'!$Q$201)</f>
        <v>122.32</v>
      </c>
      <c r="S1065" s="292" t="str">
        <f aca="false">IF(ISBLANK('Стёкла серии Elephant'!$S$201),"",'Стёкла серии Elephant'!$S$201)</f>
        <v/>
      </c>
    </row>
    <row r="1066" customFormat="false" ht="66" hidden="false" customHeight="true" outlineLevel="0" collapsed="false">
      <c r="A1066" s="291" t="str">
        <f aca="true">IF(ISNUMBER($J1066),INDIRECT("L"&amp;($J1066+4)),"")</f>
        <v/>
      </c>
      <c r="B1066" s="291" t="str">
        <f aca="true">IF(ISNUMBER($J1066),INDIRECT("M"&amp;($J1066+4)),"")</f>
        <v/>
      </c>
      <c r="C1066" s="296" t="str">
        <f aca="true">IF(ISNUMBER($J1066),INDIRECT("N"&amp;($J1066+4)),"")</f>
        <v/>
      </c>
      <c r="D1066" s="291" t="str">
        <f aca="true">IF(ISNUMBER($J1066),INDIRECT("O"&amp;($J1066+4)),"")</f>
        <v/>
      </c>
      <c r="E1066" s="291" t="str">
        <f aca="true">IF(ISNUMBER($J1066),INDIRECT("P"&amp;($J1066+4)),"")</f>
        <v/>
      </c>
      <c r="F1066" s="300" t="str">
        <f aca="true">IF(ISNUMBER($J1066),INDIRECT("Q"&amp;($J1066+4)),"")</f>
        <v/>
      </c>
      <c r="G1066" s="298" t="str">
        <f aca="true">IF(ISNUMBER($J1066),INDIRECT("R"&amp;($J1066+4)),"")</f>
        <v/>
      </c>
      <c r="H1066" s="298" t="str">
        <f aca="true">IF(ISNUMBER($J1066),INDIRECT("S"&amp;($J1066+4)),"")</f>
        <v/>
      </c>
      <c r="J1066" s="292" t="str">
        <f aca="true">IF(1062&lt;=$K$1,MATCH(1061.5,INDIRECT("$K$4:$K$1374"),1),"")</f>
        <v/>
      </c>
      <c r="K1066" s="292" t="n">
        <f aca="false">$K$1028+COUNTIF($Q$1029:Q1066,"&gt;0")</f>
        <v>0</v>
      </c>
      <c r="L1066" s="292" t="str">
        <f aca="false">"Стёкла серии Elephant"&amp;" · "&amp;'Стёкла серии Elephant'!$N$202</f>
        <v>Стёкла серии Elephant · Elephant</v>
      </c>
      <c r="M1066" s="292" t="str">
        <f aca="false">IF(ISBLANK('Стёкла серии Elephant'!$O$202),"",'Стёкла серии Elephant'!$O$202)</f>
        <v>iP 14 Pro Max 6.7</v>
      </c>
      <c r="N1066" s="292" t="str">
        <f aca="false">""</f>
        <v/>
      </c>
      <c r="O1066" s="292" t="str">
        <f aca="false">""</f>
        <v/>
      </c>
      <c r="P1066" s="292" t="str">
        <f aca="false">IF(ISBLANK('Стёкла серии Elephant'!$P$202),"",'Стёкла серии Elephant'!$P$202)</f>
        <v>шт.</v>
      </c>
      <c r="Q1066" s="292" t="n">
        <f aca="false">N('Стёкла серии Elephant'!$R$202)</f>
        <v>0</v>
      </c>
      <c r="R1066" s="299" t="n">
        <f aca="false">IF(ISBLANK('Стёкла серии Elephant'!$Q$202),"",'Стёкла серии Elephant'!$Q$202)</f>
        <v>122.32</v>
      </c>
      <c r="S1066" s="292" t="str">
        <f aca="false">IF(ISBLANK('Стёкла серии Elephant'!$S$202),"",'Стёкла серии Elephant'!$S$202)</f>
        <v/>
      </c>
    </row>
    <row r="1067" customFormat="false" ht="66" hidden="false" customHeight="true" outlineLevel="0" collapsed="false">
      <c r="A1067" s="291" t="str">
        <f aca="true">IF(ISNUMBER($J1067),INDIRECT("L"&amp;($J1067+4)),"")</f>
        <v/>
      </c>
      <c r="B1067" s="291" t="str">
        <f aca="true">IF(ISNUMBER($J1067),INDIRECT("M"&amp;($J1067+4)),"")</f>
        <v/>
      </c>
      <c r="C1067" s="296" t="str">
        <f aca="true">IF(ISNUMBER($J1067),INDIRECT("N"&amp;($J1067+4)),"")</f>
        <v/>
      </c>
      <c r="D1067" s="291" t="str">
        <f aca="true">IF(ISNUMBER($J1067),INDIRECT("O"&amp;($J1067+4)),"")</f>
        <v/>
      </c>
      <c r="E1067" s="291" t="str">
        <f aca="true">IF(ISNUMBER($J1067),INDIRECT("P"&amp;($J1067+4)),"")</f>
        <v/>
      </c>
      <c r="F1067" s="300" t="str">
        <f aca="true">IF(ISNUMBER($J1067),INDIRECT("Q"&amp;($J1067+4)),"")</f>
        <v/>
      </c>
      <c r="G1067" s="298" t="str">
        <f aca="true">IF(ISNUMBER($J1067),INDIRECT("R"&amp;($J1067+4)),"")</f>
        <v/>
      </c>
      <c r="H1067" s="298" t="str">
        <f aca="true">IF(ISNUMBER($J1067),INDIRECT("S"&amp;($J1067+4)),"")</f>
        <v/>
      </c>
      <c r="J1067" s="292" t="str">
        <f aca="true">IF(1063&lt;=$K$1,MATCH(1062.5,INDIRECT("$K$4:$K$1374"),1),"")</f>
        <v/>
      </c>
      <c r="K1067" s="292" t="n">
        <f aca="false">$K$1028+COUNTIF($Q$1029:Q1067,"&gt;0")</f>
        <v>0</v>
      </c>
      <c r="L1067" s="292" t="str">
        <f aca="false">"Стёкла серии Elephant"&amp;" · "&amp;'Стёкла серии Elephant'!$N$203</f>
        <v>Стёкла серии Elephant · Elephant</v>
      </c>
      <c r="M1067" s="292" t="str">
        <f aca="false">IF(ISBLANK('Стёкла серии Elephant'!$O$203),"",'Стёкла серии Elephant'!$O$203)</f>
        <v>Y7/Y7pro/Y7prime-2018</v>
      </c>
      <c r="N1067" s="292" t="str">
        <f aca="false">""</f>
        <v/>
      </c>
      <c r="O1067" s="292" t="str">
        <f aca="false">""</f>
        <v/>
      </c>
      <c r="P1067" s="292" t="str">
        <f aca="false">IF(ISBLANK('Стёкла серии Elephant'!$P$203),"",'Стёкла серии Elephant'!$P$203)</f>
        <v>шт.</v>
      </c>
      <c r="Q1067" s="292" t="n">
        <f aca="false">N('Стёкла серии Elephant'!$R$203)</f>
        <v>0</v>
      </c>
      <c r="R1067" s="299" t="n">
        <f aca="false">IF(ISBLANK('Стёкла серии Elephant'!$Q$203),"",'Стёкла серии Elephant'!$Q$203)</f>
        <v>122.32</v>
      </c>
      <c r="S1067" s="292" t="str">
        <f aca="false">IF(ISBLANK('Стёкла серии Elephant'!$S$203),"",'Стёкла серии Elephant'!$S$203)</f>
        <v/>
      </c>
    </row>
    <row r="1068" customFormat="false" ht="66" hidden="false" customHeight="true" outlineLevel="0" collapsed="false">
      <c r="A1068" s="291" t="str">
        <f aca="true">IF(ISNUMBER($J1068),INDIRECT("L"&amp;($J1068+4)),"")</f>
        <v/>
      </c>
      <c r="B1068" s="291" t="str">
        <f aca="true">IF(ISNUMBER($J1068),INDIRECT("M"&amp;($J1068+4)),"")</f>
        <v/>
      </c>
      <c r="C1068" s="296" t="str">
        <f aca="true">IF(ISNUMBER($J1068),INDIRECT("N"&amp;($J1068+4)),"")</f>
        <v/>
      </c>
      <c r="D1068" s="291" t="str">
        <f aca="true">IF(ISNUMBER($J1068),INDIRECT("O"&amp;($J1068+4)),"")</f>
        <v/>
      </c>
      <c r="E1068" s="291" t="str">
        <f aca="true">IF(ISNUMBER($J1068),INDIRECT("P"&amp;($J1068+4)),"")</f>
        <v/>
      </c>
      <c r="F1068" s="300" t="str">
        <f aca="true">IF(ISNUMBER($J1068),INDIRECT("Q"&amp;($J1068+4)),"")</f>
        <v/>
      </c>
      <c r="G1068" s="298" t="str">
        <f aca="true">IF(ISNUMBER($J1068),INDIRECT("R"&amp;($J1068+4)),"")</f>
        <v/>
      </c>
      <c r="H1068" s="298" t="str">
        <f aca="true">IF(ISNUMBER($J1068),INDIRECT("S"&amp;($J1068+4)),"")</f>
        <v/>
      </c>
      <c r="J1068" s="292" t="str">
        <f aca="true">IF(1064&lt;=$K$1,MATCH(1063.5,INDIRECT("$K$4:$K$1374"),1),"")</f>
        <v/>
      </c>
      <c r="K1068" s="292" t="n">
        <f aca="false">$K$1028+COUNTIF($Q$1029:Q1068,"&gt;0")</f>
        <v>0</v>
      </c>
      <c r="L1068" s="292" t="str">
        <f aca="false">"Стёкла серии Elephant"&amp;" · "&amp;'Стёкла серии Elephant'!$N$204</f>
        <v>Стёкла серии Elephant · Elephant</v>
      </c>
      <c r="M1068" s="292" t="str">
        <f aca="false">IF(ISBLANK('Стёкла серии Elephant'!$O$204),"",'Стёкла серии Elephant'!$O$204)</f>
        <v>Honor 8S</v>
      </c>
      <c r="N1068" s="292" t="str">
        <f aca="false">""</f>
        <v/>
      </c>
      <c r="O1068" s="292" t="str">
        <f aca="false">""</f>
        <v/>
      </c>
      <c r="P1068" s="292" t="str">
        <f aca="false">IF(ISBLANK('Стёкла серии Elephant'!$P$204),"",'Стёкла серии Elephant'!$P$204)</f>
        <v>шт.</v>
      </c>
      <c r="Q1068" s="292" t="n">
        <f aca="false">N('Стёкла серии Elephant'!$R$204)</f>
        <v>0</v>
      </c>
      <c r="R1068" s="299" t="n">
        <f aca="false">IF(ISBLANK('Стёкла серии Elephant'!$Q$204),"",'Стёкла серии Elephant'!$Q$204)</f>
        <v>122.32</v>
      </c>
      <c r="S1068" s="292" t="str">
        <f aca="false">IF(ISBLANK('Стёкла серии Elephant'!$S$204),"",'Стёкла серии Elephant'!$S$204)</f>
        <v/>
      </c>
    </row>
    <row r="1069" customFormat="false" ht="66" hidden="false" customHeight="true" outlineLevel="0" collapsed="false">
      <c r="A1069" s="291" t="str">
        <f aca="true">IF(ISNUMBER($J1069),INDIRECT("L"&amp;($J1069+4)),"")</f>
        <v/>
      </c>
      <c r="B1069" s="291" t="str">
        <f aca="true">IF(ISNUMBER($J1069),INDIRECT("M"&amp;($J1069+4)),"")</f>
        <v/>
      </c>
      <c r="C1069" s="296" t="str">
        <f aca="true">IF(ISNUMBER($J1069),INDIRECT("N"&amp;($J1069+4)),"")</f>
        <v/>
      </c>
      <c r="D1069" s="291" t="str">
        <f aca="true">IF(ISNUMBER($J1069),INDIRECT("O"&amp;($J1069+4)),"")</f>
        <v/>
      </c>
      <c r="E1069" s="291" t="str">
        <f aca="true">IF(ISNUMBER($J1069),INDIRECT("P"&amp;($J1069+4)),"")</f>
        <v/>
      </c>
      <c r="F1069" s="300" t="str">
        <f aca="true">IF(ISNUMBER($J1069),INDIRECT("Q"&amp;($J1069+4)),"")</f>
        <v/>
      </c>
      <c r="G1069" s="298" t="str">
        <f aca="true">IF(ISNUMBER($J1069),INDIRECT("R"&amp;($J1069+4)),"")</f>
        <v/>
      </c>
      <c r="H1069" s="298" t="str">
        <f aca="true">IF(ISNUMBER($J1069),INDIRECT("S"&amp;($J1069+4)),"")</f>
        <v/>
      </c>
      <c r="J1069" s="292" t="str">
        <f aca="true">IF(1065&lt;=$K$1,MATCH(1064.5,INDIRECT("$K$4:$K$1374"),1),"")</f>
        <v/>
      </c>
      <c r="K1069" s="292" t="n">
        <f aca="false">$K$1028+COUNTIF($Q$1029:Q1069,"&gt;0")</f>
        <v>0</v>
      </c>
      <c r="L1069" s="292" t="str">
        <f aca="false">"Стёкла серии Elephant"&amp;" · "&amp;'Стёкла серии Elephant'!$N$205</f>
        <v>Стёкла серии Elephant · Elephant</v>
      </c>
      <c r="M1069" s="292" t="str">
        <f aca="false">IF(ISBLANK('Стёкла серии Elephant'!$O$205),"",'Стёкла серии Elephant'!$O$205)</f>
        <v>Mi 9 Lite</v>
      </c>
      <c r="N1069" s="292" t="str">
        <f aca="false">""</f>
        <v/>
      </c>
      <c r="O1069" s="292" t="str">
        <f aca="false">""</f>
        <v/>
      </c>
      <c r="P1069" s="292" t="str">
        <f aca="false">IF(ISBLANK('Стёкла серии Elephant'!$P$205),"",'Стёкла серии Elephant'!$P$205)</f>
        <v>шт.</v>
      </c>
      <c r="Q1069" s="292" t="n">
        <f aca="false">N('Стёкла серии Elephant'!$R$205)</f>
        <v>0</v>
      </c>
      <c r="R1069" s="299" t="n">
        <f aca="false">IF(ISBLANK('Стёкла серии Elephant'!$Q$205),"",'Стёкла серии Elephant'!$Q$205)</f>
        <v>122.32</v>
      </c>
      <c r="S1069" s="292" t="str">
        <f aca="false">IF(ISBLANK('Стёкла серии Elephant'!$S$205),"",'Стёкла серии Elephant'!$S$205)</f>
        <v/>
      </c>
    </row>
    <row r="1070" customFormat="false" ht="66" hidden="false" customHeight="true" outlineLevel="0" collapsed="false">
      <c r="A1070" s="291" t="str">
        <f aca="true">IF(ISNUMBER($J1070),INDIRECT("L"&amp;($J1070+4)),"")</f>
        <v/>
      </c>
      <c r="B1070" s="291" t="str">
        <f aca="true">IF(ISNUMBER($J1070),INDIRECT("M"&amp;($J1070+4)),"")</f>
        <v/>
      </c>
      <c r="C1070" s="296" t="str">
        <f aca="true">IF(ISNUMBER($J1070),INDIRECT("N"&amp;($J1070+4)),"")</f>
        <v/>
      </c>
      <c r="D1070" s="291" t="str">
        <f aca="true">IF(ISNUMBER($J1070),INDIRECT("O"&amp;($J1070+4)),"")</f>
        <v/>
      </c>
      <c r="E1070" s="291" t="str">
        <f aca="true">IF(ISNUMBER($J1070),INDIRECT("P"&amp;($J1070+4)),"")</f>
        <v/>
      </c>
      <c r="F1070" s="300" t="str">
        <f aca="true">IF(ISNUMBER($J1070),INDIRECT("Q"&amp;($J1070+4)),"")</f>
        <v/>
      </c>
      <c r="G1070" s="298" t="str">
        <f aca="true">IF(ISNUMBER($J1070),INDIRECT("R"&amp;($J1070+4)),"")</f>
        <v/>
      </c>
      <c r="H1070" s="298" t="str">
        <f aca="true">IF(ISNUMBER($J1070),INDIRECT("S"&amp;($J1070+4)),"")</f>
        <v/>
      </c>
      <c r="J1070" s="292" t="str">
        <f aca="true">IF(1066&lt;=$K$1,MATCH(1065.5,INDIRECT("$K$4:$K$1374"),1),"")</f>
        <v/>
      </c>
      <c r="K1070" s="292" t="n">
        <f aca="false">$K$1028+COUNTIF($Q$1029:Q1070,"&gt;0")</f>
        <v>0</v>
      </c>
      <c r="L1070" s="292" t="str">
        <f aca="false">"Стёкла серии Elephant"&amp;" · "&amp;'Стёкла серии Elephant'!$N$206</f>
        <v>Стёкла серии Elephant · Elephant</v>
      </c>
      <c r="M1070" s="292" t="str">
        <f aca="false">IF(ISBLANK('Стёкла серии Elephant'!$O$206),"",'Стёкла серии Elephant'!$O$206)</f>
        <v>Redmi k40游戏增强版/POCO F3 GT</v>
      </c>
      <c r="N1070" s="292" t="str">
        <f aca="false">""</f>
        <v/>
      </c>
      <c r="O1070" s="292" t="str">
        <f aca="false">""</f>
        <v/>
      </c>
      <c r="P1070" s="292" t="str">
        <f aca="false">IF(ISBLANK('Стёкла серии Elephant'!$P$206),"",'Стёкла серии Elephant'!$P$206)</f>
        <v>шт.</v>
      </c>
      <c r="Q1070" s="292" t="n">
        <f aca="false">N('Стёкла серии Elephant'!$R$206)</f>
        <v>0</v>
      </c>
      <c r="R1070" s="299" t="n">
        <f aca="false">IF(ISBLANK('Стёкла серии Elephant'!$Q$206),"",'Стёкла серии Elephant'!$Q$206)</f>
        <v>122.32</v>
      </c>
      <c r="S1070" s="292" t="str">
        <f aca="false">IF(ISBLANK('Стёкла серии Elephant'!$S$206),"",'Стёкла серии Elephant'!$S$206)</f>
        <v/>
      </c>
    </row>
    <row r="1071" customFormat="false" ht="66" hidden="false" customHeight="true" outlineLevel="0" collapsed="false">
      <c r="A1071" s="291" t="str">
        <f aca="true">IF(ISNUMBER($J1071),INDIRECT("L"&amp;($J1071+4)),"")</f>
        <v/>
      </c>
      <c r="B1071" s="291" t="str">
        <f aca="true">IF(ISNUMBER($J1071),INDIRECT("M"&amp;($J1071+4)),"")</f>
        <v/>
      </c>
      <c r="C1071" s="296" t="str">
        <f aca="true">IF(ISNUMBER($J1071),INDIRECT("N"&amp;($J1071+4)),"")</f>
        <v/>
      </c>
      <c r="D1071" s="291" t="str">
        <f aca="true">IF(ISNUMBER($J1071),INDIRECT("O"&amp;($J1071+4)),"")</f>
        <v/>
      </c>
      <c r="E1071" s="291" t="str">
        <f aca="true">IF(ISNUMBER($J1071),INDIRECT("P"&amp;($J1071+4)),"")</f>
        <v/>
      </c>
      <c r="F1071" s="300" t="str">
        <f aca="true">IF(ISNUMBER($J1071),INDIRECT("Q"&amp;($J1071+4)),"")</f>
        <v/>
      </c>
      <c r="G1071" s="298" t="str">
        <f aca="true">IF(ISNUMBER($J1071),INDIRECT("R"&amp;($J1071+4)),"")</f>
        <v/>
      </c>
      <c r="H1071" s="298" t="str">
        <f aca="true">IF(ISNUMBER($J1071),INDIRECT("S"&amp;($J1071+4)),"")</f>
        <v/>
      </c>
      <c r="J1071" s="292" t="str">
        <f aca="true">IF(1067&lt;=$K$1,MATCH(1066.5,INDIRECT("$K$4:$K$1374"),1),"")</f>
        <v/>
      </c>
      <c r="K1071" s="292" t="n">
        <f aca="false">$K$1028+COUNTIF($Q$1029:Q1071,"&gt;0")</f>
        <v>0</v>
      </c>
      <c r="L1071" s="292" t="str">
        <f aca="false">"Стёкла серии Elephant"&amp;" · "&amp;'Стёкла серии Elephant'!$N$207</f>
        <v>Стёкла серии Elephant · Elephant</v>
      </c>
      <c r="M1071" s="292" t="str">
        <f aca="false">IF(ISBLANK('Стёкла серии Elephant'!$O$207),"",'Стёкла серии Elephant'!$O$207)</f>
        <v>A70</v>
      </c>
      <c r="N1071" s="292" t="str">
        <f aca="false">""</f>
        <v/>
      </c>
      <c r="O1071" s="292" t="str">
        <f aca="false">""</f>
        <v/>
      </c>
      <c r="P1071" s="292" t="str">
        <f aca="false">IF(ISBLANK('Стёкла серии Elephant'!$P$207),"",'Стёкла серии Elephant'!$P$207)</f>
        <v>шт.</v>
      </c>
      <c r="Q1071" s="292" t="n">
        <f aca="false">N('Стёкла серии Elephant'!$R$207)</f>
        <v>0</v>
      </c>
      <c r="R1071" s="299" t="n">
        <f aca="false">IF(ISBLANK('Стёкла серии Elephant'!$Q$207),"",'Стёкла серии Elephant'!$Q$207)</f>
        <v>122.32</v>
      </c>
      <c r="S1071" s="292" t="str">
        <f aca="false">IF(ISBLANK('Стёкла серии Elephant'!$S$207),"",'Стёкла серии Elephant'!$S$207)</f>
        <v/>
      </c>
    </row>
    <row r="1072" customFormat="false" ht="66" hidden="false" customHeight="true" outlineLevel="0" collapsed="false">
      <c r="A1072" s="291" t="str">
        <f aca="true">IF(ISNUMBER($J1072),INDIRECT("L"&amp;($J1072+4)),"")</f>
        <v/>
      </c>
      <c r="B1072" s="291" t="str">
        <f aca="true">IF(ISNUMBER($J1072),INDIRECT("M"&amp;($J1072+4)),"")</f>
        <v/>
      </c>
      <c r="C1072" s="296" t="str">
        <f aca="true">IF(ISNUMBER($J1072),INDIRECT("N"&amp;($J1072+4)),"")</f>
        <v/>
      </c>
      <c r="D1072" s="291" t="str">
        <f aca="true">IF(ISNUMBER($J1072),INDIRECT("O"&amp;($J1072+4)),"")</f>
        <v/>
      </c>
      <c r="E1072" s="291" t="str">
        <f aca="true">IF(ISNUMBER($J1072),INDIRECT("P"&amp;($J1072+4)),"")</f>
        <v/>
      </c>
      <c r="F1072" s="300" t="str">
        <f aca="true">IF(ISNUMBER($J1072),INDIRECT("Q"&amp;($J1072+4)),"")</f>
        <v/>
      </c>
      <c r="G1072" s="298" t="str">
        <f aca="true">IF(ISNUMBER($J1072),INDIRECT("R"&amp;($J1072+4)),"")</f>
        <v/>
      </c>
      <c r="H1072" s="298" t="str">
        <f aca="true">IF(ISNUMBER($J1072),INDIRECT("S"&amp;($J1072+4)),"")</f>
        <v/>
      </c>
      <c r="J1072" s="292" t="str">
        <f aca="true">IF(1068&lt;=$K$1,MATCH(1067.5,INDIRECT("$K$4:$K$1374"),1),"")</f>
        <v/>
      </c>
      <c r="K1072" s="292" t="n">
        <f aca="false">$K$1028+COUNTIF($Q$1029:Q1072,"&gt;0")</f>
        <v>0</v>
      </c>
      <c r="L1072" s="292" t="str">
        <f aca="false">"Стёкла серии Elephant"&amp;" · "&amp;'Стёкла серии Elephant'!$N$208</f>
        <v>Стёкла серии Elephant · Elephant</v>
      </c>
      <c r="M1072" s="292" t="str">
        <f aca="false">IF(ISBLANK('Стёкла серии Elephant'!$O$208),"",'Стёкла серии Elephant'!$O$208)</f>
        <v>Realme XT PRO</v>
      </c>
      <c r="N1072" s="292" t="str">
        <f aca="false">""</f>
        <v/>
      </c>
      <c r="O1072" s="292" t="str">
        <f aca="false">""</f>
        <v/>
      </c>
      <c r="P1072" s="292" t="str">
        <f aca="false">IF(ISBLANK('Стёкла серии Elephant'!$P$208),"",'Стёкла серии Elephant'!$P$208)</f>
        <v>шт.</v>
      </c>
      <c r="Q1072" s="292" t="n">
        <f aca="false">N('Стёкла серии Elephant'!$R$208)</f>
        <v>0</v>
      </c>
      <c r="R1072" s="299" t="n">
        <f aca="false">IF(ISBLANK('Стёкла серии Elephant'!$Q$208),"",'Стёкла серии Elephant'!$Q$208)</f>
        <v>122.32</v>
      </c>
      <c r="S1072" s="292" t="str">
        <f aca="false">IF(ISBLANK('Стёкла серии Elephant'!$S$208),"",'Стёкла серии Elephant'!$S$208)</f>
        <v/>
      </c>
    </row>
    <row r="1073" customFormat="false" ht="66" hidden="false" customHeight="true" outlineLevel="0" collapsed="false">
      <c r="A1073" s="291" t="str">
        <f aca="true">IF(ISNUMBER($J1073),INDIRECT("L"&amp;($J1073+4)),"")</f>
        <v/>
      </c>
      <c r="B1073" s="291" t="str">
        <f aca="true">IF(ISNUMBER($J1073),INDIRECT("M"&amp;($J1073+4)),"")</f>
        <v/>
      </c>
      <c r="C1073" s="296" t="str">
        <f aca="true">IF(ISNUMBER($J1073),INDIRECT("N"&amp;($J1073+4)),"")</f>
        <v/>
      </c>
      <c r="D1073" s="291" t="str">
        <f aca="true">IF(ISNUMBER($J1073),INDIRECT("O"&amp;($J1073+4)),"")</f>
        <v/>
      </c>
      <c r="E1073" s="291" t="str">
        <f aca="true">IF(ISNUMBER($J1073),INDIRECT("P"&amp;($J1073+4)),"")</f>
        <v/>
      </c>
      <c r="F1073" s="300" t="str">
        <f aca="true">IF(ISNUMBER($J1073),INDIRECT("Q"&amp;($J1073+4)),"")</f>
        <v/>
      </c>
      <c r="G1073" s="298" t="str">
        <f aca="true">IF(ISNUMBER($J1073),INDIRECT("R"&amp;($J1073+4)),"")</f>
        <v/>
      </c>
      <c r="H1073" s="298" t="str">
        <f aca="true">IF(ISNUMBER($J1073),INDIRECT("S"&amp;($J1073+4)),"")</f>
        <v/>
      </c>
      <c r="J1073" s="292" t="str">
        <f aca="true">IF(1069&lt;=$K$1,MATCH(1068.5,INDIRECT("$K$4:$K$1374"),1),"")</f>
        <v/>
      </c>
      <c r="K1073" s="292" t="n">
        <f aca="false">$K$1028+COUNTIF($Q$1029:Q1073,"&gt;0")</f>
        <v>0</v>
      </c>
      <c r="L1073" s="292" t="str">
        <f aca="false">"Стёкла серии Elephant"&amp;" · "&amp;'Стёкла серии Elephant'!$N$209</f>
        <v>Стёкла серии Elephant · Elephant</v>
      </c>
      <c r="M1073" s="292" t="str">
        <f aca="false">IF(ISBLANK('Стёкла серии Elephant'!$O$209),"",'Стёкла серии Elephant'!$O$209)</f>
        <v>A52 /A72/A73 5G/A92/K7X/A74 5G/A93 5G</v>
      </c>
      <c r="N1073" s="292" t="str">
        <f aca="false">""</f>
        <v/>
      </c>
      <c r="O1073" s="292" t="str">
        <f aca="false">""</f>
        <v/>
      </c>
      <c r="P1073" s="292" t="str">
        <f aca="false">IF(ISBLANK('Стёкла серии Elephant'!$P$209),"",'Стёкла серии Elephant'!$P$209)</f>
        <v>шт.</v>
      </c>
      <c r="Q1073" s="292" t="n">
        <f aca="false">N('Стёкла серии Elephant'!$R$209)</f>
        <v>0</v>
      </c>
      <c r="R1073" s="299" t="n">
        <f aca="false">IF(ISBLANK('Стёкла серии Elephant'!$Q$209),"",'Стёкла серии Elephant'!$Q$209)</f>
        <v>122.32</v>
      </c>
      <c r="S1073" s="292" t="str">
        <f aca="false">IF(ISBLANK('Стёкла серии Elephant'!$S$209),"",'Стёкла серии Elephant'!$S$209)</f>
        <v/>
      </c>
    </row>
    <row r="1074" customFormat="false" ht="66" hidden="false" customHeight="true" outlineLevel="0" collapsed="false">
      <c r="A1074" s="291" t="str">
        <f aca="true">IF(ISNUMBER($J1074),INDIRECT("L"&amp;($J1074+4)),"")</f>
        <v/>
      </c>
      <c r="B1074" s="291" t="str">
        <f aca="true">IF(ISNUMBER($J1074),INDIRECT("M"&amp;($J1074+4)),"")</f>
        <v/>
      </c>
      <c r="C1074" s="296" t="str">
        <f aca="true">IF(ISNUMBER($J1074),INDIRECT("N"&amp;($J1074+4)),"")</f>
        <v/>
      </c>
      <c r="D1074" s="291" t="str">
        <f aca="true">IF(ISNUMBER($J1074),INDIRECT("O"&amp;($J1074+4)),"")</f>
        <v/>
      </c>
      <c r="E1074" s="291" t="str">
        <f aca="true">IF(ISNUMBER($J1074),INDIRECT("P"&amp;($J1074+4)),"")</f>
        <v/>
      </c>
      <c r="F1074" s="300" t="str">
        <f aca="true">IF(ISNUMBER($J1074),INDIRECT("Q"&amp;($J1074+4)),"")</f>
        <v/>
      </c>
      <c r="G1074" s="298" t="str">
        <f aca="true">IF(ISNUMBER($J1074),INDIRECT("R"&amp;($J1074+4)),"")</f>
        <v/>
      </c>
      <c r="H1074" s="298" t="str">
        <f aca="true">IF(ISNUMBER($J1074),INDIRECT("S"&amp;($J1074+4)),"")</f>
        <v/>
      </c>
      <c r="J1074" s="292" t="str">
        <f aca="true">IF(1070&lt;=$K$1,MATCH(1069.5,INDIRECT("$K$4:$K$1374"),1),"")</f>
        <v/>
      </c>
      <c r="K1074" s="292" t="n">
        <f aca="false">$K$1028+COUNTIF($Q$1029:Q1074,"&gt;0")</f>
        <v>0</v>
      </c>
      <c r="L1074" s="292" t="str">
        <f aca="false">"Стёкла серии Elephant"&amp;" · "&amp;'Стёкла серии Elephant'!$N$210</f>
        <v>Стёкла серии Elephant · Elephant</v>
      </c>
      <c r="M1074" s="292" t="str">
        <f aca="false">IF(ISBLANK('Стёкла серии Elephant'!$O$210),"",'Стёкла серии Elephant'!$O$210)</f>
        <v>Y20</v>
      </c>
      <c r="N1074" s="292" t="str">
        <f aca="false">""</f>
        <v/>
      </c>
      <c r="O1074" s="292" t="str">
        <f aca="false">""</f>
        <v/>
      </c>
      <c r="P1074" s="292" t="str">
        <f aca="false">IF(ISBLANK('Стёкла серии Elephant'!$P$210),"",'Стёкла серии Elephant'!$P$210)</f>
        <v>шт.</v>
      </c>
      <c r="Q1074" s="292" t="n">
        <f aca="false">N('Стёкла серии Elephant'!$R$210)</f>
        <v>0</v>
      </c>
      <c r="R1074" s="299" t="n">
        <f aca="false">IF(ISBLANK('Стёкла серии Elephant'!$Q$210),"",'Стёкла серии Elephant'!$Q$210)</f>
        <v>122.32</v>
      </c>
      <c r="S1074" s="292" t="str">
        <f aca="false">IF(ISBLANK('Стёкла серии Elephant'!$S$210),"",'Стёкла серии Elephant'!$S$210)</f>
        <v/>
      </c>
    </row>
    <row r="1075" customFormat="false" ht="66" hidden="false" customHeight="true" outlineLevel="0" collapsed="false">
      <c r="A1075" s="291" t="str">
        <f aca="true">IF(ISNUMBER($J1075),INDIRECT("L"&amp;($J1075+4)),"")</f>
        <v/>
      </c>
      <c r="B1075" s="291" t="str">
        <f aca="true">IF(ISNUMBER($J1075),INDIRECT("M"&amp;($J1075+4)),"")</f>
        <v/>
      </c>
      <c r="C1075" s="296" t="str">
        <f aca="true">IF(ISNUMBER($J1075),INDIRECT("N"&amp;($J1075+4)),"")</f>
        <v/>
      </c>
      <c r="D1075" s="291" t="str">
        <f aca="true">IF(ISNUMBER($J1075),INDIRECT("O"&amp;($J1075+4)),"")</f>
        <v/>
      </c>
      <c r="E1075" s="291" t="str">
        <f aca="true">IF(ISNUMBER($J1075),INDIRECT("P"&amp;($J1075+4)),"")</f>
        <v/>
      </c>
      <c r="F1075" s="300" t="str">
        <f aca="true">IF(ISNUMBER($J1075),INDIRECT("Q"&amp;($J1075+4)),"")</f>
        <v/>
      </c>
      <c r="G1075" s="298" t="str">
        <f aca="true">IF(ISNUMBER($J1075),INDIRECT("R"&amp;($J1075+4)),"")</f>
        <v/>
      </c>
      <c r="H1075" s="298" t="str">
        <f aca="true">IF(ISNUMBER($J1075),INDIRECT("S"&amp;($J1075+4)),"")</f>
        <v/>
      </c>
      <c r="J1075" s="292" t="str">
        <f aca="true">IF(1071&lt;=$K$1,MATCH(1070.5,INDIRECT("$K$4:$K$1374"),1),"")</f>
        <v/>
      </c>
      <c r="K1075" s="292" t="n">
        <f aca="false">$K$1028+COUNTIF($Q$1029:Q1075,"&gt;0")</f>
        <v>0</v>
      </c>
      <c r="L1075" s="292" t="str">
        <f aca="false">"Стёкла серии Elephant"&amp;" · "&amp;'Стёкла серии Elephant'!$N$211</f>
        <v>Стёкла серии Elephant · Elephant</v>
      </c>
      <c r="M1075" s="292" t="str">
        <f aca="false">IF(ISBLANK('Стёкла серии Elephant'!$O$211),"",'Стёкла серии Elephant'!$O$211)</f>
        <v>Y6/Y6pro/Y6prime-2018</v>
      </c>
      <c r="N1075" s="292" t="str">
        <f aca="false">""</f>
        <v/>
      </c>
      <c r="O1075" s="292" t="str">
        <f aca="false">""</f>
        <v/>
      </c>
      <c r="P1075" s="292" t="str">
        <f aca="false">IF(ISBLANK('Стёкла серии Elephant'!$P$211),"",'Стёкла серии Elephant'!$P$211)</f>
        <v>шт.</v>
      </c>
      <c r="Q1075" s="292" t="n">
        <f aca="false">N('Стёкла серии Elephant'!$R$211)</f>
        <v>0</v>
      </c>
      <c r="R1075" s="299" t="n">
        <f aca="false">IF(ISBLANK('Стёкла серии Elephant'!$Q$211),"",'Стёкла серии Elephant'!$Q$211)</f>
        <v>122.32</v>
      </c>
      <c r="S1075" s="292" t="str">
        <f aca="false">IF(ISBLANK('Стёкла серии Elephant'!$S$211),"",'Стёкла серии Elephant'!$S$211)</f>
        <v/>
      </c>
    </row>
    <row r="1076" customFormat="false" ht="66" hidden="false" customHeight="true" outlineLevel="0" collapsed="false">
      <c r="A1076" s="291" t="str">
        <f aca="true">IF(ISNUMBER($J1076),INDIRECT("L"&amp;($J1076+4)),"")</f>
        <v/>
      </c>
      <c r="B1076" s="291" t="str">
        <f aca="true">IF(ISNUMBER($J1076),INDIRECT("M"&amp;($J1076+4)),"")</f>
        <v/>
      </c>
      <c r="C1076" s="296" t="str">
        <f aca="true">IF(ISNUMBER($J1076),INDIRECT("N"&amp;($J1076+4)),"")</f>
        <v/>
      </c>
      <c r="D1076" s="291" t="str">
        <f aca="true">IF(ISNUMBER($J1076),INDIRECT("O"&amp;($J1076+4)),"")</f>
        <v/>
      </c>
      <c r="E1076" s="291" t="str">
        <f aca="true">IF(ISNUMBER($J1076),INDIRECT("P"&amp;($J1076+4)),"")</f>
        <v/>
      </c>
      <c r="F1076" s="300" t="str">
        <f aca="true">IF(ISNUMBER($J1076),INDIRECT("Q"&amp;($J1076+4)),"")</f>
        <v/>
      </c>
      <c r="G1076" s="298" t="str">
        <f aca="true">IF(ISNUMBER($J1076),INDIRECT("R"&amp;($J1076+4)),"")</f>
        <v/>
      </c>
      <c r="H1076" s="298" t="str">
        <f aca="true">IF(ISNUMBER($J1076),INDIRECT("S"&amp;($J1076+4)),"")</f>
        <v/>
      </c>
      <c r="J1076" s="292" t="str">
        <f aca="true">IF(1072&lt;=$K$1,MATCH(1071.5,INDIRECT("$K$4:$K$1374"),1),"")</f>
        <v/>
      </c>
      <c r="K1076" s="292" t="n">
        <f aca="false">$K$1028+COUNTIF($Q$1029:Q1076,"&gt;0")</f>
        <v>0</v>
      </c>
      <c r="L1076" s="292" t="str">
        <f aca="false">"Стёкла серии Elephant"&amp;" · "&amp;'Стёкла серии Elephant'!$N$212</f>
        <v>Стёкла серии Elephant · Elephant</v>
      </c>
      <c r="M1076" s="292" t="str">
        <f aca="false">IF(ISBLANK('Стёкла серии Elephant'!$O$212),"",'Стёкла серии Elephant'!$O$212)</f>
        <v>Honor 7S</v>
      </c>
      <c r="N1076" s="292" t="str">
        <f aca="false">""</f>
        <v/>
      </c>
      <c r="O1076" s="292" t="str">
        <f aca="false">""</f>
        <v/>
      </c>
      <c r="P1076" s="292" t="str">
        <f aca="false">IF(ISBLANK('Стёкла серии Elephant'!$P$212),"",'Стёкла серии Elephant'!$P$212)</f>
        <v>шт.</v>
      </c>
      <c r="Q1076" s="292" t="n">
        <f aca="false">N('Стёкла серии Elephant'!$R$212)</f>
        <v>0</v>
      </c>
      <c r="R1076" s="299" t="n">
        <f aca="false">IF(ISBLANK('Стёкла серии Elephant'!$Q$212),"",'Стёкла серии Elephant'!$Q$212)</f>
        <v>122.32</v>
      </c>
      <c r="S1076" s="292" t="str">
        <f aca="false">IF(ISBLANK('Стёкла серии Elephant'!$S$212),"",'Стёкла серии Elephant'!$S$212)</f>
        <v/>
      </c>
    </row>
    <row r="1077" customFormat="false" ht="66" hidden="false" customHeight="true" outlineLevel="0" collapsed="false">
      <c r="A1077" s="291" t="str">
        <f aca="true">IF(ISNUMBER($J1077),INDIRECT("L"&amp;($J1077+4)),"")</f>
        <v/>
      </c>
      <c r="B1077" s="291" t="str">
        <f aca="true">IF(ISNUMBER($J1077),INDIRECT("M"&amp;($J1077+4)),"")</f>
        <v/>
      </c>
      <c r="C1077" s="296" t="str">
        <f aca="true">IF(ISNUMBER($J1077),INDIRECT("N"&amp;($J1077+4)),"")</f>
        <v/>
      </c>
      <c r="D1077" s="291" t="str">
        <f aca="true">IF(ISNUMBER($J1077),INDIRECT("O"&amp;($J1077+4)),"")</f>
        <v/>
      </c>
      <c r="E1077" s="291" t="str">
        <f aca="true">IF(ISNUMBER($J1077),INDIRECT("P"&amp;($J1077+4)),"")</f>
        <v/>
      </c>
      <c r="F1077" s="300" t="str">
        <f aca="true">IF(ISNUMBER($J1077),INDIRECT("Q"&amp;($J1077+4)),"")</f>
        <v/>
      </c>
      <c r="G1077" s="298" t="str">
        <f aca="true">IF(ISNUMBER($J1077),INDIRECT("R"&amp;($J1077+4)),"")</f>
        <v/>
      </c>
      <c r="H1077" s="298" t="str">
        <f aca="true">IF(ISNUMBER($J1077),INDIRECT("S"&amp;($J1077+4)),"")</f>
        <v/>
      </c>
      <c r="J1077" s="292" t="str">
        <f aca="true">IF(1073&lt;=$K$1,MATCH(1072.5,INDIRECT("$K$4:$K$1374"),1),"")</f>
        <v/>
      </c>
      <c r="K1077" s="292" t="n">
        <f aca="false">$K$1028+COUNTIF($Q$1029:Q1077,"&gt;0")</f>
        <v>0</v>
      </c>
      <c r="L1077" s="292" t="str">
        <f aca="false">"Стёкла серии Elephant"&amp;" · "&amp;'Стёкла серии Elephant'!$N$213</f>
        <v>Стёкла серии Elephant · Elephant</v>
      </c>
      <c r="M1077" s="292" t="str">
        <f aca="false">IF(ISBLANK('Стёкла серии Elephant'!$O$213),"",'Стёкла серии Elephant'!$O$213)</f>
        <v>Mi 9 Pro(5G)</v>
      </c>
      <c r="N1077" s="292" t="str">
        <f aca="false">""</f>
        <v/>
      </c>
      <c r="O1077" s="292" t="str">
        <f aca="false">""</f>
        <v/>
      </c>
      <c r="P1077" s="292" t="str">
        <f aca="false">IF(ISBLANK('Стёкла серии Elephant'!$P$213),"",'Стёкла серии Elephant'!$P$213)</f>
        <v>шт.</v>
      </c>
      <c r="Q1077" s="292" t="n">
        <f aca="false">N('Стёкла серии Elephant'!$R$213)</f>
        <v>0</v>
      </c>
      <c r="R1077" s="299" t="n">
        <f aca="false">IF(ISBLANK('Стёкла серии Elephant'!$Q$213),"",'Стёкла серии Elephant'!$Q$213)</f>
        <v>122.32</v>
      </c>
      <c r="S1077" s="292" t="str">
        <f aca="false">IF(ISBLANK('Стёкла серии Elephant'!$S$213),"",'Стёкла серии Elephant'!$S$213)</f>
        <v/>
      </c>
    </row>
    <row r="1078" customFormat="false" ht="66" hidden="false" customHeight="true" outlineLevel="0" collapsed="false">
      <c r="A1078" s="291" t="str">
        <f aca="true">IF(ISNUMBER($J1078),INDIRECT("L"&amp;($J1078+4)),"")</f>
        <v/>
      </c>
      <c r="B1078" s="291" t="str">
        <f aca="true">IF(ISNUMBER($J1078),INDIRECT("M"&amp;($J1078+4)),"")</f>
        <v/>
      </c>
      <c r="C1078" s="296" t="str">
        <f aca="true">IF(ISNUMBER($J1078),INDIRECT("N"&amp;($J1078+4)),"")</f>
        <v/>
      </c>
      <c r="D1078" s="291" t="str">
        <f aca="true">IF(ISNUMBER($J1078),INDIRECT("O"&amp;($J1078+4)),"")</f>
        <v/>
      </c>
      <c r="E1078" s="291" t="str">
        <f aca="true">IF(ISNUMBER($J1078),INDIRECT("P"&amp;($J1078+4)),"")</f>
        <v/>
      </c>
      <c r="F1078" s="300" t="str">
        <f aca="true">IF(ISNUMBER($J1078),INDIRECT("Q"&amp;($J1078+4)),"")</f>
        <v/>
      </c>
      <c r="G1078" s="298" t="str">
        <f aca="true">IF(ISNUMBER($J1078),INDIRECT("R"&amp;($J1078+4)),"")</f>
        <v/>
      </c>
      <c r="H1078" s="298" t="str">
        <f aca="true">IF(ISNUMBER($J1078),INDIRECT("S"&amp;($J1078+4)),"")</f>
        <v/>
      </c>
      <c r="J1078" s="292" t="str">
        <f aca="true">IF(1074&lt;=$K$1,MATCH(1073.5,INDIRECT("$K$4:$K$1374"),1),"")</f>
        <v/>
      </c>
      <c r="K1078" s="292" t="n">
        <f aca="false">$K$1028+COUNTIF($Q$1029:Q1078,"&gt;0")</f>
        <v>0</v>
      </c>
      <c r="L1078" s="292" t="str">
        <f aca="false">"Стёкла серии Elephant"&amp;" · "&amp;'Стёкла серии Elephant'!$N$214</f>
        <v>Стёкла серии Elephant · Elephant</v>
      </c>
      <c r="M1078" s="292" t="str">
        <f aca="false">IF(ISBLANK('Стёкла серии Elephant'!$O$214),"",'Стёкла серии Elephant'!$O$214)</f>
        <v>Redmi 10i</v>
      </c>
      <c r="N1078" s="292" t="str">
        <f aca="false">""</f>
        <v/>
      </c>
      <c r="O1078" s="292" t="str">
        <f aca="false">""</f>
        <v/>
      </c>
      <c r="P1078" s="292" t="str">
        <f aca="false">IF(ISBLANK('Стёкла серии Elephant'!$P$214),"",'Стёкла серии Elephant'!$P$214)</f>
        <v>шт.</v>
      </c>
      <c r="Q1078" s="292" t="n">
        <f aca="false">N('Стёкла серии Elephant'!$R$214)</f>
        <v>0</v>
      </c>
      <c r="R1078" s="299" t="n">
        <f aca="false">IF(ISBLANK('Стёкла серии Elephant'!$Q$214),"",'Стёкла серии Elephant'!$Q$214)</f>
        <v>122.32</v>
      </c>
      <c r="S1078" s="292" t="str">
        <f aca="false">IF(ISBLANK('Стёкла серии Elephant'!$S$214),"",'Стёкла серии Elephant'!$S$214)</f>
        <v/>
      </c>
    </row>
    <row r="1079" customFormat="false" ht="66" hidden="false" customHeight="true" outlineLevel="0" collapsed="false">
      <c r="A1079" s="291" t="str">
        <f aca="true">IF(ISNUMBER($J1079),INDIRECT("L"&amp;($J1079+4)),"")</f>
        <v/>
      </c>
      <c r="B1079" s="291" t="str">
        <f aca="true">IF(ISNUMBER($J1079),INDIRECT("M"&amp;($J1079+4)),"")</f>
        <v/>
      </c>
      <c r="C1079" s="296" t="str">
        <f aca="true">IF(ISNUMBER($J1079),INDIRECT("N"&amp;($J1079+4)),"")</f>
        <v/>
      </c>
      <c r="D1079" s="291" t="str">
        <f aca="true">IF(ISNUMBER($J1079),INDIRECT("O"&amp;($J1079+4)),"")</f>
        <v/>
      </c>
      <c r="E1079" s="291" t="str">
        <f aca="true">IF(ISNUMBER($J1079),INDIRECT("P"&amp;($J1079+4)),"")</f>
        <v/>
      </c>
      <c r="F1079" s="300" t="str">
        <f aca="true">IF(ISNUMBER($J1079),INDIRECT("Q"&amp;($J1079+4)),"")</f>
        <v/>
      </c>
      <c r="G1079" s="298" t="str">
        <f aca="true">IF(ISNUMBER($J1079),INDIRECT("R"&amp;($J1079+4)),"")</f>
        <v/>
      </c>
      <c r="H1079" s="298" t="str">
        <f aca="true">IF(ISNUMBER($J1079),INDIRECT("S"&amp;($J1079+4)),"")</f>
        <v/>
      </c>
      <c r="J1079" s="292" t="str">
        <f aca="true">IF(1075&lt;=$K$1,MATCH(1074.5,INDIRECT("$K$4:$K$1374"),1),"")</f>
        <v/>
      </c>
      <c r="K1079" s="292" t="n">
        <f aca="false">$K$1028+COUNTIF($Q$1029:Q1079,"&gt;0")</f>
        <v>0</v>
      </c>
      <c r="L1079" s="292" t="str">
        <f aca="false">"Стёкла серии Elephant"&amp;" · "&amp;'Стёкла серии Elephant'!$N$215</f>
        <v>Стёкла серии Elephant · Elephant</v>
      </c>
      <c r="M1079" s="292" t="str">
        <f aca="false">IF(ISBLANK('Стёкла серии Elephant'!$O$215),"",'Стёкла серии Elephant'!$O$215)</f>
        <v>A80/A90</v>
      </c>
      <c r="N1079" s="292" t="str">
        <f aca="false">""</f>
        <v/>
      </c>
      <c r="O1079" s="292" t="str">
        <f aca="false">""</f>
        <v/>
      </c>
      <c r="P1079" s="292" t="str">
        <f aca="false">IF(ISBLANK('Стёкла серии Elephant'!$P$215),"",'Стёкла серии Elephant'!$P$215)</f>
        <v>шт.</v>
      </c>
      <c r="Q1079" s="292" t="n">
        <f aca="false">N('Стёкла серии Elephant'!$R$215)</f>
        <v>0</v>
      </c>
      <c r="R1079" s="299" t="n">
        <f aca="false">IF(ISBLANK('Стёкла серии Elephant'!$Q$215),"",'Стёкла серии Elephant'!$Q$215)</f>
        <v>122.32</v>
      </c>
      <c r="S1079" s="292" t="str">
        <f aca="false">IF(ISBLANK('Стёкла серии Elephant'!$S$215),"",'Стёкла серии Elephant'!$S$215)</f>
        <v/>
      </c>
    </row>
    <row r="1080" customFormat="false" ht="66" hidden="false" customHeight="true" outlineLevel="0" collapsed="false">
      <c r="A1080" s="291" t="str">
        <f aca="true">IF(ISNUMBER($J1080),INDIRECT("L"&amp;($J1080+4)),"")</f>
        <v/>
      </c>
      <c r="B1080" s="291" t="str">
        <f aca="true">IF(ISNUMBER($J1080),INDIRECT("M"&amp;($J1080+4)),"")</f>
        <v/>
      </c>
      <c r="C1080" s="296" t="str">
        <f aca="true">IF(ISNUMBER($J1080),INDIRECT("N"&amp;($J1080+4)),"")</f>
        <v/>
      </c>
      <c r="D1080" s="291" t="str">
        <f aca="true">IF(ISNUMBER($J1080),INDIRECT("O"&amp;($J1080+4)),"")</f>
        <v/>
      </c>
      <c r="E1080" s="291" t="str">
        <f aca="true">IF(ISNUMBER($J1080),INDIRECT("P"&amp;($J1080+4)),"")</f>
        <v/>
      </c>
      <c r="F1080" s="300" t="str">
        <f aca="true">IF(ISNUMBER($J1080),INDIRECT("Q"&amp;($J1080+4)),"")</f>
        <v/>
      </c>
      <c r="G1080" s="298" t="str">
        <f aca="true">IF(ISNUMBER($J1080),INDIRECT("R"&amp;($J1080+4)),"")</f>
        <v/>
      </c>
      <c r="H1080" s="298" t="str">
        <f aca="true">IF(ISNUMBER($J1080),INDIRECT("S"&amp;($J1080+4)),"")</f>
        <v/>
      </c>
      <c r="J1080" s="292" t="str">
        <f aca="true">IF(1076&lt;=$K$1,MATCH(1075.5,INDIRECT("$K$4:$K$1374"),1),"")</f>
        <v/>
      </c>
      <c r="K1080" s="292" t="n">
        <f aca="false">$K$1028+COUNTIF($Q$1029:Q1080,"&gt;0")</f>
        <v>0</v>
      </c>
      <c r="L1080" s="292" t="str">
        <f aca="false">"Стёкла серии Elephant"&amp;" · "&amp;'Стёкла серии Elephant'!$N$216</f>
        <v>Стёкла серии Elephant · Elephant</v>
      </c>
      <c r="M1080" s="292" t="str">
        <f aca="false">IF(ISBLANK('Стёкла серии Elephant'!$O$216),"",'Стёкла серии Elephant'!$O$216)</f>
        <v>Realme XT</v>
      </c>
      <c r="N1080" s="292" t="str">
        <f aca="false">""</f>
        <v/>
      </c>
      <c r="O1080" s="292" t="str">
        <f aca="false">""</f>
        <v/>
      </c>
      <c r="P1080" s="292" t="str">
        <f aca="false">IF(ISBLANK('Стёкла серии Elephant'!$P$216),"",'Стёкла серии Elephant'!$P$216)</f>
        <v>шт.</v>
      </c>
      <c r="Q1080" s="292" t="n">
        <f aca="false">N('Стёкла серии Elephant'!$R$216)</f>
        <v>0</v>
      </c>
      <c r="R1080" s="299" t="n">
        <f aca="false">IF(ISBLANK('Стёкла серии Elephant'!$Q$216),"",'Стёкла серии Elephant'!$Q$216)</f>
        <v>122.32</v>
      </c>
      <c r="S1080" s="292" t="str">
        <f aca="false">IF(ISBLANK('Стёкла серии Elephant'!$S$216),"",'Стёкла серии Elephant'!$S$216)</f>
        <v/>
      </c>
    </row>
    <row r="1081" customFormat="false" ht="66" hidden="false" customHeight="true" outlineLevel="0" collapsed="false">
      <c r="A1081" s="291" t="str">
        <f aca="true">IF(ISNUMBER($J1081),INDIRECT("L"&amp;($J1081+4)),"")</f>
        <v/>
      </c>
      <c r="B1081" s="291" t="str">
        <f aca="true">IF(ISNUMBER($J1081),INDIRECT("M"&amp;($J1081+4)),"")</f>
        <v/>
      </c>
      <c r="C1081" s="296" t="str">
        <f aca="true">IF(ISNUMBER($J1081),INDIRECT("N"&amp;($J1081+4)),"")</f>
        <v/>
      </c>
      <c r="D1081" s="291" t="str">
        <f aca="true">IF(ISNUMBER($J1081),INDIRECT("O"&amp;($J1081+4)),"")</f>
        <v/>
      </c>
      <c r="E1081" s="291" t="str">
        <f aca="true">IF(ISNUMBER($J1081),INDIRECT("P"&amp;($J1081+4)),"")</f>
        <v/>
      </c>
      <c r="F1081" s="300" t="str">
        <f aca="true">IF(ISNUMBER($J1081),INDIRECT("Q"&amp;($J1081+4)),"")</f>
        <v/>
      </c>
      <c r="G1081" s="298" t="str">
        <f aca="true">IF(ISNUMBER($J1081),INDIRECT("R"&amp;($J1081+4)),"")</f>
        <v/>
      </c>
      <c r="H1081" s="298" t="str">
        <f aca="true">IF(ISNUMBER($J1081),INDIRECT("S"&amp;($J1081+4)),"")</f>
        <v/>
      </c>
      <c r="J1081" s="292" t="str">
        <f aca="true">IF(1077&lt;=$K$1,MATCH(1076.5,INDIRECT("$K$4:$K$1374"),1),"")</f>
        <v/>
      </c>
      <c r="K1081" s="292" t="n">
        <f aca="false">$K$1028+COUNTIF($Q$1029:Q1081,"&gt;0")</f>
        <v>0</v>
      </c>
      <c r="L1081" s="292" t="str">
        <f aca="false">"Стёкла серии Elephant"&amp;" · "&amp;'Стёкла серии Elephant'!$N$217</f>
        <v>Стёкла серии Elephant · Elephant</v>
      </c>
      <c r="M1081" s="292" t="str">
        <f aca="false">IF(ISBLANK('Стёкла серии Elephant'!$O$217),"",'Стёкла серии Elephant'!$O$217)</f>
        <v>A93 4G</v>
      </c>
      <c r="N1081" s="292" t="str">
        <f aca="false">""</f>
        <v/>
      </c>
      <c r="O1081" s="292" t="str">
        <f aca="false">""</f>
        <v/>
      </c>
      <c r="P1081" s="292" t="str">
        <f aca="false">IF(ISBLANK('Стёкла серии Elephant'!$P$217),"",'Стёкла серии Elephant'!$P$217)</f>
        <v>шт.</v>
      </c>
      <c r="Q1081" s="292" t="n">
        <f aca="false">N('Стёкла серии Elephant'!$R$217)</f>
        <v>0</v>
      </c>
      <c r="R1081" s="299" t="n">
        <f aca="false">IF(ISBLANK('Стёкла серии Elephant'!$Q$217),"",'Стёкла серии Elephant'!$Q$217)</f>
        <v>122.32</v>
      </c>
      <c r="S1081" s="292" t="str">
        <f aca="false">IF(ISBLANK('Стёкла серии Elephant'!$S$217),"",'Стёкла серии Elephant'!$S$217)</f>
        <v/>
      </c>
    </row>
    <row r="1082" customFormat="false" ht="66" hidden="false" customHeight="true" outlineLevel="0" collapsed="false">
      <c r="A1082" s="291" t="str">
        <f aca="true">IF(ISNUMBER($J1082),INDIRECT("L"&amp;($J1082+4)),"")</f>
        <v/>
      </c>
      <c r="B1082" s="291" t="str">
        <f aca="true">IF(ISNUMBER($J1082),INDIRECT("M"&amp;($J1082+4)),"")</f>
        <v/>
      </c>
      <c r="C1082" s="296" t="str">
        <f aca="true">IF(ISNUMBER($J1082),INDIRECT("N"&amp;($J1082+4)),"")</f>
        <v/>
      </c>
      <c r="D1082" s="291" t="str">
        <f aca="true">IF(ISNUMBER($J1082),INDIRECT("O"&amp;($J1082+4)),"")</f>
        <v/>
      </c>
      <c r="E1082" s="291" t="str">
        <f aca="true">IF(ISNUMBER($J1082),INDIRECT("P"&amp;($J1082+4)),"")</f>
        <v/>
      </c>
      <c r="F1082" s="300" t="str">
        <f aca="true">IF(ISNUMBER($J1082),INDIRECT("Q"&amp;($J1082+4)),"")</f>
        <v/>
      </c>
      <c r="G1082" s="298" t="str">
        <f aca="true">IF(ISNUMBER($J1082),INDIRECT("R"&amp;($J1082+4)),"")</f>
        <v/>
      </c>
      <c r="H1082" s="298" t="str">
        <f aca="true">IF(ISNUMBER($J1082),INDIRECT("S"&amp;($J1082+4)),"")</f>
        <v/>
      </c>
      <c r="J1082" s="292" t="str">
        <f aca="true">IF(1078&lt;=$K$1,MATCH(1077.5,INDIRECT("$K$4:$K$1374"),1),"")</f>
        <v/>
      </c>
      <c r="K1082" s="292" t="n">
        <f aca="false">$K$1028+COUNTIF($Q$1029:Q1082,"&gt;0")</f>
        <v>0</v>
      </c>
      <c r="L1082" s="292" t="str">
        <f aca="false">"Стёкла серии Elephant"&amp;" · "&amp;'Стёкла серии Elephant'!$N$218</f>
        <v>Стёкла серии Elephant · Elephant</v>
      </c>
      <c r="M1082" s="292" t="str">
        <f aca="false">IF(ISBLANK('Стёкла серии Elephant'!$O$218),"",'Стёкла серии Elephant'!$O$218)</f>
        <v>Y20I</v>
      </c>
      <c r="N1082" s="292" t="str">
        <f aca="false">""</f>
        <v/>
      </c>
      <c r="O1082" s="292" t="str">
        <f aca="false">""</f>
        <v/>
      </c>
      <c r="P1082" s="292" t="str">
        <f aca="false">IF(ISBLANK('Стёкла серии Elephant'!$P$218),"",'Стёкла серии Elephant'!$P$218)</f>
        <v>шт.</v>
      </c>
      <c r="Q1082" s="292" t="n">
        <f aca="false">N('Стёкла серии Elephant'!$R$218)</f>
        <v>0</v>
      </c>
      <c r="R1082" s="299" t="n">
        <f aca="false">IF(ISBLANK('Стёкла серии Elephant'!$Q$218),"",'Стёкла серии Elephant'!$Q$218)</f>
        <v>122.32</v>
      </c>
      <c r="S1082" s="292" t="str">
        <f aca="false">IF(ISBLANK('Стёкла серии Elephant'!$S$218),"",'Стёкла серии Elephant'!$S$218)</f>
        <v/>
      </c>
    </row>
    <row r="1083" customFormat="false" ht="66" hidden="false" customHeight="true" outlineLevel="0" collapsed="false">
      <c r="A1083" s="291" t="str">
        <f aca="true">IF(ISNUMBER($J1083),INDIRECT("L"&amp;($J1083+4)),"")</f>
        <v/>
      </c>
      <c r="B1083" s="291" t="str">
        <f aca="true">IF(ISNUMBER($J1083),INDIRECT("M"&amp;($J1083+4)),"")</f>
        <v/>
      </c>
      <c r="C1083" s="296" t="str">
        <f aca="true">IF(ISNUMBER($J1083),INDIRECT("N"&amp;($J1083+4)),"")</f>
        <v/>
      </c>
      <c r="D1083" s="291" t="str">
        <f aca="true">IF(ISNUMBER($J1083),INDIRECT("O"&amp;($J1083+4)),"")</f>
        <v/>
      </c>
      <c r="E1083" s="291" t="str">
        <f aca="true">IF(ISNUMBER($J1083),INDIRECT("P"&amp;($J1083+4)),"")</f>
        <v/>
      </c>
      <c r="F1083" s="300" t="str">
        <f aca="true">IF(ISNUMBER($J1083),INDIRECT("Q"&amp;($J1083+4)),"")</f>
        <v/>
      </c>
      <c r="G1083" s="298" t="str">
        <f aca="true">IF(ISNUMBER($J1083),INDIRECT("R"&amp;($J1083+4)),"")</f>
        <v/>
      </c>
      <c r="H1083" s="298" t="str">
        <f aca="true">IF(ISNUMBER($J1083),INDIRECT("S"&amp;($J1083+4)),"")</f>
        <v/>
      </c>
      <c r="J1083" s="292" t="str">
        <f aca="true">IF(1079&lt;=$K$1,MATCH(1078.5,INDIRECT("$K$4:$K$1374"),1),"")</f>
        <v/>
      </c>
      <c r="K1083" s="292" t="n">
        <f aca="false">$K$1028+COUNTIF($Q$1029:Q1083,"&gt;0")</f>
        <v>0</v>
      </c>
      <c r="L1083" s="292" t="str">
        <f aca="false">"Стёкла серии Elephant"&amp;" · "&amp;'Стёкла серии Elephant'!$N$219</f>
        <v>Стёкла серии Elephant · Elephant</v>
      </c>
      <c r="M1083" s="292" t="str">
        <f aca="false">IF(ISBLANK('Стёкла серии Elephant'!$O$219),"",'Стёкла серии Elephant'!$O$219)</f>
        <v>Y5/Y5pro/Y5prime-2018</v>
      </c>
      <c r="N1083" s="292" t="str">
        <f aca="false">""</f>
        <v/>
      </c>
      <c r="O1083" s="292" t="str">
        <f aca="false">""</f>
        <v/>
      </c>
      <c r="P1083" s="292" t="str">
        <f aca="false">IF(ISBLANK('Стёкла серии Elephant'!$P$219),"",'Стёкла серии Elephant'!$P$219)</f>
        <v>шт.</v>
      </c>
      <c r="Q1083" s="292" t="n">
        <f aca="false">N('Стёкла серии Elephant'!$R$219)</f>
        <v>0</v>
      </c>
      <c r="R1083" s="299" t="n">
        <f aca="false">IF(ISBLANK('Стёкла серии Elephant'!$Q$219),"",'Стёкла серии Elephant'!$Q$219)</f>
        <v>122.32</v>
      </c>
      <c r="S1083" s="292" t="str">
        <f aca="false">IF(ISBLANK('Стёкла серии Elephant'!$S$219),"",'Стёкла серии Elephant'!$S$219)</f>
        <v/>
      </c>
    </row>
    <row r="1084" customFormat="false" ht="66" hidden="false" customHeight="true" outlineLevel="0" collapsed="false">
      <c r="A1084" s="291" t="str">
        <f aca="true">IF(ISNUMBER($J1084),INDIRECT("L"&amp;($J1084+4)),"")</f>
        <v/>
      </c>
      <c r="B1084" s="291" t="str">
        <f aca="true">IF(ISNUMBER($J1084),INDIRECT("M"&amp;($J1084+4)),"")</f>
        <v/>
      </c>
      <c r="C1084" s="296" t="str">
        <f aca="true">IF(ISNUMBER($J1084),INDIRECT("N"&amp;($J1084+4)),"")</f>
        <v/>
      </c>
      <c r="D1084" s="291" t="str">
        <f aca="true">IF(ISNUMBER($J1084),INDIRECT("O"&amp;($J1084+4)),"")</f>
        <v/>
      </c>
      <c r="E1084" s="291" t="str">
        <f aca="true">IF(ISNUMBER($J1084),INDIRECT("P"&amp;($J1084+4)),"")</f>
        <v/>
      </c>
      <c r="F1084" s="300" t="str">
        <f aca="true">IF(ISNUMBER($J1084),INDIRECT("Q"&amp;($J1084+4)),"")</f>
        <v/>
      </c>
      <c r="G1084" s="298" t="str">
        <f aca="true">IF(ISNUMBER($J1084),INDIRECT("R"&amp;($J1084+4)),"")</f>
        <v/>
      </c>
      <c r="H1084" s="298" t="str">
        <f aca="true">IF(ISNUMBER($J1084),INDIRECT("S"&amp;($J1084+4)),"")</f>
        <v/>
      </c>
      <c r="J1084" s="292" t="str">
        <f aca="true">IF(1080&lt;=$K$1,MATCH(1079.5,INDIRECT("$K$4:$K$1374"),1),"")</f>
        <v/>
      </c>
      <c r="K1084" s="292" t="n">
        <f aca="false">$K$1028+COUNTIF($Q$1029:Q1084,"&gt;0")</f>
        <v>0</v>
      </c>
      <c r="L1084" s="292" t="str">
        <f aca="false">"Стёкла серии Elephant"&amp;" · "&amp;'Стёкла серии Elephant'!$N$220</f>
        <v>Стёкла серии Elephant · Elephant</v>
      </c>
      <c r="M1084" s="292" t="str">
        <f aca="false">IF(ISBLANK('Стёкла серии Elephant'!$O$220),"",'Стёкла серии Elephant'!$O$220)</f>
        <v>Honor 8C/Play 8C</v>
      </c>
      <c r="N1084" s="292" t="str">
        <f aca="false">""</f>
        <v/>
      </c>
      <c r="O1084" s="292" t="str">
        <f aca="false">""</f>
        <v/>
      </c>
      <c r="P1084" s="292" t="str">
        <f aca="false">IF(ISBLANK('Стёкла серии Elephant'!$P$220),"",'Стёкла серии Elephant'!$P$220)</f>
        <v>шт.</v>
      </c>
      <c r="Q1084" s="292" t="n">
        <f aca="false">N('Стёкла серии Elephant'!$R$220)</f>
        <v>0</v>
      </c>
      <c r="R1084" s="299" t="n">
        <f aca="false">IF(ISBLANK('Стёкла серии Elephant'!$Q$220),"",'Стёкла серии Elephant'!$Q$220)</f>
        <v>122.32</v>
      </c>
      <c r="S1084" s="292" t="str">
        <f aca="false">IF(ISBLANK('Стёкла серии Elephant'!$S$220),"",'Стёкла серии Elephant'!$S$220)</f>
        <v/>
      </c>
    </row>
    <row r="1085" customFormat="false" ht="66" hidden="false" customHeight="true" outlineLevel="0" collapsed="false">
      <c r="A1085" s="291" t="str">
        <f aca="true">IF(ISNUMBER($J1085),INDIRECT("L"&amp;($J1085+4)),"")</f>
        <v/>
      </c>
      <c r="B1085" s="291" t="str">
        <f aca="true">IF(ISNUMBER($J1085),INDIRECT("M"&amp;($J1085+4)),"")</f>
        <v/>
      </c>
      <c r="C1085" s="296" t="str">
        <f aca="true">IF(ISNUMBER($J1085),INDIRECT("N"&amp;($J1085+4)),"")</f>
        <v/>
      </c>
      <c r="D1085" s="291" t="str">
        <f aca="true">IF(ISNUMBER($J1085),INDIRECT("O"&amp;($J1085+4)),"")</f>
        <v/>
      </c>
      <c r="E1085" s="291" t="str">
        <f aca="true">IF(ISNUMBER($J1085),INDIRECT("P"&amp;($J1085+4)),"")</f>
        <v/>
      </c>
      <c r="F1085" s="300" t="str">
        <f aca="true">IF(ISNUMBER($J1085),INDIRECT("Q"&amp;($J1085+4)),"")</f>
        <v/>
      </c>
      <c r="G1085" s="298" t="str">
        <f aca="true">IF(ISNUMBER($J1085),INDIRECT("R"&amp;($J1085+4)),"")</f>
        <v/>
      </c>
      <c r="H1085" s="298" t="str">
        <f aca="true">IF(ISNUMBER($J1085),INDIRECT("S"&amp;($J1085+4)),"")</f>
        <v/>
      </c>
      <c r="J1085" s="292" t="str">
        <f aca="true">IF(1081&lt;=$K$1,MATCH(1080.5,INDIRECT("$K$4:$K$1374"),1),"")</f>
        <v/>
      </c>
      <c r="K1085" s="292" t="n">
        <f aca="false">$K$1028+COUNTIF($Q$1029:Q1085,"&gt;0")</f>
        <v>0</v>
      </c>
      <c r="L1085" s="292" t="str">
        <f aca="false">"Стёкла серии Elephant"&amp;" · "&amp;'Стёкла серии Elephant'!$N$221</f>
        <v>Стёкла серии Elephant · Elephant</v>
      </c>
      <c r="M1085" s="292" t="str">
        <f aca="false">IF(ISBLANK('Стёкла серии Elephant'!$O$221),"",'Стёкла серии Elephant'!$O$221)</f>
        <v>Mi 9T Pro</v>
      </c>
      <c r="N1085" s="292" t="str">
        <f aca="false">""</f>
        <v/>
      </c>
      <c r="O1085" s="292" t="str">
        <f aca="false">""</f>
        <v/>
      </c>
      <c r="P1085" s="292" t="str">
        <f aca="false">IF(ISBLANK('Стёкла серии Elephant'!$P$221),"",'Стёкла серии Elephant'!$P$221)</f>
        <v>шт.</v>
      </c>
      <c r="Q1085" s="292" t="n">
        <f aca="false">N('Стёкла серии Elephant'!$R$221)</f>
        <v>0</v>
      </c>
      <c r="R1085" s="299" t="n">
        <f aca="false">IF(ISBLANK('Стёкла серии Elephant'!$Q$221),"",'Стёкла серии Elephant'!$Q$221)</f>
        <v>122.32</v>
      </c>
      <c r="S1085" s="292" t="str">
        <f aca="false">IF(ISBLANK('Стёкла серии Elephant'!$S$221),"",'Стёкла серии Elephant'!$S$221)</f>
        <v/>
      </c>
    </row>
    <row r="1086" customFormat="false" ht="66" hidden="false" customHeight="true" outlineLevel="0" collapsed="false">
      <c r="A1086" s="291" t="str">
        <f aca="true">IF(ISNUMBER($J1086),INDIRECT("L"&amp;($J1086+4)),"")</f>
        <v/>
      </c>
      <c r="B1086" s="291" t="str">
        <f aca="true">IF(ISNUMBER($J1086),INDIRECT("M"&amp;($J1086+4)),"")</f>
        <v/>
      </c>
      <c r="C1086" s="296" t="str">
        <f aca="true">IF(ISNUMBER($J1086),INDIRECT("N"&amp;($J1086+4)),"")</f>
        <v/>
      </c>
      <c r="D1086" s="291" t="str">
        <f aca="true">IF(ISNUMBER($J1086),INDIRECT("O"&amp;($J1086+4)),"")</f>
        <v/>
      </c>
      <c r="E1086" s="291" t="str">
        <f aca="true">IF(ISNUMBER($J1086),INDIRECT("P"&amp;($J1086+4)),"")</f>
        <v/>
      </c>
      <c r="F1086" s="300" t="str">
        <f aca="true">IF(ISNUMBER($J1086),INDIRECT("Q"&amp;($J1086+4)),"")</f>
        <v/>
      </c>
      <c r="G1086" s="298" t="str">
        <f aca="true">IF(ISNUMBER($J1086),INDIRECT("R"&amp;($J1086+4)),"")</f>
        <v/>
      </c>
      <c r="H1086" s="298" t="str">
        <f aca="true">IF(ISNUMBER($J1086),INDIRECT("S"&amp;($J1086+4)),"")</f>
        <v/>
      </c>
      <c r="J1086" s="292" t="str">
        <f aca="true">IF(1082&lt;=$K$1,MATCH(1081.5,INDIRECT("$K$4:$K$1374"),1),"")</f>
        <v/>
      </c>
      <c r="K1086" s="292" t="n">
        <f aca="false">$K$1028+COUNTIF($Q$1029:Q1086,"&gt;0")</f>
        <v>0</v>
      </c>
      <c r="L1086" s="292" t="str">
        <f aca="false">"Стёкла серии Elephant"&amp;" · "&amp;'Стёкла серии Elephant'!$N$222</f>
        <v>Стёкла серии Elephant · Elephant</v>
      </c>
      <c r="M1086" s="292" t="str">
        <f aca="false">IF(ISBLANK('Стёкла серии Elephant'!$O$222),"",'Стёкла серии Elephant'!$O$222)</f>
        <v>Redmi 10</v>
      </c>
      <c r="N1086" s="292" t="str">
        <f aca="false">""</f>
        <v/>
      </c>
      <c r="O1086" s="292" t="str">
        <f aca="false">""</f>
        <v/>
      </c>
      <c r="P1086" s="292" t="str">
        <f aca="false">IF(ISBLANK('Стёкла серии Elephant'!$P$222),"",'Стёкла серии Elephant'!$P$222)</f>
        <v>шт.</v>
      </c>
      <c r="Q1086" s="292" t="n">
        <f aca="false">N('Стёкла серии Elephant'!$R$222)</f>
        <v>0</v>
      </c>
      <c r="R1086" s="299" t="n">
        <f aca="false">IF(ISBLANK('Стёкла серии Elephant'!$Q$222),"",'Стёкла серии Elephant'!$Q$222)</f>
        <v>122.32</v>
      </c>
      <c r="S1086" s="292" t="str">
        <f aca="false">IF(ISBLANK('Стёкла серии Elephant'!$S$222),"",'Стёкла серии Elephant'!$S$222)</f>
        <v/>
      </c>
    </row>
    <row r="1087" customFormat="false" ht="66" hidden="false" customHeight="true" outlineLevel="0" collapsed="false">
      <c r="A1087" s="291" t="str">
        <f aca="true">IF(ISNUMBER($J1087),INDIRECT("L"&amp;($J1087+4)),"")</f>
        <v/>
      </c>
      <c r="B1087" s="291" t="str">
        <f aca="true">IF(ISNUMBER($J1087),INDIRECT("M"&amp;($J1087+4)),"")</f>
        <v/>
      </c>
      <c r="C1087" s="296" t="str">
        <f aca="true">IF(ISNUMBER($J1087),INDIRECT("N"&amp;($J1087+4)),"")</f>
        <v/>
      </c>
      <c r="D1087" s="291" t="str">
        <f aca="true">IF(ISNUMBER($J1087),INDIRECT("O"&amp;($J1087+4)),"")</f>
        <v/>
      </c>
      <c r="E1087" s="291" t="str">
        <f aca="true">IF(ISNUMBER($J1087),INDIRECT("P"&amp;($J1087+4)),"")</f>
        <v/>
      </c>
      <c r="F1087" s="300" t="str">
        <f aca="true">IF(ISNUMBER($J1087),INDIRECT("Q"&amp;($J1087+4)),"")</f>
        <v/>
      </c>
      <c r="G1087" s="298" t="str">
        <f aca="true">IF(ISNUMBER($J1087),INDIRECT("R"&amp;($J1087+4)),"")</f>
        <v/>
      </c>
      <c r="H1087" s="298" t="str">
        <f aca="true">IF(ISNUMBER($J1087),INDIRECT("S"&amp;($J1087+4)),"")</f>
        <v/>
      </c>
      <c r="J1087" s="292" t="str">
        <f aca="true">IF(1083&lt;=$K$1,MATCH(1082.5,INDIRECT("$K$4:$K$1374"),1),"")</f>
        <v/>
      </c>
      <c r="K1087" s="292" t="n">
        <f aca="false">$K$1028+COUNTIF($Q$1029:Q1087,"&gt;0")</f>
        <v>0</v>
      </c>
      <c r="L1087" s="292" t="str">
        <f aca="false">"Стёкла серии Elephant"&amp;" · "&amp;'Стёкла серии Elephant'!$N$223</f>
        <v>Стёкла серии Elephant · Elephant</v>
      </c>
      <c r="M1087" s="292" t="str">
        <f aca="false">IF(ISBLANK('Стёкла серии Elephant'!$O$223),"",'Стёкла серии Elephant'!$O$223)</f>
        <v>A90 (5G)</v>
      </c>
      <c r="N1087" s="292" t="str">
        <f aca="false">""</f>
        <v/>
      </c>
      <c r="O1087" s="292" t="str">
        <f aca="false">""</f>
        <v/>
      </c>
      <c r="P1087" s="292" t="str">
        <f aca="false">IF(ISBLANK('Стёкла серии Elephant'!$P$223),"",'Стёкла серии Elephant'!$P$223)</f>
        <v>шт.</v>
      </c>
      <c r="Q1087" s="292" t="n">
        <f aca="false">N('Стёкла серии Elephant'!$R$223)</f>
        <v>0</v>
      </c>
      <c r="R1087" s="299" t="n">
        <f aca="false">IF(ISBLANK('Стёкла серии Elephant'!$Q$223),"",'Стёкла серии Elephant'!$Q$223)</f>
        <v>122.32</v>
      </c>
      <c r="S1087" s="292" t="str">
        <f aca="false">IF(ISBLANK('Стёкла серии Elephant'!$S$223),"",'Стёкла серии Elephant'!$S$223)</f>
        <v/>
      </c>
    </row>
    <row r="1088" customFormat="false" ht="66" hidden="false" customHeight="true" outlineLevel="0" collapsed="false">
      <c r="A1088" s="291" t="str">
        <f aca="true">IF(ISNUMBER($J1088),INDIRECT("L"&amp;($J1088+4)),"")</f>
        <v/>
      </c>
      <c r="B1088" s="291" t="str">
        <f aca="true">IF(ISNUMBER($J1088),INDIRECT("M"&amp;($J1088+4)),"")</f>
        <v/>
      </c>
      <c r="C1088" s="296" t="str">
        <f aca="true">IF(ISNUMBER($J1088),INDIRECT("N"&amp;($J1088+4)),"")</f>
        <v/>
      </c>
      <c r="D1088" s="291" t="str">
        <f aca="true">IF(ISNUMBER($J1088),INDIRECT("O"&amp;($J1088+4)),"")</f>
        <v/>
      </c>
      <c r="E1088" s="291" t="str">
        <f aca="true">IF(ISNUMBER($J1088),INDIRECT("P"&amp;($J1088+4)),"")</f>
        <v/>
      </c>
      <c r="F1088" s="300" t="str">
        <f aca="true">IF(ISNUMBER($J1088),INDIRECT("Q"&amp;($J1088+4)),"")</f>
        <v/>
      </c>
      <c r="G1088" s="298" t="str">
        <f aca="true">IF(ISNUMBER($J1088),INDIRECT("R"&amp;($J1088+4)),"")</f>
        <v/>
      </c>
      <c r="H1088" s="298" t="str">
        <f aca="true">IF(ISNUMBER($J1088),INDIRECT("S"&amp;($J1088+4)),"")</f>
        <v/>
      </c>
      <c r="J1088" s="292" t="str">
        <f aca="true">IF(1084&lt;=$K$1,MATCH(1083.5,INDIRECT("$K$4:$K$1374"),1),"")</f>
        <v/>
      </c>
      <c r="K1088" s="292" t="n">
        <f aca="false">$K$1028+COUNTIF($Q$1029:Q1088,"&gt;0")</f>
        <v>0</v>
      </c>
      <c r="L1088" s="292" t="str">
        <f aca="false">"Стёкла серии Elephant"&amp;" · "&amp;'Стёкла серии Elephant'!$N$224</f>
        <v>Стёкла серии Elephant · Elephant</v>
      </c>
      <c r="M1088" s="292" t="str">
        <f aca="false">IF(ISBLANK('Стёкла серии Elephant'!$O$224),"",'Стёкла серии Elephant'!$O$224)</f>
        <v>Realme X</v>
      </c>
      <c r="N1088" s="292" t="str">
        <f aca="false">""</f>
        <v/>
      </c>
      <c r="O1088" s="292" t="str">
        <f aca="false">""</f>
        <v/>
      </c>
      <c r="P1088" s="292" t="str">
        <f aca="false">IF(ISBLANK('Стёкла серии Elephant'!$P$224),"",'Стёкла серии Elephant'!$P$224)</f>
        <v>шт.</v>
      </c>
      <c r="Q1088" s="292" t="n">
        <f aca="false">N('Стёкла серии Elephant'!$R$224)</f>
        <v>0</v>
      </c>
      <c r="R1088" s="299" t="n">
        <f aca="false">IF(ISBLANK('Стёкла серии Elephant'!$Q$224),"",'Стёкла серии Elephant'!$Q$224)</f>
        <v>122.32</v>
      </c>
      <c r="S1088" s="292" t="str">
        <f aca="false">IF(ISBLANK('Стёкла серии Elephant'!$S$224),"",'Стёкла серии Elephant'!$S$224)</f>
        <v/>
      </c>
    </row>
    <row r="1089" customFormat="false" ht="66" hidden="false" customHeight="true" outlineLevel="0" collapsed="false">
      <c r="A1089" s="291" t="str">
        <f aca="true">IF(ISNUMBER($J1089),INDIRECT("L"&amp;($J1089+4)),"")</f>
        <v/>
      </c>
      <c r="B1089" s="291" t="str">
        <f aca="true">IF(ISNUMBER($J1089),INDIRECT("M"&amp;($J1089+4)),"")</f>
        <v/>
      </c>
      <c r="C1089" s="296" t="str">
        <f aca="true">IF(ISNUMBER($J1089),INDIRECT("N"&amp;($J1089+4)),"")</f>
        <v/>
      </c>
      <c r="D1089" s="291" t="str">
        <f aca="true">IF(ISNUMBER($J1089),INDIRECT("O"&amp;($J1089+4)),"")</f>
        <v/>
      </c>
      <c r="E1089" s="291" t="str">
        <f aca="true">IF(ISNUMBER($J1089),INDIRECT("P"&amp;($J1089+4)),"")</f>
        <v/>
      </c>
      <c r="F1089" s="300" t="str">
        <f aca="true">IF(ISNUMBER($J1089),INDIRECT("Q"&amp;($J1089+4)),"")</f>
        <v/>
      </c>
      <c r="G1089" s="298" t="str">
        <f aca="true">IF(ISNUMBER($J1089),INDIRECT("R"&amp;($J1089+4)),"")</f>
        <v/>
      </c>
      <c r="H1089" s="298" t="str">
        <f aca="true">IF(ISNUMBER($J1089),INDIRECT("S"&amp;($J1089+4)),"")</f>
        <v/>
      </c>
      <c r="J1089" s="292" t="str">
        <f aca="true">IF(1085&lt;=$K$1,MATCH(1084.5,INDIRECT("$K$4:$K$1374"),1),"")</f>
        <v/>
      </c>
      <c r="K1089" s="292" t="n">
        <f aca="false">$K$1028+COUNTIF($Q$1029:Q1089,"&gt;0")</f>
        <v>0</v>
      </c>
      <c r="L1089" s="292" t="str">
        <f aca="false">"Стёкла серии Elephant"&amp;" · "&amp;'Стёкла серии Elephant'!$N$225</f>
        <v>Стёкла серии Elephant · Elephant</v>
      </c>
      <c r="M1089" s="292" t="str">
        <f aca="false">IF(ISBLANK('Стёкла серии Elephant'!$O$225),"",'Стёкла серии Elephant'!$O$225)</f>
        <v>A52 /A72/A73 5G/A92/K7X/A74 5G/A93 5G</v>
      </c>
      <c r="N1089" s="292" t="str">
        <f aca="false">""</f>
        <v/>
      </c>
      <c r="O1089" s="292" t="str">
        <f aca="false">""</f>
        <v/>
      </c>
      <c r="P1089" s="292" t="str">
        <f aca="false">IF(ISBLANK('Стёкла серии Elephant'!$P$225),"",'Стёкла серии Elephant'!$P$225)</f>
        <v>шт.</v>
      </c>
      <c r="Q1089" s="292" t="n">
        <f aca="false">N('Стёкла серии Elephant'!$R$225)</f>
        <v>0</v>
      </c>
      <c r="R1089" s="299" t="n">
        <f aca="false">IF(ISBLANK('Стёкла серии Elephant'!$Q$225),"",'Стёкла серии Elephant'!$Q$225)</f>
        <v>122.32</v>
      </c>
      <c r="S1089" s="292" t="str">
        <f aca="false">IF(ISBLANK('Стёкла серии Elephant'!$S$225),"",'Стёкла серии Elephant'!$S$225)</f>
        <v/>
      </c>
    </row>
    <row r="1090" customFormat="false" ht="66" hidden="false" customHeight="true" outlineLevel="0" collapsed="false">
      <c r="A1090" s="291" t="str">
        <f aca="true">IF(ISNUMBER($J1090),INDIRECT("L"&amp;($J1090+4)),"")</f>
        <v/>
      </c>
      <c r="B1090" s="291" t="str">
        <f aca="true">IF(ISNUMBER($J1090),INDIRECT("M"&amp;($J1090+4)),"")</f>
        <v/>
      </c>
      <c r="C1090" s="296" t="str">
        <f aca="true">IF(ISNUMBER($J1090),INDIRECT("N"&amp;($J1090+4)),"")</f>
        <v/>
      </c>
      <c r="D1090" s="291" t="str">
        <f aca="true">IF(ISNUMBER($J1090),INDIRECT("O"&amp;($J1090+4)),"")</f>
        <v/>
      </c>
      <c r="E1090" s="291" t="str">
        <f aca="true">IF(ISNUMBER($J1090),INDIRECT("P"&amp;($J1090+4)),"")</f>
        <v/>
      </c>
      <c r="F1090" s="300" t="str">
        <f aca="true">IF(ISNUMBER($J1090),INDIRECT("Q"&amp;($J1090+4)),"")</f>
        <v/>
      </c>
      <c r="G1090" s="298" t="str">
        <f aca="true">IF(ISNUMBER($J1090),INDIRECT("R"&amp;($J1090+4)),"")</f>
        <v/>
      </c>
      <c r="H1090" s="298" t="str">
        <f aca="true">IF(ISNUMBER($J1090),INDIRECT("S"&amp;($J1090+4)),"")</f>
        <v/>
      </c>
      <c r="J1090" s="292" t="str">
        <f aca="true">IF(1086&lt;=$K$1,MATCH(1085.5,INDIRECT("$K$4:$K$1374"),1),"")</f>
        <v/>
      </c>
      <c r="K1090" s="292" t="n">
        <f aca="false">$K$1028+COUNTIF($Q$1029:Q1090,"&gt;0")</f>
        <v>0</v>
      </c>
      <c r="L1090" s="292" t="str">
        <f aca="false">"Стёкла серии Elephant"&amp;" · "&amp;'Стёкла серии Elephant'!$N$226</f>
        <v>Стёкла серии Elephant · Elephant</v>
      </c>
      <c r="M1090" s="292" t="str">
        <f aca="false">IF(ISBLANK('Стёкла серии Elephant'!$O$226),"",'Стёкла серии Elephant'!$O$226)</f>
        <v>Y30</v>
      </c>
      <c r="N1090" s="292" t="str">
        <f aca="false">""</f>
        <v/>
      </c>
      <c r="O1090" s="292" t="str">
        <f aca="false">""</f>
        <v/>
      </c>
      <c r="P1090" s="292" t="str">
        <f aca="false">IF(ISBLANK('Стёкла серии Elephant'!$P$226),"",'Стёкла серии Elephant'!$P$226)</f>
        <v>шт.</v>
      </c>
      <c r="Q1090" s="292" t="n">
        <f aca="false">N('Стёкла серии Elephant'!$R$226)</f>
        <v>0</v>
      </c>
      <c r="R1090" s="299" t="n">
        <f aca="false">IF(ISBLANK('Стёкла серии Elephant'!$Q$226),"",'Стёкла серии Elephant'!$Q$226)</f>
        <v>122.32</v>
      </c>
      <c r="S1090" s="292" t="str">
        <f aca="false">IF(ISBLANK('Стёкла серии Elephant'!$S$226),"",'Стёкла серии Elephant'!$S$226)</f>
        <v/>
      </c>
    </row>
    <row r="1091" customFormat="false" ht="66" hidden="false" customHeight="true" outlineLevel="0" collapsed="false">
      <c r="A1091" s="291" t="str">
        <f aca="true">IF(ISNUMBER($J1091),INDIRECT("L"&amp;($J1091+4)),"")</f>
        <v/>
      </c>
      <c r="B1091" s="291" t="str">
        <f aca="true">IF(ISNUMBER($J1091),INDIRECT("M"&amp;($J1091+4)),"")</f>
        <v/>
      </c>
      <c r="C1091" s="296" t="str">
        <f aca="true">IF(ISNUMBER($J1091),INDIRECT("N"&amp;($J1091+4)),"")</f>
        <v/>
      </c>
      <c r="D1091" s="291" t="str">
        <f aca="true">IF(ISNUMBER($J1091),INDIRECT("O"&amp;($J1091+4)),"")</f>
        <v/>
      </c>
      <c r="E1091" s="291" t="str">
        <f aca="true">IF(ISNUMBER($J1091),INDIRECT("P"&amp;($J1091+4)),"")</f>
        <v/>
      </c>
      <c r="F1091" s="300" t="str">
        <f aca="true">IF(ISNUMBER($J1091),INDIRECT("Q"&amp;($J1091+4)),"")</f>
        <v/>
      </c>
      <c r="G1091" s="298" t="str">
        <f aca="true">IF(ISNUMBER($J1091),INDIRECT("R"&amp;($J1091+4)),"")</f>
        <v/>
      </c>
      <c r="H1091" s="298" t="str">
        <f aca="true">IF(ISNUMBER($J1091),INDIRECT("S"&amp;($J1091+4)),"")</f>
        <v/>
      </c>
      <c r="J1091" s="292" t="str">
        <f aca="true">IF(1087&lt;=$K$1,MATCH(1086.5,INDIRECT("$K$4:$K$1374"),1),"")</f>
        <v/>
      </c>
      <c r="K1091" s="292" t="n">
        <f aca="false">$K$1028+COUNTIF($Q$1029:Q1091,"&gt;0")</f>
        <v>0</v>
      </c>
      <c r="L1091" s="292" t="str">
        <f aca="false">"Стёкла серии Elephant"&amp;" · "&amp;'Стёкла серии Elephant'!$N$227</f>
        <v>Стёкла серии Elephant · Elephant</v>
      </c>
      <c r="M1091" s="292" t="str">
        <f aca="false">IF(ISBLANK('Стёкла серии Elephant'!$O$227),"",'Стёкла серии Elephant'!$O$227)</f>
        <v>Y5Lite-2018</v>
      </c>
      <c r="N1091" s="292" t="str">
        <f aca="false">""</f>
        <v/>
      </c>
      <c r="O1091" s="292" t="str">
        <f aca="false">""</f>
        <v/>
      </c>
      <c r="P1091" s="292" t="str">
        <f aca="false">IF(ISBLANK('Стёкла серии Elephant'!$P$227),"",'Стёкла серии Elephant'!$P$227)</f>
        <v>шт.</v>
      </c>
      <c r="Q1091" s="292" t="n">
        <f aca="false">N('Стёкла серии Elephant'!$R$227)</f>
        <v>0</v>
      </c>
      <c r="R1091" s="299" t="n">
        <f aca="false">IF(ISBLANK('Стёкла серии Elephant'!$Q$227),"",'Стёкла серии Elephant'!$Q$227)</f>
        <v>122.32</v>
      </c>
      <c r="S1091" s="292" t="str">
        <f aca="false">IF(ISBLANK('Стёкла серии Elephant'!$S$227),"",'Стёкла серии Elephant'!$S$227)</f>
        <v/>
      </c>
    </row>
    <row r="1092" customFormat="false" ht="66" hidden="false" customHeight="true" outlineLevel="0" collapsed="false">
      <c r="A1092" s="291" t="str">
        <f aca="true">IF(ISNUMBER($J1092),INDIRECT("L"&amp;($J1092+4)),"")</f>
        <v/>
      </c>
      <c r="B1092" s="291" t="str">
        <f aca="true">IF(ISNUMBER($J1092),INDIRECT("M"&amp;($J1092+4)),"")</f>
        <v/>
      </c>
      <c r="C1092" s="296" t="str">
        <f aca="true">IF(ISNUMBER($J1092),INDIRECT("N"&amp;($J1092+4)),"")</f>
        <v/>
      </c>
      <c r="D1092" s="291" t="str">
        <f aca="true">IF(ISNUMBER($J1092),INDIRECT("O"&amp;($J1092+4)),"")</f>
        <v/>
      </c>
      <c r="E1092" s="291" t="str">
        <f aca="true">IF(ISNUMBER($J1092),INDIRECT("P"&amp;($J1092+4)),"")</f>
        <v/>
      </c>
      <c r="F1092" s="300" t="str">
        <f aca="true">IF(ISNUMBER($J1092),INDIRECT("Q"&amp;($J1092+4)),"")</f>
        <v/>
      </c>
      <c r="G1092" s="298" t="str">
        <f aca="true">IF(ISNUMBER($J1092),INDIRECT("R"&amp;($J1092+4)),"")</f>
        <v/>
      </c>
      <c r="H1092" s="298" t="str">
        <f aca="true">IF(ISNUMBER($J1092),INDIRECT("S"&amp;($J1092+4)),"")</f>
        <v/>
      </c>
      <c r="J1092" s="292" t="str">
        <f aca="true">IF(1088&lt;=$K$1,MATCH(1087.5,INDIRECT("$K$4:$K$1374"),1),"")</f>
        <v/>
      </c>
      <c r="K1092" s="292" t="n">
        <f aca="false">$K$1028+COUNTIF($Q$1029:Q1092,"&gt;0")</f>
        <v>0</v>
      </c>
      <c r="L1092" s="292" t="str">
        <f aca="false">"Стёкла серии Elephant"&amp;" · "&amp;'Стёкла серии Elephant'!$N$228</f>
        <v>Стёкла серии Elephant · Elephant</v>
      </c>
      <c r="M1092" s="292" t="str">
        <f aca="false">IF(ISBLANK('Стёкла серии Elephant'!$O$228),"",'Стёкла серии Elephant'!$O$228)</f>
        <v>Honor 8A/Play 8A</v>
      </c>
      <c r="N1092" s="292" t="str">
        <f aca="false">""</f>
        <v/>
      </c>
      <c r="O1092" s="292" t="str">
        <f aca="false">""</f>
        <v/>
      </c>
      <c r="P1092" s="292" t="str">
        <f aca="false">IF(ISBLANK('Стёкла серии Elephant'!$P$228),"",'Стёкла серии Elephant'!$P$228)</f>
        <v>шт.</v>
      </c>
      <c r="Q1092" s="292" t="n">
        <f aca="false">N('Стёкла серии Elephant'!$R$228)</f>
        <v>0</v>
      </c>
      <c r="R1092" s="299" t="n">
        <f aca="false">IF(ISBLANK('Стёкла серии Elephant'!$Q$228),"",'Стёкла серии Elephant'!$Q$228)</f>
        <v>122.32</v>
      </c>
      <c r="S1092" s="292" t="str">
        <f aca="false">IF(ISBLANK('Стёкла серии Elephant'!$S$228),"",'Стёкла серии Elephant'!$S$228)</f>
        <v/>
      </c>
    </row>
    <row r="1093" customFormat="false" ht="66" hidden="false" customHeight="true" outlineLevel="0" collapsed="false">
      <c r="A1093" s="291" t="str">
        <f aca="true">IF(ISNUMBER($J1093),INDIRECT("L"&amp;($J1093+4)),"")</f>
        <v/>
      </c>
      <c r="B1093" s="291" t="str">
        <f aca="true">IF(ISNUMBER($J1093),INDIRECT("M"&amp;($J1093+4)),"")</f>
        <v/>
      </c>
      <c r="C1093" s="296" t="str">
        <f aca="true">IF(ISNUMBER($J1093),INDIRECT("N"&amp;($J1093+4)),"")</f>
        <v/>
      </c>
      <c r="D1093" s="291" t="str">
        <f aca="true">IF(ISNUMBER($J1093),INDIRECT("O"&amp;($J1093+4)),"")</f>
        <v/>
      </c>
      <c r="E1093" s="291" t="str">
        <f aca="true">IF(ISNUMBER($J1093),INDIRECT("P"&amp;($J1093+4)),"")</f>
        <v/>
      </c>
      <c r="F1093" s="300" t="str">
        <f aca="true">IF(ISNUMBER($J1093),INDIRECT("Q"&amp;($J1093+4)),"")</f>
        <v/>
      </c>
      <c r="G1093" s="298" t="str">
        <f aca="true">IF(ISNUMBER($J1093),INDIRECT("R"&amp;($J1093+4)),"")</f>
        <v/>
      </c>
      <c r="H1093" s="298" t="str">
        <f aca="true">IF(ISNUMBER($J1093),INDIRECT("S"&amp;($J1093+4)),"")</f>
        <v/>
      </c>
      <c r="J1093" s="292" t="str">
        <f aca="true">IF(1089&lt;=$K$1,MATCH(1088.5,INDIRECT("$K$4:$K$1374"),1),"")</f>
        <v/>
      </c>
      <c r="K1093" s="292" t="n">
        <f aca="false">$K$1028+COUNTIF($Q$1029:Q1093,"&gt;0")</f>
        <v>0</v>
      </c>
      <c r="L1093" s="292" t="str">
        <f aca="false">"Стёкла серии Elephant"&amp;" · "&amp;'Стёкла серии Elephant'!$N$229</f>
        <v>Стёкла серии Elephant · Elephant</v>
      </c>
      <c r="M1093" s="292" t="str">
        <f aca="false">IF(ISBLANK('Стёкла серии Elephant'!$O$229),"",'Стёкла серии Elephant'!$O$229)</f>
        <v>Mi 9T</v>
      </c>
      <c r="N1093" s="292" t="str">
        <f aca="false">""</f>
        <v/>
      </c>
      <c r="O1093" s="292" t="str">
        <f aca="false">""</f>
        <v/>
      </c>
      <c r="P1093" s="292" t="str">
        <f aca="false">IF(ISBLANK('Стёкла серии Elephant'!$P$229),"",'Стёкла серии Elephant'!$P$229)</f>
        <v>шт.</v>
      </c>
      <c r="Q1093" s="292" t="n">
        <f aca="false">N('Стёкла серии Elephant'!$R$229)</f>
        <v>0</v>
      </c>
      <c r="R1093" s="299" t="n">
        <f aca="false">IF(ISBLANK('Стёкла серии Elephant'!$Q$229),"",'Стёкла серии Elephant'!$Q$229)</f>
        <v>122.32</v>
      </c>
      <c r="S1093" s="292" t="str">
        <f aca="false">IF(ISBLANK('Стёкла серии Elephant'!$S$229),"",'Стёкла серии Elephant'!$S$229)</f>
        <v/>
      </c>
    </row>
    <row r="1094" customFormat="false" ht="66" hidden="false" customHeight="true" outlineLevel="0" collapsed="false">
      <c r="A1094" s="291" t="str">
        <f aca="true">IF(ISNUMBER($J1094),INDIRECT("L"&amp;($J1094+4)),"")</f>
        <v/>
      </c>
      <c r="B1094" s="291" t="str">
        <f aca="true">IF(ISNUMBER($J1094),INDIRECT("M"&amp;($J1094+4)),"")</f>
        <v/>
      </c>
      <c r="C1094" s="296" t="str">
        <f aca="true">IF(ISNUMBER($J1094),INDIRECT("N"&amp;($J1094+4)),"")</f>
        <v/>
      </c>
      <c r="D1094" s="291" t="str">
        <f aca="true">IF(ISNUMBER($J1094),INDIRECT("O"&amp;($J1094+4)),"")</f>
        <v/>
      </c>
      <c r="E1094" s="291" t="str">
        <f aca="true">IF(ISNUMBER($J1094),INDIRECT("P"&amp;($J1094+4)),"")</f>
        <v/>
      </c>
      <c r="F1094" s="300" t="str">
        <f aca="true">IF(ISNUMBER($J1094),INDIRECT("Q"&amp;($J1094+4)),"")</f>
        <v/>
      </c>
      <c r="G1094" s="298" t="str">
        <f aca="true">IF(ISNUMBER($J1094),INDIRECT("R"&amp;($J1094+4)),"")</f>
        <v/>
      </c>
      <c r="H1094" s="298" t="str">
        <f aca="true">IF(ISNUMBER($J1094),INDIRECT("S"&amp;($J1094+4)),"")</f>
        <v/>
      </c>
      <c r="J1094" s="292" t="str">
        <f aca="true">IF(1090&lt;=$K$1,MATCH(1089.5,INDIRECT("$K$4:$K$1374"),1),"")</f>
        <v/>
      </c>
      <c r="K1094" s="292" t="n">
        <f aca="false">$K$1028+COUNTIF($Q$1029:Q1094,"&gt;0")</f>
        <v>0</v>
      </c>
      <c r="L1094" s="292" t="str">
        <f aca="false">"Стёкла серии Elephant"&amp;" · "&amp;'Стёкла серии Elephant'!$N$230</f>
        <v>Стёкла серии Elephant · Elephant</v>
      </c>
      <c r="M1094" s="292" t="str">
        <f aca="false">IF(ISBLANK('Стёкла серии Elephant'!$O$230),"",'Стёкла серии Elephant'!$O$230)</f>
        <v>Redmi Note10 4G/10S/10 5G</v>
      </c>
      <c r="N1094" s="292" t="str">
        <f aca="false">""</f>
        <v/>
      </c>
      <c r="O1094" s="292" t="str">
        <f aca="false">""</f>
        <v/>
      </c>
      <c r="P1094" s="292" t="str">
        <f aca="false">IF(ISBLANK('Стёкла серии Elephant'!$P$230),"",'Стёкла серии Elephant'!$P$230)</f>
        <v>шт.</v>
      </c>
      <c r="Q1094" s="292" t="n">
        <f aca="false">N('Стёкла серии Elephant'!$R$230)</f>
        <v>0</v>
      </c>
      <c r="R1094" s="299" t="n">
        <f aca="false">IF(ISBLANK('Стёкла серии Elephant'!$Q$230),"",'Стёкла серии Elephant'!$Q$230)</f>
        <v>122.32</v>
      </c>
      <c r="S1094" s="292" t="str">
        <f aca="false">IF(ISBLANK('Стёкла серии Elephant'!$S$230),"",'Стёкла серии Elephant'!$S$230)</f>
        <v/>
      </c>
    </row>
    <row r="1095" customFormat="false" ht="66" hidden="false" customHeight="true" outlineLevel="0" collapsed="false">
      <c r="A1095" s="291" t="str">
        <f aca="true">IF(ISNUMBER($J1095),INDIRECT("L"&amp;($J1095+4)),"")</f>
        <v/>
      </c>
      <c r="B1095" s="291" t="str">
        <f aca="true">IF(ISNUMBER($J1095),INDIRECT("M"&amp;($J1095+4)),"")</f>
        <v/>
      </c>
      <c r="C1095" s="296" t="str">
        <f aca="true">IF(ISNUMBER($J1095),INDIRECT("N"&amp;($J1095+4)),"")</f>
        <v/>
      </c>
      <c r="D1095" s="291" t="str">
        <f aca="true">IF(ISNUMBER($J1095),INDIRECT("O"&amp;($J1095+4)),"")</f>
        <v/>
      </c>
      <c r="E1095" s="291" t="str">
        <f aca="true">IF(ISNUMBER($J1095),INDIRECT("P"&amp;($J1095+4)),"")</f>
        <v/>
      </c>
      <c r="F1095" s="300" t="str">
        <f aca="true">IF(ISNUMBER($J1095),INDIRECT("Q"&amp;($J1095+4)),"")</f>
        <v/>
      </c>
      <c r="G1095" s="298" t="str">
        <f aca="true">IF(ISNUMBER($J1095),INDIRECT("R"&amp;($J1095+4)),"")</f>
        <v/>
      </c>
      <c r="H1095" s="298" t="str">
        <f aca="true">IF(ISNUMBER($J1095),INDIRECT("S"&amp;($J1095+4)),"")</f>
        <v/>
      </c>
      <c r="J1095" s="292" t="str">
        <f aca="true">IF(1091&lt;=$K$1,MATCH(1090.5,INDIRECT("$K$4:$K$1374"),1),"")</f>
        <v/>
      </c>
      <c r="K1095" s="292" t="n">
        <f aca="false">$K$1028+COUNTIF($Q$1029:Q1095,"&gt;0")</f>
        <v>0</v>
      </c>
      <c r="L1095" s="292" t="str">
        <f aca="false">"Стёкла серии Elephant"&amp;" · "&amp;'Стёкла серии Elephant'!$N$231</f>
        <v>Стёкла серии Elephant · Elephant</v>
      </c>
      <c r="M1095" s="292" t="str">
        <f aca="false">IF(ISBLANK('Стёкла серии Elephant'!$O$231),"",'Стёкла серии Elephant'!$O$231)</f>
        <v>A10S</v>
      </c>
      <c r="N1095" s="292" t="str">
        <f aca="false">""</f>
        <v/>
      </c>
      <c r="O1095" s="292" t="str">
        <f aca="false">""</f>
        <v/>
      </c>
      <c r="P1095" s="292" t="str">
        <f aca="false">IF(ISBLANK('Стёкла серии Elephant'!$P$231),"",'Стёкла серии Elephant'!$P$231)</f>
        <v>шт.</v>
      </c>
      <c r="Q1095" s="292" t="n">
        <f aca="false">N('Стёкла серии Elephant'!$R$231)</f>
        <v>0</v>
      </c>
      <c r="R1095" s="299" t="n">
        <f aca="false">IF(ISBLANK('Стёкла серии Elephant'!$Q$231),"",'Стёкла серии Elephant'!$Q$231)</f>
        <v>122.32</v>
      </c>
      <c r="S1095" s="292" t="str">
        <f aca="false">IF(ISBLANK('Стёкла серии Elephant'!$S$231),"",'Стёкла серии Elephant'!$S$231)</f>
        <v/>
      </c>
    </row>
    <row r="1096" customFormat="false" ht="66" hidden="false" customHeight="true" outlineLevel="0" collapsed="false">
      <c r="A1096" s="291" t="str">
        <f aca="true">IF(ISNUMBER($J1096),INDIRECT("L"&amp;($J1096+4)),"")</f>
        <v/>
      </c>
      <c r="B1096" s="291" t="str">
        <f aca="true">IF(ISNUMBER($J1096),INDIRECT("M"&amp;($J1096+4)),"")</f>
        <v/>
      </c>
      <c r="C1096" s="296" t="str">
        <f aca="true">IF(ISNUMBER($J1096),INDIRECT("N"&amp;($J1096+4)),"")</f>
        <v/>
      </c>
      <c r="D1096" s="291" t="str">
        <f aca="true">IF(ISNUMBER($J1096),INDIRECT("O"&amp;($J1096+4)),"")</f>
        <v/>
      </c>
      <c r="E1096" s="291" t="str">
        <f aca="true">IF(ISNUMBER($J1096),INDIRECT("P"&amp;($J1096+4)),"")</f>
        <v/>
      </c>
      <c r="F1096" s="300" t="str">
        <f aca="true">IF(ISNUMBER($J1096),INDIRECT("Q"&amp;($J1096+4)),"")</f>
        <v/>
      </c>
      <c r="G1096" s="298" t="str">
        <f aca="true">IF(ISNUMBER($J1096),INDIRECT("R"&amp;($J1096+4)),"")</f>
        <v/>
      </c>
      <c r="H1096" s="298" t="str">
        <f aca="true">IF(ISNUMBER($J1096),INDIRECT("S"&amp;($J1096+4)),"")</f>
        <v/>
      </c>
      <c r="J1096" s="292" t="str">
        <f aca="true">IF(1092&lt;=$K$1,MATCH(1091.5,INDIRECT("$K$4:$K$1374"),1),"")</f>
        <v/>
      </c>
      <c r="K1096" s="292" t="n">
        <f aca="false">$K$1028+COUNTIF($Q$1029:Q1096,"&gt;0")</f>
        <v>0</v>
      </c>
      <c r="L1096" s="292" t="str">
        <f aca="false">"Стёкла серии Elephant"&amp;" · "&amp;'Стёкла серии Elephant'!$N$232</f>
        <v>Стёкла серии Elephant · Elephant</v>
      </c>
      <c r="M1096" s="292" t="str">
        <f aca="false">IF(ISBLANK('Стёкла серии Elephant'!$O$232),"",'Стёкла серии Elephant'!$O$232)</f>
        <v>Realme X Lite</v>
      </c>
      <c r="N1096" s="292" t="str">
        <f aca="false">""</f>
        <v/>
      </c>
      <c r="O1096" s="292" t="str">
        <f aca="false">""</f>
        <v/>
      </c>
      <c r="P1096" s="292" t="str">
        <f aca="false">IF(ISBLANK('Стёкла серии Elephant'!$P$232),"",'Стёкла серии Elephant'!$P$232)</f>
        <v>шт.</v>
      </c>
      <c r="Q1096" s="292" t="n">
        <f aca="false">N('Стёкла серии Elephant'!$R$232)</f>
        <v>0</v>
      </c>
      <c r="R1096" s="299" t="n">
        <f aca="false">IF(ISBLANK('Стёкла серии Elephant'!$Q$232),"",'Стёкла серии Elephant'!$Q$232)</f>
        <v>122.32</v>
      </c>
      <c r="S1096" s="292" t="str">
        <f aca="false">IF(ISBLANK('Стёкла серии Elephant'!$S$232),"",'Стёкла серии Elephant'!$S$232)</f>
        <v/>
      </c>
    </row>
    <row r="1097" customFormat="false" ht="66" hidden="false" customHeight="true" outlineLevel="0" collapsed="false">
      <c r="A1097" s="291" t="str">
        <f aca="true">IF(ISNUMBER($J1097),INDIRECT("L"&amp;($J1097+4)),"")</f>
        <v/>
      </c>
      <c r="B1097" s="291" t="str">
        <f aca="true">IF(ISNUMBER($J1097),INDIRECT("M"&amp;($J1097+4)),"")</f>
        <v/>
      </c>
      <c r="C1097" s="296" t="str">
        <f aca="true">IF(ISNUMBER($J1097),INDIRECT("N"&amp;($J1097+4)),"")</f>
        <v/>
      </c>
      <c r="D1097" s="291" t="str">
        <f aca="true">IF(ISNUMBER($J1097),INDIRECT("O"&amp;($J1097+4)),"")</f>
        <v/>
      </c>
      <c r="E1097" s="291" t="str">
        <f aca="true">IF(ISNUMBER($J1097),INDIRECT("P"&amp;($J1097+4)),"")</f>
        <v/>
      </c>
      <c r="F1097" s="300" t="str">
        <f aca="true">IF(ISNUMBER($J1097),INDIRECT("Q"&amp;($J1097+4)),"")</f>
        <v/>
      </c>
      <c r="G1097" s="298" t="str">
        <f aca="true">IF(ISNUMBER($J1097),INDIRECT("R"&amp;($J1097+4)),"")</f>
        <v/>
      </c>
      <c r="H1097" s="298" t="str">
        <f aca="true">IF(ISNUMBER($J1097),INDIRECT("S"&amp;($J1097+4)),"")</f>
        <v/>
      </c>
      <c r="J1097" s="292" t="str">
        <f aca="true">IF(1093&lt;=$K$1,MATCH(1092.5,INDIRECT("$K$4:$K$1374"),1),"")</f>
        <v/>
      </c>
      <c r="K1097" s="292" t="n">
        <f aca="false">$K$1028+COUNTIF($Q$1029:Q1097,"&gt;0")</f>
        <v>0</v>
      </c>
      <c r="L1097" s="292" t="str">
        <f aca="false">"Стёкла серии Elephant"&amp;" · "&amp;'Стёкла серии Elephant'!$N$233</f>
        <v>Стёкла серии Elephant · Elephant</v>
      </c>
      <c r="M1097" s="292" t="str">
        <f aca="false">IF(ISBLANK('Стёкла серии Elephant'!$O$233),"",'Стёкла серии Elephant'!$O$233)</f>
        <v>A54 5G/A74 5G</v>
      </c>
      <c r="N1097" s="292" t="str">
        <f aca="false">""</f>
        <v/>
      </c>
      <c r="O1097" s="292" t="str">
        <f aca="false">""</f>
        <v/>
      </c>
      <c r="P1097" s="292" t="str">
        <f aca="false">IF(ISBLANK('Стёкла серии Elephant'!$P$233),"",'Стёкла серии Elephant'!$P$233)</f>
        <v>шт.</v>
      </c>
      <c r="Q1097" s="292" t="n">
        <f aca="false">N('Стёкла серии Elephant'!$R$233)</f>
        <v>0</v>
      </c>
      <c r="R1097" s="299" t="n">
        <f aca="false">IF(ISBLANK('Стёкла серии Elephant'!$Q$233),"",'Стёкла серии Elephant'!$Q$233)</f>
        <v>122.32</v>
      </c>
      <c r="S1097" s="292" t="str">
        <f aca="false">IF(ISBLANK('Стёкла серии Elephant'!$S$233),"",'Стёкла серии Elephant'!$S$233)</f>
        <v/>
      </c>
    </row>
    <row r="1098" customFormat="false" ht="66" hidden="false" customHeight="true" outlineLevel="0" collapsed="false">
      <c r="A1098" s="291" t="str">
        <f aca="true">IF(ISNUMBER($J1098),INDIRECT("L"&amp;($J1098+4)),"")</f>
        <v/>
      </c>
      <c r="B1098" s="291" t="str">
        <f aca="true">IF(ISNUMBER($J1098),INDIRECT("M"&amp;($J1098+4)),"")</f>
        <v/>
      </c>
      <c r="C1098" s="296" t="str">
        <f aca="true">IF(ISNUMBER($J1098),INDIRECT("N"&amp;($J1098+4)),"")</f>
        <v/>
      </c>
      <c r="D1098" s="291" t="str">
        <f aca="true">IF(ISNUMBER($J1098),INDIRECT("O"&amp;($J1098+4)),"")</f>
        <v/>
      </c>
      <c r="E1098" s="291" t="str">
        <f aca="true">IF(ISNUMBER($J1098),INDIRECT("P"&amp;($J1098+4)),"")</f>
        <v/>
      </c>
      <c r="F1098" s="300" t="str">
        <f aca="true">IF(ISNUMBER($J1098),INDIRECT("Q"&amp;($J1098+4)),"")</f>
        <v/>
      </c>
      <c r="G1098" s="298" t="str">
        <f aca="true">IF(ISNUMBER($J1098),INDIRECT("R"&amp;($J1098+4)),"")</f>
        <v/>
      </c>
      <c r="H1098" s="298" t="str">
        <f aca="true">IF(ISNUMBER($J1098),INDIRECT("S"&amp;($J1098+4)),"")</f>
        <v/>
      </c>
      <c r="J1098" s="292" t="str">
        <f aca="true">IF(1094&lt;=$K$1,MATCH(1093.5,INDIRECT("$K$4:$K$1374"),1),"")</f>
        <v/>
      </c>
      <c r="K1098" s="292" t="n">
        <f aca="false">$K$1028+COUNTIF($Q$1029:Q1098,"&gt;0")</f>
        <v>0</v>
      </c>
      <c r="L1098" s="292" t="str">
        <f aca="false">"Стёкла серии Elephant"&amp;" · "&amp;'Стёкла серии Elephant'!$N$234</f>
        <v>Стёкла серии Elephant · Elephant</v>
      </c>
      <c r="M1098" s="292" t="str">
        <f aca="false">IF(ISBLANK('Стёкла серии Elephant'!$O$234),"",'Стёкла серии Elephant'!$O$234)</f>
        <v>Y50</v>
      </c>
      <c r="N1098" s="292" t="str">
        <f aca="false">""</f>
        <v/>
      </c>
      <c r="O1098" s="292" t="str">
        <f aca="false">""</f>
        <v/>
      </c>
      <c r="P1098" s="292" t="str">
        <f aca="false">IF(ISBLANK('Стёкла серии Elephant'!$P$234),"",'Стёкла серии Elephant'!$P$234)</f>
        <v>шт.</v>
      </c>
      <c r="Q1098" s="292" t="n">
        <f aca="false">N('Стёкла серии Elephant'!$R$234)</f>
        <v>0</v>
      </c>
      <c r="R1098" s="299" t="n">
        <f aca="false">IF(ISBLANK('Стёкла серии Elephant'!$Q$234),"",'Стёкла серии Elephant'!$Q$234)</f>
        <v>122.32</v>
      </c>
      <c r="S1098" s="292" t="str">
        <f aca="false">IF(ISBLANK('Стёкла серии Elephant'!$S$234),"",'Стёкла серии Elephant'!$S$234)</f>
        <v/>
      </c>
    </row>
    <row r="1099" customFormat="false" ht="66" hidden="false" customHeight="true" outlineLevel="0" collapsed="false">
      <c r="A1099" s="291" t="str">
        <f aca="true">IF(ISNUMBER($J1099),INDIRECT("L"&amp;($J1099+4)),"")</f>
        <v/>
      </c>
      <c r="B1099" s="291" t="str">
        <f aca="true">IF(ISNUMBER($J1099),INDIRECT("M"&amp;($J1099+4)),"")</f>
        <v/>
      </c>
      <c r="C1099" s="296" t="str">
        <f aca="true">IF(ISNUMBER($J1099),INDIRECT("N"&amp;($J1099+4)),"")</f>
        <v/>
      </c>
      <c r="D1099" s="291" t="str">
        <f aca="true">IF(ISNUMBER($J1099),INDIRECT("O"&amp;($J1099+4)),"")</f>
        <v/>
      </c>
      <c r="E1099" s="291" t="str">
        <f aca="true">IF(ISNUMBER($J1099),INDIRECT("P"&amp;($J1099+4)),"")</f>
        <v/>
      </c>
      <c r="F1099" s="300" t="str">
        <f aca="true">IF(ISNUMBER($J1099),INDIRECT("Q"&amp;($J1099+4)),"")</f>
        <v/>
      </c>
      <c r="G1099" s="298" t="str">
        <f aca="true">IF(ISNUMBER($J1099),INDIRECT("R"&amp;($J1099+4)),"")</f>
        <v/>
      </c>
      <c r="H1099" s="298" t="str">
        <f aca="true">IF(ISNUMBER($J1099),INDIRECT("S"&amp;($J1099+4)),"")</f>
        <v/>
      </c>
      <c r="J1099" s="292" t="str">
        <f aca="true">IF(1095&lt;=$K$1,MATCH(1094.5,INDIRECT("$K$4:$K$1374"),1),"")</f>
        <v/>
      </c>
      <c r="K1099" s="292" t="n">
        <f aca="false">$K$1028+COUNTIF($Q$1029:Q1099,"&gt;0")</f>
        <v>0</v>
      </c>
      <c r="L1099" s="292" t="str">
        <f aca="false">"Стёкла серии Elephant"&amp;" · "&amp;'Стёкла серии Elephant'!$N$235</f>
        <v>Стёкла серии Elephant · Elephant</v>
      </c>
      <c r="M1099" s="292" t="str">
        <f aca="false">IF(ISBLANK('Стёкла серии Elephant'!$O$235),"",'Стёкла серии Elephant'!$O$235)</f>
        <v>NOVA 7</v>
      </c>
      <c r="N1099" s="292" t="str">
        <f aca="false">""</f>
        <v/>
      </c>
      <c r="O1099" s="292" t="str">
        <f aca="false">""</f>
        <v/>
      </c>
      <c r="P1099" s="292" t="str">
        <f aca="false">IF(ISBLANK('Стёкла серии Elephant'!$P$235),"",'Стёкла серии Elephant'!$P$235)</f>
        <v>шт.</v>
      </c>
      <c r="Q1099" s="292" t="n">
        <f aca="false">N('Стёкла серии Elephant'!$R$235)</f>
        <v>0</v>
      </c>
      <c r="R1099" s="299" t="n">
        <f aca="false">IF(ISBLANK('Стёкла серии Elephant'!$Q$235),"",'Стёкла серии Elephant'!$Q$235)</f>
        <v>122.32</v>
      </c>
      <c r="S1099" s="292" t="str">
        <f aca="false">IF(ISBLANK('Стёкла серии Elephant'!$S$235),"",'Стёкла серии Elephant'!$S$235)</f>
        <v/>
      </c>
    </row>
    <row r="1100" customFormat="false" ht="66" hidden="false" customHeight="true" outlineLevel="0" collapsed="false">
      <c r="A1100" s="291" t="str">
        <f aca="true">IF(ISNUMBER($J1100),INDIRECT("L"&amp;($J1100+4)),"")</f>
        <v/>
      </c>
      <c r="B1100" s="291" t="str">
        <f aca="true">IF(ISNUMBER($J1100),INDIRECT("M"&amp;($J1100+4)),"")</f>
        <v/>
      </c>
      <c r="C1100" s="296" t="str">
        <f aca="true">IF(ISNUMBER($J1100),INDIRECT("N"&amp;($J1100+4)),"")</f>
        <v/>
      </c>
      <c r="D1100" s="291" t="str">
        <f aca="true">IF(ISNUMBER($J1100),INDIRECT("O"&amp;($J1100+4)),"")</f>
        <v/>
      </c>
      <c r="E1100" s="291" t="str">
        <f aca="true">IF(ISNUMBER($J1100),INDIRECT("P"&amp;($J1100+4)),"")</f>
        <v/>
      </c>
      <c r="F1100" s="300" t="str">
        <f aca="true">IF(ISNUMBER($J1100),INDIRECT("Q"&amp;($J1100+4)),"")</f>
        <v/>
      </c>
      <c r="G1100" s="298" t="str">
        <f aca="true">IF(ISNUMBER($J1100),INDIRECT("R"&amp;($J1100+4)),"")</f>
        <v/>
      </c>
      <c r="H1100" s="298" t="str">
        <f aca="true">IF(ISNUMBER($J1100),INDIRECT("S"&amp;($J1100+4)),"")</f>
        <v/>
      </c>
      <c r="J1100" s="292" t="str">
        <f aca="true">IF(1096&lt;=$K$1,MATCH(1095.5,INDIRECT("$K$4:$K$1374"),1),"")</f>
        <v/>
      </c>
      <c r="K1100" s="292" t="n">
        <f aca="false">$K$1028+COUNTIF($Q$1029:Q1100,"&gt;0")</f>
        <v>0</v>
      </c>
      <c r="L1100" s="292" t="str">
        <f aca="false">"Стёкла серии Elephant"&amp;" · "&amp;'Стёкла серии Elephant'!$N$236</f>
        <v>Стёкла серии Elephant · Elephant</v>
      </c>
      <c r="M1100" s="292" t="str">
        <f aca="false">IF(ISBLANK('Стёкла серии Elephant'!$O$236),"",'Стёкла серии Elephant'!$O$236)</f>
        <v>Honor 8/Play 8</v>
      </c>
      <c r="N1100" s="292" t="str">
        <f aca="false">""</f>
        <v/>
      </c>
      <c r="O1100" s="292" t="str">
        <f aca="false">""</f>
        <v/>
      </c>
      <c r="P1100" s="292" t="str">
        <f aca="false">IF(ISBLANK('Стёкла серии Elephant'!$P$236),"",'Стёкла серии Elephant'!$P$236)</f>
        <v>шт.</v>
      </c>
      <c r="Q1100" s="292" t="n">
        <f aca="false">N('Стёкла серии Elephant'!$R$236)</f>
        <v>0</v>
      </c>
      <c r="R1100" s="299" t="n">
        <f aca="false">IF(ISBLANK('Стёкла серии Elephant'!$Q$236),"",'Стёкла серии Elephant'!$Q$236)</f>
        <v>122.32</v>
      </c>
      <c r="S1100" s="292" t="str">
        <f aca="false">IF(ISBLANK('Стёкла серии Elephant'!$S$236),"",'Стёкла серии Elephant'!$S$236)</f>
        <v/>
      </c>
    </row>
    <row r="1101" customFormat="false" ht="66" hidden="false" customHeight="true" outlineLevel="0" collapsed="false">
      <c r="A1101" s="291" t="str">
        <f aca="true">IF(ISNUMBER($J1101),INDIRECT("L"&amp;($J1101+4)),"")</f>
        <v/>
      </c>
      <c r="B1101" s="291" t="str">
        <f aca="true">IF(ISNUMBER($J1101),INDIRECT("M"&amp;($J1101+4)),"")</f>
        <v/>
      </c>
      <c r="C1101" s="296" t="str">
        <f aca="true">IF(ISNUMBER($J1101),INDIRECT("N"&amp;($J1101+4)),"")</f>
        <v/>
      </c>
      <c r="D1101" s="291" t="str">
        <f aca="true">IF(ISNUMBER($J1101),INDIRECT("O"&amp;($J1101+4)),"")</f>
        <v/>
      </c>
      <c r="E1101" s="291" t="str">
        <f aca="true">IF(ISNUMBER($J1101),INDIRECT("P"&amp;($J1101+4)),"")</f>
        <v/>
      </c>
      <c r="F1101" s="300" t="str">
        <f aca="true">IF(ISNUMBER($J1101),INDIRECT("Q"&amp;($J1101+4)),"")</f>
        <v/>
      </c>
      <c r="G1101" s="298" t="str">
        <f aca="true">IF(ISNUMBER($J1101),INDIRECT("R"&amp;($J1101+4)),"")</f>
        <v/>
      </c>
      <c r="H1101" s="298" t="str">
        <f aca="true">IF(ISNUMBER($J1101),INDIRECT("S"&amp;($J1101+4)),"")</f>
        <v/>
      </c>
      <c r="J1101" s="292" t="str">
        <f aca="true">IF(1097&lt;=$K$1,MATCH(1096.5,INDIRECT("$K$4:$K$1374"),1),"")</f>
        <v/>
      </c>
      <c r="K1101" s="292" t="n">
        <f aca="false">$K$1028+COUNTIF($Q$1029:Q1101,"&gt;0")</f>
        <v>0</v>
      </c>
      <c r="L1101" s="292" t="str">
        <f aca="false">"Стёкла серии Elephant"&amp;" · "&amp;'Стёкла серии Elephant'!$N$237</f>
        <v>Стёкла серии Elephant · Elephant</v>
      </c>
      <c r="M1101" s="292" t="str">
        <f aca="false">IF(ISBLANK('Стёкла серии Elephant'!$O$237),"",'Стёкла серии Elephant'!$O$237)</f>
        <v>Mi 9/9 Explore edition</v>
      </c>
      <c r="N1101" s="292" t="str">
        <f aca="false">""</f>
        <v/>
      </c>
      <c r="O1101" s="292" t="str">
        <f aca="false">""</f>
        <v/>
      </c>
      <c r="P1101" s="292" t="str">
        <f aca="false">IF(ISBLANK('Стёкла серии Elephant'!$P$237),"",'Стёкла серии Elephant'!$P$237)</f>
        <v>шт.</v>
      </c>
      <c r="Q1101" s="292" t="n">
        <f aca="false">N('Стёкла серии Elephant'!$R$237)</f>
        <v>0</v>
      </c>
      <c r="R1101" s="299" t="n">
        <f aca="false">IF(ISBLANK('Стёкла серии Elephant'!$Q$237),"",'Стёкла серии Elephant'!$Q$237)</f>
        <v>122.32</v>
      </c>
      <c r="S1101" s="292" t="str">
        <f aca="false">IF(ISBLANK('Стёкла серии Elephant'!$S$237),"",'Стёкла серии Elephant'!$S$237)</f>
        <v/>
      </c>
    </row>
    <row r="1102" customFormat="false" ht="66" hidden="false" customHeight="true" outlineLevel="0" collapsed="false">
      <c r="A1102" s="291" t="str">
        <f aca="true">IF(ISNUMBER($J1102),INDIRECT("L"&amp;($J1102+4)),"")</f>
        <v/>
      </c>
      <c r="B1102" s="291" t="str">
        <f aca="true">IF(ISNUMBER($J1102),INDIRECT("M"&amp;($J1102+4)),"")</f>
        <v/>
      </c>
      <c r="C1102" s="296" t="str">
        <f aca="true">IF(ISNUMBER($J1102),INDIRECT("N"&amp;($J1102+4)),"")</f>
        <v/>
      </c>
      <c r="D1102" s="291" t="str">
        <f aca="true">IF(ISNUMBER($J1102),INDIRECT("O"&amp;($J1102+4)),"")</f>
        <v/>
      </c>
      <c r="E1102" s="291" t="str">
        <f aca="true">IF(ISNUMBER($J1102),INDIRECT("P"&amp;($J1102+4)),"")</f>
        <v/>
      </c>
      <c r="F1102" s="300" t="str">
        <f aca="true">IF(ISNUMBER($J1102),INDIRECT("Q"&amp;($J1102+4)),"")</f>
        <v/>
      </c>
      <c r="G1102" s="298" t="str">
        <f aca="true">IF(ISNUMBER($J1102),INDIRECT("R"&amp;($J1102+4)),"")</f>
        <v/>
      </c>
      <c r="H1102" s="298" t="str">
        <f aca="true">IF(ISNUMBER($J1102),INDIRECT("S"&amp;($J1102+4)),"")</f>
        <v/>
      </c>
      <c r="J1102" s="292" t="str">
        <f aca="true">IF(1098&lt;=$K$1,MATCH(1097.5,INDIRECT("$K$4:$K$1374"),1),"")</f>
        <v/>
      </c>
      <c r="K1102" s="292" t="n">
        <f aca="false">$K$1028+COUNTIF($Q$1029:Q1102,"&gt;0")</f>
        <v>0</v>
      </c>
      <c r="L1102" s="292" t="str">
        <f aca="false">"Стёкла серии Elephant"&amp;" · "&amp;'Стёкла серии Elephant'!$N$238</f>
        <v>Стёкла серии Elephant · Elephant</v>
      </c>
      <c r="M1102" s="292" t="str">
        <f aca="false">IF(ISBLANK('Стёкла серии Elephant'!$O$238),"",'Стёкла серии Elephant'!$O$238)</f>
        <v>Redmi Note10 Pro/NOTE 10 PRO max</v>
      </c>
      <c r="N1102" s="292" t="str">
        <f aca="false">""</f>
        <v/>
      </c>
      <c r="O1102" s="292" t="str">
        <f aca="false">""</f>
        <v/>
      </c>
      <c r="P1102" s="292" t="str">
        <f aca="false">IF(ISBLANK('Стёкла серии Elephant'!$P$238),"",'Стёкла серии Elephant'!$P$238)</f>
        <v>шт.</v>
      </c>
      <c r="Q1102" s="292" t="n">
        <f aca="false">N('Стёкла серии Elephant'!$R$238)</f>
        <v>0</v>
      </c>
      <c r="R1102" s="299" t="n">
        <f aca="false">IF(ISBLANK('Стёкла серии Elephant'!$Q$238),"",'Стёкла серии Elephant'!$Q$238)</f>
        <v>122.32</v>
      </c>
      <c r="S1102" s="292" t="str">
        <f aca="false">IF(ISBLANK('Стёкла серии Elephant'!$S$238),"",'Стёкла серии Elephant'!$S$238)</f>
        <v/>
      </c>
    </row>
    <row r="1103" customFormat="false" ht="66" hidden="false" customHeight="true" outlineLevel="0" collapsed="false">
      <c r="A1103" s="291" t="str">
        <f aca="true">IF(ISNUMBER($J1103),INDIRECT("L"&amp;($J1103+4)),"")</f>
        <v/>
      </c>
      <c r="B1103" s="291" t="str">
        <f aca="true">IF(ISNUMBER($J1103),INDIRECT("M"&amp;($J1103+4)),"")</f>
        <v/>
      </c>
      <c r="C1103" s="296" t="str">
        <f aca="true">IF(ISNUMBER($J1103),INDIRECT("N"&amp;($J1103+4)),"")</f>
        <v/>
      </c>
      <c r="D1103" s="291" t="str">
        <f aca="true">IF(ISNUMBER($J1103),INDIRECT("O"&amp;($J1103+4)),"")</f>
        <v/>
      </c>
      <c r="E1103" s="291" t="str">
        <f aca="true">IF(ISNUMBER($J1103),INDIRECT("P"&amp;($J1103+4)),"")</f>
        <v/>
      </c>
      <c r="F1103" s="300" t="str">
        <f aca="true">IF(ISNUMBER($J1103),INDIRECT("Q"&amp;($J1103+4)),"")</f>
        <v/>
      </c>
      <c r="G1103" s="298" t="str">
        <f aca="true">IF(ISNUMBER($J1103),INDIRECT("R"&amp;($J1103+4)),"")</f>
        <v/>
      </c>
      <c r="H1103" s="298" t="str">
        <f aca="true">IF(ISNUMBER($J1103),INDIRECT("S"&amp;($J1103+4)),"")</f>
        <v/>
      </c>
      <c r="J1103" s="292" t="str">
        <f aca="true">IF(1099&lt;=$K$1,MATCH(1098.5,INDIRECT("$K$4:$K$1374"),1),"")</f>
        <v/>
      </c>
      <c r="K1103" s="292" t="n">
        <f aca="false">$K$1028+COUNTIF($Q$1029:Q1103,"&gt;0")</f>
        <v>0</v>
      </c>
      <c r="L1103" s="292" t="str">
        <f aca="false">"Стёкла серии Elephant"&amp;" · "&amp;'Стёкла серии Elephant'!$N$239</f>
        <v>Стёкла серии Elephant · Elephant</v>
      </c>
      <c r="M1103" s="292" t="str">
        <f aca="false">IF(ISBLANK('Стёкла серии Elephant'!$O$239),"",'Стёкла серии Elephant'!$O$239)</f>
        <v>A20S</v>
      </c>
      <c r="N1103" s="292" t="str">
        <f aca="false">""</f>
        <v/>
      </c>
      <c r="O1103" s="292" t="str">
        <f aca="false">""</f>
        <v/>
      </c>
      <c r="P1103" s="292" t="str">
        <f aca="false">IF(ISBLANK('Стёкла серии Elephant'!$P$239),"",'Стёкла серии Elephant'!$P$239)</f>
        <v>шт.</v>
      </c>
      <c r="Q1103" s="292" t="n">
        <f aca="false">N('Стёкла серии Elephant'!$R$239)</f>
        <v>0</v>
      </c>
      <c r="R1103" s="299" t="n">
        <f aca="false">IF(ISBLANK('Стёкла серии Elephant'!$Q$239),"",'Стёкла серии Elephant'!$Q$239)</f>
        <v>122.32</v>
      </c>
      <c r="S1103" s="292" t="str">
        <f aca="false">IF(ISBLANK('Стёкла серии Elephant'!$S$239),"",'Стёкла серии Elephant'!$S$239)</f>
        <v/>
      </c>
    </row>
    <row r="1104" customFormat="false" ht="66" hidden="false" customHeight="true" outlineLevel="0" collapsed="false">
      <c r="A1104" s="291" t="str">
        <f aca="true">IF(ISNUMBER($J1104),INDIRECT("L"&amp;($J1104+4)),"")</f>
        <v/>
      </c>
      <c r="B1104" s="291" t="str">
        <f aca="true">IF(ISNUMBER($J1104),INDIRECT("M"&amp;($J1104+4)),"")</f>
        <v/>
      </c>
      <c r="C1104" s="296" t="str">
        <f aca="true">IF(ISNUMBER($J1104),INDIRECT("N"&amp;($J1104+4)),"")</f>
        <v/>
      </c>
      <c r="D1104" s="291" t="str">
        <f aca="true">IF(ISNUMBER($J1104),INDIRECT("O"&amp;($J1104+4)),"")</f>
        <v/>
      </c>
      <c r="E1104" s="291" t="str">
        <f aca="true">IF(ISNUMBER($J1104),INDIRECT("P"&amp;($J1104+4)),"")</f>
        <v/>
      </c>
      <c r="F1104" s="300" t="str">
        <f aca="true">IF(ISNUMBER($J1104),INDIRECT("Q"&amp;($J1104+4)),"")</f>
        <v/>
      </c>
      <c r="G1104" s="298" t="str">
        <f aca="true">IF(ISNUMBER($J1104),INDIRECT("R"&amp;($J1104+4)),"")</f>
        <v/>
      </c>
      <c r="H1104" s="298" t="str">
        <f aca="true">IF(ISNUMBER($J1104),INDIRECT("S"&amp;($J1104+4)),"")</f>
        <v/>
      </c>
      <c r="J1104" s="292" t="str">
        <f aca="true">IF(1100&lt;=$K$1,MATCH(1099.5,INDIRECT("$K$4:$K$1374"),1),"")</f>
        <v/>
      </c>
      <c r="K1104" s="292" t="n">
        <f aca="false">$K$1028+COUNTIF($Q$1029:Q1104,"&gt;0")</f>
        <v>0</v>
      </c>
      <c r="L1104" s="292" t="str">
        <f aca="false">"Стёкла серии Elephant"&amp;" · "&amp;'Стёкла серии Elephant'!$N$240</f>
        <v>Стёкла серии Elephant · Elephant</v>
      </c>
      <c r="M1104" s="292" t="str">
        <f aca="false">IF(ISBLANK('Стёкла серии Elephant'!$O$240),"",'Стёкла серии Elephant'!$O$240)</f>
        <v>Realme 5 Pro</v>
      </c>
      <c r="N1104" s="292" t="str">
        <f aca="false">""</f>
        <v/>
      </c>
      <c r="O1104" s="292" t="str">
        <f aca="false">""</f>
        <v/>
      </c>
      <c r="P1104" s="292" t="str">
        <f aca="false">IF(ISBLANK('Стёкла серии Elephant'!$P$240),"",'Стёкла серии Elephant'!$P$240)</f>
        <v>шт.</v>
      </c>
      <c r="Q1104" s="292" t="n">
        <f aca="false">N('Стёкла серии Elephant'!$R$240)</f>
        <v>0</v>
      </c>
      <c r="R1104" s="299" t="n">
        <f aca="false">IF(ISBLANK('Стёкла серии Elephant'!$Q$240),"",'Стёкла серии Elephant'!$Q$240)</f>
        <v>122.32</v>
      </c>
      <c r="S1104" s="292" t="str">
        <f aca="false">IF(ISBLANK('Стёкла серии Elephant'!$S$240),"",'Стёкла серии Elephant'!$S$240)</f>
        <v/>
      </c>
    </row>
    <row r="1105" customFormat="false" ht="66" hidden="false" customHeight="true" outlineLevel="0" collapsed="false">
      <c r="A1105" s="291" t="str">
        <f aca="true">IF(ISNUMBER($J1105),INDIRECT("L"&amp;($J1105+4)),"")</f>
        <v/>
      </c>
      <c r="B1105" s="291" t="str">
        <f aca="true">IF(ISNUMBER($J1105),INDIRECT("M"&amp;($J1105+4)),"")</f>
        <v/>
      </c>
      <c r="C1105" s="296" t="str">
        <f aca="true">IF(ISNUMBER($J1105),INDIRECT("N"&amp;($J1105+4)),"")</f>
        <v/>
      </c>
      <c r="D1105" s="291" t="str">
        <f aca="true">IF(ISNUMBER($J1105),INDIRECT("O"&amp;($J1105+4)),"")</f>
        <v/>
      </c>
      <c r="E1105" s="291" t="str">
        <f aca="true">IF(ISNUMBER($J1105),INDIRECT("P"&amp;($J1105+4)),"")</f>
        <v/>
      </c>
      <c r="F1105" s="300" t="str">
        <f aca="true">IF(ISNUMBER($J1105),INDIRECT("Q"&amp;($J1105+4)),"")</f>
        <v/>
      </c>
      <c r="G1105" s="298" t="str">
        <f aca="true">IF(ISNUMBER($J1105),INDIRECT("R"&amp;($J1105+4)),"")</f>
        <v/>
      </c>
      <c r="H1105" s="298" t="str">
        <f aca="true">IF(ISNUMBER($J1105),INDIRECT("S"&amp;($J1105+4)),"")</f>
        <v/>
      </c>
      <c r="J1105" s="292" t="str">
        <f aca="true">IF(1101&lt;=$K$1,MATCH(1100.5,INDIRECT("$K$4:$K$1374"),1),"")</f>
        <v/>
      </c>
      <c r="K1105" s="292" t="n">
        <f aca="false">$K$1028+COUNTIF($Q$1029:Q1105,"&gt;0")</f>
        <v>0</v>
      </c>
      <c r="L1105" s="292" t="str">
        <f aca="false">"Стёкла серии Elephant"&amp;" · "&amp;'Стёкла серии Elephant'!$N$241</f>
        <v>Стёкла серии Elephant · Elephant</v>
      </c>
      <c r="M1105" s="292" t="str">
        <f aca="false">IF(ISBLANK('Стёкла серии Elephant'!$O$241),"",'Стёкла серии Elephant'!$O$241)</f>
        <v>A55/A16/REALME V11/C20/C21/C21Y/A53S 5G</v>
      </c>
      <c r="N1105" s="292" t="str">
        <f aca="false">""</f>
        <v/>
      </c>
      <c r="O1105" s="292" t="str">
        <f aca="false">""</f>
        <v/>
      </c>
      <c r="P1105" s="292" t="str">
        <f aca="false">IF(ISBLANK('Стёкла серии Elephant'!$P$241),"",'Стёкла серии Elephant'!$P$241)</f>
        <v>шт.</v>
      </c>
      <c r="Q1105" s="292" t="n">
        <f aca="false">N('Стёкла серии Elephant'!$R$241)</f>
        <v>0</v>
      </c>
      <c r="R1105" s="299" t="n">
        <f aca="false">IF(ISBLANK('Стёкла серии Elephant'!$Q$241),"",'Стёкла серии Elephant'!$Q$241)</f>
        <v>122.32</v>
      </c>
      <c r="S1105" s="292" t="str">
        <f aca="false">IF(ISBLANK('Стёкла серии Elephant'!$S$241),"",'Стёкла серии Elephant'!$S$241)</f>
        <v/>
      </c>
    </row>
    <row r="1106" customFormat="false" ht="66" hidden="false" customHeight="true" outlineLevel="0" collapsed="false">
      <c r="A1106" s="291" t="str">
        <f aca="true">IF(ISNUMBER($J1106),INDIRECT("L"&amp;($J1106+4)),"")</f>
        <v/>
      </c>
      <c r="B1106" s="291" t="str">
        <f aca="true">IF(ISNUMBER($J1106),INDIRECT("M"&amp;($J1106+4)),"")</f>
        <v/>
      </c>
      <c r="C1106" s="296" t="str">
        <f aca="true">IF(ISNUMBER($J1106),INDIRECT("N"&amp;($J1106+4)),"")</f>
        <v/>
      </c>
      <c r="D1106" s="291" t="str">
        <f aca="true">IF(ISNUMBER($J1106),INDIRECT("O"&amp;($J1106+4)),"")</f>
        <v/>
      </c>
      <c r="E1106" s="291" t="str">
        <f aca="true">IF(ISNUMBER($J1106),INDIRECT("P"&amp;($J1106+4)),"")</f>
        <v/>
      </c>
      <c r="F1106" s="300" t="str">
        <f aca="true">IF(ISNUMBER($J1106),INDIRECT("Q"&amp;($J1106+4)),"")</f>
        <v/>
      </c>
      <c r="G1106" s="298" t="str">
        <f aca="true">IF(ISNUMBER($J1106),INDIRECT("R"&amp;($J1106+4)),"")</f>
        <v/>
      </c>
      <c r="H1106" s="298" t="str">
        <f aca="true">IF(ISNUMBER($J1106),INDIRECT("S"&amp;($J1106+4)),"")</f>
        <v/>
      </c>
      <c r="J1106" s="292" t="str">
        <f aca="true">IF(1102&lt;=$K$1,MATCH(1101.5,INDIRECT("$K$4:$K$1374"),1),"")</f>
        <v/>
      </c>
      <c r="K1106" s="292" t="n">
        <f aca="false">$K$1028+COUNTIF($Q$1029:Q1106,"&gt;0")</f>
        <v>0</v>
      </c>
      <c r="L1106" s="292" t="str">
        <f aca="false">"Стёкла серии Elephant"&amp;" · "&amp;'Стёкла серии Elephant'!$N$242</f>
        <v>Стёкла серии Elephant · Elephant</v>
      </c>
      <c r="M1106" s="292" t="str">
        <f aca="false">IF(ISBLANK('Стёкла серии Elephant'!$O$242),"",'Стёкла серии Elephant'!$O$242)</f>
        <v>Y70S</v>
      </c>
      <c r="N1106" s="292" t="str">
        <f aca="false">""</f>
        <v/>
      </c>
      <c r="O1106" s="292" t="str">
        <f aca="false">""</f>
        <v/>
      </c>
      <c r="P1106" s="292" t="str">
        <f aca="false">IF(ISBLANK('Стёкла серии Elephant'!$P$242),"",'Стёкла серии Elephant'!$P$242)</f>
        <v>шт.</v>
      </c>
      <c r="Q1106" s="292" t="n">
        <f aca="false">N('Стёкла серии Elephant'!$R$242)</f>
        <v>0</v>
      </c>
      <c r="R1106" s="299" t="n">
        <f aca="false">IF(ISBLANK('Стёкла серии Elephant'!$Q$242),"",'Стёкла серии Elephant'!$Q$242)</f>
        <v>122.32</v>
      </c>
      <c r="S1106" s="292" t="str">
        <f aca="false">IF(ISBLANK('Стёкла серии Elephant'!$S$242),"",'Стёкла серии Elephant'!$S$242)</f>
        <v/>
      </c>
    </row>
    <row r="1107" customFormat="false" ht="66" hidden="false" customHeight="true" outlineLevel="0" collapsed="false">
      <c r="A1107" s="291" t="str">
        <f aca="true">IF(ISNUMBER($J1107),INDIRECT("L"&amp;($J1107+4)),"")</f>
        <v/>
      </c>
      <c r="B1107" s="291" t="str">
        <f aca="true">IF(ISNUMBER($J1107),INDIRECT("M"&amp;($J1107+4)),"")</f>
        <v/>
      </c>
      <c r="C1107" s="296" t="str">
        <f aca="true">IF(ISNUMBER($J1107),INDIRECT("N"&amp;($J1107+4)),"")</f>
        <v/>
      </c>
      <c r="D1107" s="291" t="str">
        <f aca="true">IF(ISNUMBER($J1107),INDIRECT("O"&amp;($J1107+4)),"")</f>
        <v/>
      </c>
      <c r="E1107" s="291" t="str">
        <f aca="true">IF(ISNUMBER($J1107),INDIRECT("P"&amp;($J1107+4)),"")</f>
        <v/>
      </c>
      <c r="F1107" s="300" t="str">
        <f aca="true">IF(ISNUMBER($J1107),INDIRECT("Q"&amp;($J1107+4)),"")</f>
        <v/>
      </c>
      <c r="G1107" s="298" t="str">
        <f aca="true">IF(ISNUMBER($J1107),INDIRECT("R"&amp;($J1107+4)),"")</f>
        <v/>
      </c>
      <c r="H1107" s="298" t="str">
        <f aca="true">IF(ISNUMBER($J1107),INDIRECT("S"&amp;($J1107+4)),"")</f>
        <v/>
      </c>
      <c r="J1107" s="292" t="str">
        <f aca="true">IF(1103&lt;=$K$1,MATCH(1102.5,INDIRECT("$K$4:$K$1374"),1),"")</f>
        <v/>
      </c>
      <c r="K1107" s="292" t="n">
        <f aca="false">$K$1028+COUNTIF($Q$1029:Q1107,"&gt;0")</f>
        <v>0</v>
      </c>
      <c r="L1107" s="292" t="str">
        <f aca="false">"Стёкла серии Elephant"&amp;" · "&amp;'Стёкла серии Elephant'!$N$243</f>
        <v>Стёкла серии Elephant · Elephant</v>
      </c>
      <c r="M1107" s="292" t="str">
        <f aca="false">IF(ISBLANK('Стёкла серии Elephant'!$O$243),"",'Стёкла серии Elephant'!$O$243)</f>
        <v>NOVA 7SE</v>
      </c>
      <c r="N1107" s="292" t="str">
        <f aca="false">""</f>
        <v/>
      </c>
      <c r="O1107" s="292" t="str">
        <f aca="false">""</f>
        <v/>
      </c>
      <c r="P1107" s="292" t="str">
        <f aca="false">IF(ISBLANK('Стёкла серии Elephant'!$P$243),"",'Стёкла серии Elephant'!$P$243)</f>
        <v>шт.</v>
      </c>
      <c r="Q1107" s="292" t="n">
        <f aca="false">N('Стёкла серии Elephant'!$R$243)</f>
        <v>0</v>
      </c>
      <c r="R1107" s="299" t="n">
        <f aca="false">IF(ISBLANK('Стёкла серии Elephant'!$Q$243),"",'Стёкла серии Elephant'!$Q$243)</f>
        <v>122.32</v>
      </c>
      <c r="S1107" s="292" t="str">
        <f aca="false">IF(ISBLANK('Стёкла серии Elephant'!$S$243),"",'Стёкла серии Elephant'!$S$243)</f>
        <v/>
      </c>
    </row>
    <row r="1108" customFormat="false" ht="66" hidden="false" customHeight="true" outlineLevel="0" collapsed="false">
      <c r="A1108" s="291" t="str">
        <f aca="true">IF(ISNUMBER($J1108),INDIRECT("L"&amp;($J1108+4)),"")</f>
        <v/>
      </c>
      <c r="B1108" s="291" t="str">
        <f aca="true">IF(ISNUMBER($J1108),INDIRECT("M"&amp;($J1108+4)),"")</f>
        <v/>
      </c>
      <c r="C1108" s="296" t="str">
        <f aca="true">IF(ISNUMBER($J1108),INDIRECT("N"&amp;($J1108+4)),"")</f>
        <v/>
      </c>
      <c r="D1108" s="291" t="str">
        <f aca="true">IF(ISNUMBER($J1108),INDIRECT("O"&amp;($J1108+4)),"")</f>
        <v/>
      </c>
      <c r="E1108" s="291" t="str">
        <f aca="true">IF(ISNUMBER($J1108),INDIRECT("P"&amp;($J1108+4)),"")</f>
        <v/>
      </c>
      <c r="F1108" s="300" t="str">
        <f aca="true">IF(ISNUMBER($J1108),INDIRECT("Q"&amp;($J1108+4)),"")</f>
        <v/>
      </c>
      <c r="G1108" s="298" t="str">
        <f aca="true">IF(ISNUMBER($J1108),INDIRECT("R"&amp;($J1108+4)),"")</f>
        <v/>
      </c>
      <c r="H1108" s="298" t="str">
        <f aca="true">IF(ISNUMBER($J1108),INDIRECT("S"&amp;($J1108+4)),"")</f>
        <v/>
      </c>
      <c r="J1108" s="292" t="str">
        <f aca="true">IF(1104&lt;=$K$1,MATCH(1103.5,INDIRECT("$K$4:$K$1374"),1),"")</f>
        <v/>
      </c>
      <c r="K1108" s="292" t="n">
        <f aca="false">$K$1028+COUNTIF($Q$1029:Q1108,"&gt;0")</f>
        <v>0</v>
      </c>
      <c r="L1108" s="292" t="str">
        <f aca="false">"Стёкла серии Elephant"&amp;" · "&amp;'Стёкла серии Elephant'!$N$244</f>
        <v>Стёкла серии Elephant · Elephant</v>
      </c>
      <c r="M1108" s="292" t="str">
        <f aca="false">IF(ISBLANK('Стёкла серии Elephant'!$O$244),"",'Стёкла серии Elephant'!$O$244)</f>
        <v>Honor Play 9A</v>
      </c>
      <c r="N1108" s="292" t="str">
        <f aca="false">""</f>
        <v/>
      </c>
      <c r="O1108" s="292" t="str">
        <f aca="false">""</f>
        <v/>
      </c>
      <c r="P1108" s="292" t="str">
        <f aca="false">IF(ISBLANK('Стёкла серии Elephant'!$P$244),"",'Стёкла серии Elephant'!$P$244)</f>
        <v>шт.</v>
      </c>
      <c r="Q1108" s="292" t="n">
        <f aca="false">N('Стёкла серии Elephant'!$R$244)</f>
        <v>0</v>
      </c>
      <c r="R1108" s="299" t="n">
        <f aca="false">IF(ISBLANK('Стёкла серии Elephant'!$Q$244),"",'Стёкла серии Elephant'!$Q$244)</f>
        <v>122.32</v>
      </c>
      <c r="S1108" s="292" t="str">
        <f aca="false">IF(ISBLANK('Стёкла серии Elephant'!$S$244),"",'Стёкла серии Elephant'!$S$244)</f>
        <v/>
      </c>
    </row>
    <row r="1109" customFormat="false" ht="66" hidden="false" customHeight="true" outlineLevel="0" collapsed="false">
      <c r="A1109" s="291" t="str">
        <f aca="true">IF(ISNUMBER($J1109),INDIRECT("L"&amp;($J1109+4)),"")</f>
        <v/>
      </c>
      <c r="B1109" s="291" t="str">
        <f aca="true">IF(ISNUMBER($J1109),INDIRECT("M"&amp;($J1109+4)),"")</f>
        <v/>
      </c>
      <c r="C1109" s="296" t="str">
        <f aca="true">IF(ISNUMBER($J1109),INDIRECT("N"&amp;($J1109+4)),"")</f>
        <v/>
      </c>
      <c r="D1109" s="291" t="str">
        <f aca="true">IF(ISNUMBER($J1109),INDIRECT("O"&amp;($J1109+4)),"")</f>
        <v/>
      </c>
      <c r="E1109" s="291" t="str">
        <f aca="true">IF(ISNUMBER($J1109),INDIRECT("P"&amp;($J1109+4)),"")</f>
        <v/>
      </c>
      <c r="F1109" s="300" t="str">
        <f aca="true">IF(ISNUMBER($J1109),INDIRECT("Q"&amp;($J1109+4)),"")</f>
        <v/>
      </c>
      <c r="G1109" s="298" t="str">
        <f aca="true">IF(ISNUMBER($J1109),INDIRECT("R"&amp;($J1109+4)),"")</f>
        <v/>
      </c>
      <c r="H1109" s="298" t="str">
        <f aca="true">IF(ISNUMBER($J1109),INDIRECT("S"&amp;($J1109+4)),"")</f>
        <v/>
      </c>
      <c r="J1109" s="292" t="str">
        <f aca="true">IF(1105&lt;=$K$1,MATCH(1104.5,INDIRECT("$K$4:$K$1374"),1),"")</f>
        <v/>
      </c>
      <c r="K1109" s="292" t="n">
        <f aca="false">$K$1028+COUNTIF($Q$1029:Q1109,"&gt;0")</f>
        <v>0</v>
      </c>
      <c r="L1109" s="292" t="str">
        <f aca="false">"Стёкла серии Elephant"&amp;" · "&amp;'Стёкла серии Elephant'!$N$245</f>
        <v>Стёкла серии Elephant · Elephant</v>
      </c>
      <c r="M1109" s="292" t="str">
        <f aca="false">IF(ISBLANK('Стёкла серии Elephant'!$O$245),"",'Стёкла серии Elephant'!$O$245)</f>
        <v>Mi 9SE</v>
      </c>
      <c r="N1109" s="292" t="str">
        <f aca="false">""</f>
        <v/>
      </c>
      <c r="O1109" s="292" t="str">
        <f aca="false">""</f>
        <v/>
      </c>
      <c r="P1109" s="292" t="str">
        <f aca="false">IF(ISBLANK('Стёкла серии Elephant'!$P$245),"",'Стёкла серии Elephant'!$P$245)</f>
        <v>шт.</v>
      </c>
      <c r="Q1109" s="292" t="n">
        <f aca="false">N('Стёкла серии Elephant'!$R$245)</f>
        <v>0</v>
      </c>
      <c r="R1109" s="299" t="n">
        <f aca="false">IF(ISBLANK('Стёкла серии Elephant'!$Q$245),"",'Стёкла серии Elephant'!$Q$245)</f>
        <v>122.32</v>
      </c>
      <c r="S1109" s="292" t="str">
        <f aca="false">IF(ISBLANK('Стёкла серии Elephant'!$S$245),"",'Стёкла серии Elephant'!$S$245)</f>
        <v/>
      </c>
    </row>
    <row r="1110" customFormat="false" ht="66" hidden="false" customHeight="true" outlineLevel="0" collapsed="false">
      <c r="A1110" s="291" t="str">
        <f aca="true">IF(ISNUMBER($J1110),INDIRECT("L"&amp;($J1110+4)),"")</f>
        <v/>
      </c>
      <c r="B1110" s="291" t="str">
        <f aca="true">IF(ISNUMBER($J1110),INDIRECT("M"&amp;($J1110+4)),"")</f>
        <v/>
      </c>
      <c r="C1110" s="296" t="str">
        <f aca="true">IF(ISNUMBER($J1110),INDIRECT("N"&amp;($J1110+4)),"")</f>
        <v/>
      </c>
      <c r="D1110" s="291" t="str">
        <f aca="true">IF(ISNUMBER($J1110),INDIRECT("O"&amp;($J1110+4)),"")</f>
        <v/>
      </c>
      <c r="E1110" s="291" t="str">
        <f aca="true">IF(ISNUMBER($J1110),INDIRECT("P"&amp;($J1110+4)),"")</f>
        <v/>
      </c>
      <c r="F1110" s="300" t="str">
        <f aca="true">IF(ISNUMBER($J1110),INDIRECT("Q"&amp;($J1110+4)),"")</f>
        <v/>
      </c>
      <c r="G1110" s="298" t="str">
        <f aca="true">IF(ISNUMBER($J1110),INDIRECT("R"&amp;($J1110+4)),"")</f>
        <v/>
      </c>
      <c r="H1110" s="298" t="str">
        <f aca="true">IF(ISNUMBER($J1110),INDIRECT("S"&amp;($J1110+4)),"")</f>
        <v/>
      </c>
      <c r="J1110" s="292" t="str">
        <f aca="true">IF(1106&lt;=$K$1,MATCH(1105.5,INDIRECT("$K$4:$K$1374"),1),"")</f>
        <v/>
      </c>
      <c r="K1110" s="292" t="n">
        <f aca="false">$K$1028+COUNTIF($Q$1029:Q1110,"&gt;0")</f>
        <v>0</v>
      </c>
      <c r="L1110" s="292" t="str">
        <f aca="false">"Стёкла серии Elephant"&amp;" · "&amp;'Стёкла серии Elephant'!$N$246</f>
        <v>Стёкла серии Elephant · Elephant</v>
      </c>
      <c r="M1110" s="292" t="str">
        <f aca="false">IF(ISBLANK('Стёкла серии Elephant'!$O$246),"",'Стёкла серии Elephant'!$O$246)</f>
        <v>Redmi 9/9A/9C/9AT</v>
      </c>
      <c r="N1110" s="292" t="str">
        <f aca="false">""</f>
        <v/>
      </c>
      <c r="O1110" s="292" t="str">
        <f aca="false">""</f>
        <v/>
      </c>
      <c r="P1110" s="292" t="str">
        <f aca="false">IF(ISBLANK('Стёкла серии Elephant'!$P$246),"",'Стёкла серии Elephant'!$P$246)</f>
        <v>шт.</v>
      </c>
      <c r="Q1110" s="292" t="n">
        <f aca="false">N('Стёкла серии Elephant'!$R$246)</f>
        <v>0</v>
      </c>
      <c r="R1110" s="299" t="n">
        <f aca="false">IF(ISBLANK('Стёкла серии Elephant'!$Q$246),"",'Стёкла серии Elephant'!$Q$246)</f>
        <v>122.32</v>
      </c>
      <c r="S1110" s="292" t="str">
        <f aca="false">IF(ISBLANK('Стёкла серии Elephant'!$S$246),"",'Стёкла серии Elephant'!$S$246)</f>
        <v/>
      </c>
    </row>
    <row r="1111" customFormat="false" ht="66" hidden="false" customHeight="true" outlineLevel="0" collapsed="false">
      <c r="A1111" s="291" t="str">
        <f aca="true">IF(ISNUMBER($J1111),INDIRECT("L"&amp;($J1111+4)),"")</f>
        <v/>
      </c>
      <c r="B1111" s="291" t="str">
        <f aca="true">IF(ISNUMBER($J1111),INDIRECT("M"&amp;($J1111+4)),"")</f>
        <v/>
      </c>
      <c r="C1111" s="296" t="str">
        <f aca="true">IF(ISNUMBER($J1111),INDIRECT("N"&amp;($J1111+4)),"")</f>
        <v/>
      </c>
      <c r="D1111" s="291" t="str">
        <f aca="true">IF(ISNUMBER($J1111),INDIRECT("O"&amp;($J1111+4)),"")</f>
        <v/>
      </c>
      <c r="E1111" s="291" t="str">
        <f aca="true">IF(ISNUMBER($J1111),INDIRECT("P"&amp;($J1111+4)),"")</f>
        <v/>
      </c>
      <c r="F1111" s="300" t="str">
        <f aca="true">IF(ISNUMBER($J1111),INDIRECT("Q"&amp;($J1111+4)),"")</f>
        <v/>
      </c>
      <c r="G1111" s="298" t="str">
        <f aca="true">IF(ISNUMBER($J1111),INDIRECT("R"&amp;($J1111+4)),"")</f>
        <v/>
      </c>
      <c r="H1111" s="298" t="str">
        <f aca="true">IF(ISNUMBER($J1111),INDIRECT("S"&amp;($J1111+4)),"")</f>
        <v/>
      </c>
      <c r="J1111" s="292" t="str">
        <f aca="true">IF(1107&lt;=$K$1,MATCH(1106.5,INDIRECT("$K$4:$K$1374"),1),"")</f>
        <v/>
      </c>
      <c r="K1111" s="292" t="n">
        <f aca="false">$K$1028+COUNTIF($Q$1029:Q1111,"&gt;0")</f>
        <v>0</v>
      </c>
      <c r="L1111" s="292" t="str">
        <f aca="false">"Стёкла серии Elephant"&amp;" · "&amp;'Стёкла серии Elephant'!$N$247</f>
        <v>Стёкла серии Elephant · Elephant</v>
      </c>
      <c r="M1111" s="292" t="str">
        <f aca="false">IF(ISBLANK('Стёкла серии Elephant'!$O$247),"",'Стёкла серии Elephant'!$O$247)</f>
        <v>A30S</v>
      </c>
      <c r="N1111" s="292" t="str">
        <f aca="false">""</f>
        <v/>
      </c>
      <c r="O1111" s="292" t="str">
        <f aca="false">""</f>
        <v/>
      </c>
      <c r="P1111" s="292" t="str">
        <f aca="false">IF(ISBLANK('Стёкла серии Elephant'!$P$247),"",'Стёкла серии Elephant'!$P$247)</f>
        <v>шт.</v>
      </c>
      <c r="Q1111" s="292" t="n">
        <f aca="false">N('Стёкла серии Elephant'!$R$247)</f>
        <v>0</v>
      </c>
      <c r="R1111" s="299" t="n">
        <f aca="false">IF(ISBLANK('Стёкла серии Elephant'!$Q$247),"",'Стёкла серии Elephant'!$Q$247)</f>
        <v>122.32</v>
      </c>
      <c r="S1111" s="292" t="str">
        <f aca="false">IF(ISBLANK('Стёкла серии Elephant'!$S$247),"",'Стёкла серии Elephant'!$S$247)</f>
        <v/>
      </c>
    </row>
    <row r="1112" customFormat="false" ht="66" hidden="false" customHeight="true" outlineLevel="0" collapsed="false">
      <c r="A1112" s="291" t="str">
        <f aca="true">IF(ISNUMBER($J1112),INDIRECT("L"&amp;($J1112+4)),"")</f>
        <v/>
      </c>
      <c r="B1112" s="291" t="str">
        <f aca="true">IF(ISNUMBER($J1112),INDIRECT("M"&amp;($J1112+4)),"")</f>
        <v/>
      </c>
      <c r="C1112" s="296" t="str">
        <f aca="true">IF(ISNUMBER($J1112),INDIRECT("N"&amp;($J1112+4)),"")</f>
        <v/>
      </c>
      <c r="D1112" s="291" t="str">
        <f aca="true">IF(ISNUMBER($J1112),INDIRECT("O"&amp;($J1112+4)),"")</f>
        <v/>
      </c>
      <c r="E1112" s="291" t="str">
        <f aca="true">IF(ISNUMBER($J1112),INDIRECT("P"&amp;($J1112+4)),"")</f>
        <v/>
      </c>
      <c r="F1112" s="300" t="str">
        <f aca="true">IF(ISNUMBER($J1112),INDIRECT("Q"&amp;($J1112+4)),"")</f>
        <v/>
      </c>
      <c r="G1112" s="298" t="str">
        <f aca="true">IF(ISNUMBER($J1112),INDIRECT("R"&amp;($J1112+4)),"")</f>
        <v/>
      </c>
      <c r="H1112" s="298" t="str">
        <f aca="true">IF(ISNUMBER($J1112),INDIRECT("S"&amp;($J1112+4)),"")</f>
        <v/>
      </c>
      <c r="J1112" s="292" t="str">
        <f aca="true">IF(1108&lt;=$K$1,MATCH(1107.5,INDIRECT("$K$4:$K$1374"),1),"")</f>
        <v/>
      </c>
      <c r="K1112" s="292" t="n">
        <f aca="false">$K$1028+COUNTIF($Q$1029:Q1112,"&gt;0")</f>
        <v>0</v>
      </c>
      <c r="L1112" s="292" t="str">
        <f aca="false">"Стёкла серии Elephant"&amp;" · "&amp;'Стёкла серии Elephant'!$N$248</f>
        <v>Стёкла серии Elephant · Elephant</v>
      </c>
      <c r="M1112" s="292" t="str">
        <f aca="false">IF(ISBLANK('Стёкла серии Elephant'!$O$248),"",'Стёкла серии Elephant'!$O$248)</f>
        <v>Realme 6 Pro</v>
      </c>
      <c r="N1112" s="292" t="str">
        <f aca="false">""</f>
        <v/>
      </c>
      <c r="O1112" s="292" t="str">
        <f aca="false">""</f>
        <v/>
      </c>
      <c r="P1112" s="292" t="str">
        <f aca="false">IF(ISBLANK('Стёкла серии Elephant'!$P$248),"",'Стёкла серии Elephant'!$P$248)</f>
        <v>шт.</v>
      </c>
      <c r="Q1112" s="292" t="n">
        <f aca="false">N('Стёкла серии Elephant'!$R$248)</f>
        <v>0</v>
      </c>
      <c r="R1112" s="299" t="n">
        <f aca="false">IF(ISBLANK('Стёкла серии Elephant'!$Q$248),"",'Стёкла серии Elephant'!$Q$248)</f>
        <v>122.32</v>
      </c>
      <c r="S1112" s="292" t="str">
        <f aca="false">IF(ISBLANK('Стёкла серии Elephant'!$S$248),"",'Стёкла серии Elephant'!$S$248)</f>
        <v/>
      </c>
    </row>
    <row r="1113" customFormat="false" ht="66" hidden="false" customHeight="true" outlineLevel="0" collapsed="false">
      <c r="A1113" s="291" t="str">
        <f aca="true">IF(ISNUMBER($J1113),INDIRECT("L"&amp;($J1113+4)),"")</f>
        <v/>
      </c>
      <c r="B1113" s="291" t="str">
        <f aca="true">IF(ISNUMBER($J1113),INDIRECT("M"&amp;($J1113+4)),"")</f>
        <v/>
      </c>
      <c r="C1113" s="296" t="str">
        <f aca="true">IF(ISNUMBER($J1113),INDIRECT("N"&amp;($J1113+4)),"")</f>
        <v/>
      </c>
      <c r="D1113" s="291" t="str">
        <f aca="true">IF(ISNUMBER($J1113),INDIRECT("O"&amp;($J1113+4)),"")</f>
        <v/>
      </c>
      <c r="E1113" s="291" t="str">
        <f aca="true">IF(ISNUMBER($J1113),INDIRECT("P"&amp;($J1113+4)),"")</f>
        <v/>
      </c>
      <c r="F1113" s="300" t="str">
        <f aca="true">IF(ISNUMBER($J1113),INDIRECT("Q"&amp;($J1113+4)),"")</f>
        <v/>
      </c>
      <c r="G1113" s="298" t="str">
        <f aca="true">IF(ISNUMBER($J1113),INDIRECT("R"&amp;($J1113+4)),"")</f>
        <v/>
      </c>
      <c r="H1113" s="298" t="str">
        <f aca="true">IF(ISNUMBER($J1113),INDIRECT("S"&amp;($J1113+4)),"")</f>
        <v/>
      </c>
      <c r="J1113" s="292" t="str">
        <f aca="true">IF(1109&lt;=$K$1,MATCH(1108.5,INDIRECT("$K$4:$K$1374"),1),"")</f>
        <v/>
      </c>
      <c r="K1113" s="292" t="n">
        <f aca="false">$K$1028+COUNTIF($Q$1029:Q1113,"&gt;0")</f>
        <v>0</v>
      </c>
      <c r="L1113" s="292" t="str">
        <f aca="false">"Стёкла серии Elephant"&amp;" · "&amp;'Стёкла серии Elephant'!$N$249</f>
        <v>Стёкла серии Elephant · Elephant</v>
      </c>
      <c r="M1113" s="292" t="str">
        <f aca="false">IF(ISBLANK('Стёкла серии Elephant'!$O$249),"",'Стёкла серии Elephant'!$O$249)</f>
        <v>RENO 3 PRO</v>
      </c>
      <c r="N1113" s="292" t="str">
        <f aca="false">""</f>
        <v/>
      </c>
      <c r="O1113" s="292" t="str">
        <f aca="false">""</f>
        <v/>
      </c>
      <c r="P1113" s="292" t="str">
        <f aca="false">IF(ISBLANK('Стёкла серии Elephant'!$P$249),"",'Стёкла серии Elephant'!$P$249)</f>
        <v>шт.</v>
      </c>
      <c r="Q1113" s="292" t="n">
        <f aca="false">N('Стёкла серии Elephant'!$R$249)</f>
        <v>0</v>
      </c>
      <c r="R1113" s="299" t="n">
        <f aca="false">IF(ISBLANK('Стёкла серии Elephant'!$Q$249),"",'Стёкла серии Elephant'!$Q$249)</f>
        <v>122.32</v>
      </c>
      <c r="S1113" s="292" t="str">
        <f aca="false">IF(ISBLANK('Стёкла серии Elephant'!$S$249),"",'Стёкла серии Elephant'!$S$249)</f>
        <v/>
      </c>
    </row>
    <row r="1114" customFormat="false" ht="66" hidden="false" customHeight="true" outlineLevel="0" collapsed="false">
      <c r="A1114" s="291" t="str">
        <f aca="true">IF(ISNUMBER($J1114),INDIRECT("L"&amp;($J1114+4)),"")</f>
        <v/>
      </c>
      <c r="B1114" s="291" t="str">
        <f aca="true">IF(ISNUMBER($J1114),INDIRECT("M"&amp;($J1114+4)),"")</f>
        <v/>
      </c>
      <c r="C1114" s="296" t="str">
        <f aca="true">IF(ISNUMBER($J1114),INDIRECT("N"&amp;($J1114+4)),"")</f>
        <v/>
      </c>
      <c r="D1114" s="291" t="str">
        <f aca="true">IF(ISNUMBER($J1114),INDIRECT("O"&amp;($J1114+4)),"")</f>
        <v/>
      </c>
      <c r="E1114" s="291" t="str">
        <f aca="true">IF(ISNUMBER($J1114),INDIRECT("P"&amp;($J1114+4)),"")</f>
        <v/>
      </c>
      <c r="F1114" s="300" t="str">
        <f aca="true">IF(ISNUMBER($J1114),INDIRECT("Q"&amp;($J1114+4)),"")</f>
        <v/>
      </c>
      <c r="G1114" s="298" t="str">
        <f aca="true">IF(ISNUMBER($J1114),INDIRECT("R"&amp;($J1114+4)),"")</f>
        <v/>
      </c>
      <c r="H1114" s="298" t="str">
        <f aca="true">IF(ISNUMBER($J1114),INDIRECT("S"&amp;($J1114+4)),"")</f>
        <v/>
      </c>
      <c r="J1114" s="292" t="str">
        <f aca="true">IF(1110&lt;=$K$1,MATCH(1109.5,INDIRECT("$K$4:$K$1374"),1),"")</f>
        <v/>
      </c>
      <c r="K1114" s="292" t="n">
        <f aca="false">$K$1028+COUNTIF($Q$1029:Q1114,"&gt;0")</f>
        <v>0</v>
      </c>
      <c r="L1114" s="292" t="str">
        <f aca="false">"Стёкла серии Elephant"&amp;" · "&amp;'Стёкла серии Elephant'!$N$250</f>
        <v>Стёкла серии Elephant · Elephant</v>
      </c>
      <c r="M1114" s="292" t="str">
        <f aca="false">IF(ISBLANK('Стёкла серии Elephant'!$O$250),"",'Стёкла серии Elephant'!$O$250)</f>
        <v>Y95/Y93/Y93S/Y91/Y91i</v>
      </c>
      <c r="N1114" s="292" t="str">
        <f aca="false">""</f>
        <v/>
      </c>
      <c r="O1114" s="292" t="str">
        <f aca="false">""</f>
        <v/>
      </c>
      <c r="P1114" s="292" t="str">
        <f aca="false">IF(ISBLANK('Стёкла серии Elephant'!$P$250),"",'Стёкла серии Elephant'!$P$250)</f>
        <v>шт.</v>
      </c>
      <c r="Q1114" s="292" t="n">
        <f aca="false">N('Стёкла серии Elephant'!$R$250)</f>
        <v>0</v>
      </c>
      <c r="R1114" s="299" t="n">
        <f aca="false">IF(ISBLANK('Стёкла серии Elephant'!$Q$250),"",'Стёкла серии Elephant'!$Q$250)</f>
        <v>122.32</v>
      </c>
      <c r="S1114" s="292" t="str">
        <f aca="false">IF(ISBLANK('Стёкла серии Elephant'!$S$250),"",'Стёкла серии Elephant'!$S$250)</f>
        <v/>
      </c>
    </row>
    <row r="1115" customFormat="false" ht="66" hidden="false" customHeight="true" outlineLevel="0" collapsed="false">
      <c r="A1115" s="291" t="str">
        <f aca="true">IF(ISNUMBER($J1115),INDIRECT("L"&amp;($J1115+4)),"")</f>
        <v/>
      </c>
      <c r="B1115" s="291" t="str">
        <f aca="true">IF(ISNUMBER($J1115),INDIRECT("M"&amp;($J1115+4)),"")</f>
        <v/>
      </c>
      <c r="C1115" s="296" t="str">
        <f aca="true">IF(ISNUMBER($J1115),INDIRECT("N"&amp;($J1115+4)),"")</f>
        <v/>
      </c>
      <c r="D1115" s="291" t="str">
        <f aca="true">IF(ISNUMBER($J1115),INDIRECT("O"&amp;($J1115+4)),"")</f>
        <v/>
      </c>
      <c r="E1115" s="291" t="str">
        <f aca="true">IF(ISNUMBER($J1115),INDIRECT("P"&amp;($J1115+4)),"")</f>
        <v/>
      </c>
      <c r="F1115" s="300" t="str">
        <f aca="true">IF(ISNUMBER($J1115),INDIRECT("Q"&amp;($J1115+4)),"")</f>
        <v/>
      </c>
      <c r="G1115" s="298" t="str">
        <f aca="true">IF(ISNUMBER($J1115),INDIRECT("R"&amp;($J1115+4)),"")</f>
        <v/>
      </c>
      <c r="H1115" s="298" t="str">
        <f aca="true">IF(ISNUMBER($J1115),INDIRECT("S"&amp;($J1115+4)),"")</f>
        <v/>
      </c>
      <c r="J1115" s="292" t="str">
        <f aca="true">IF(1111&lt;=$K$1,MATCH(1110.5,INDIRECT("$K$4:$K$1374"),1),"")</f>
        <v/>
      </c>
      <c r="K1115" s="292" t="n">
        <f aca="false">$K$1028+COUNTIF($Q$1029:Q1115,"&gt;0")</f>
        <v>0</v>
      </c>
      <c r="L1115" s="292" t="str">
        <f aca="false">"Стёкла серии Elephant"&amp;" · "&amp;'Стёкла серии Elephant'!$N$251</f>
        <v>Стёкла серии Elephant · Elephant</v>
      </c>
      <c r="M1115" s="292" t="str">
        <f aca="false">IF(ISBLANK('Стёкла серии Elephant'!$O$251),"",'Стёкла серии Elephant'!$O$251)</f>
        <v>Nova 7i</v>
      </c>
      <c r="N1115" s="292" t="str">
        <f aca="false">""</f>
        <v/>
      </c>
      <c r="O1115" s="292" t="str">
        <f aca="false">""</f>
        <v/>
      </c>
      <c r="P1115" s="292" t="str">
        <f aca="false">IF(ISBLANK('Стёкла серии Elephant'!$P$251),"",'Стёкла серии Elephant'!$P$251)</f>
        <v>шт.</v>
      </c>
      <c r="Q1115" s="292" t="n">
        <f aca="false">N('Стёкла серии Elephant'!$R$251)</f>
        <v>0</v>
      </c>
      <c r="R1115" s="299" t="n">
        <f aca="false">IF(ISBLANK('Стёкла серии Elephant'!$Q$251),"",'Стёкла серии Elephant'!$Q$251)</f>
        <v>122.32</v>
      </c>
      <c r="S1115" s="292" t="str">
        <f aca="false">IF(ISBLANK('Стёкла серии Elephant'!$S$251),"",'Стёкла серии Elephant'!$S$251)</f>
        <v/>
      </c>
    </row>
    <row r="1116" customFormat="false" ht="66" hidden="false" customHeight="true" outlineLevel="0" collapsed="false">
      <c r="A1116" s="291" t="str">
        <f aca="true">IF(ISNUMBER($J1116),INDIRECT("L"&amp;($J1116+4)),"")</f>
        <v/>
      </c>
      <c r="B1116" s="291" t="str">
        <f aca="true">IF(ISNUMBER($J1116),INDIRECT("M"&amp;($J1116+4)),"")</f>
        <v/>
      </c>
      <c r="C1116" s="296" t="str">
        <f aca="true">IF(ISNUMBER($J1116),INDIRECT("N"&amp;($J1116+4)),"")</f>
        <v/>
      </c>
      <c r="D1116" s="291" t="str">
        <f aca="true">IF(ISNUMBER($J1116),INDIRECT("O"&amp;($J1116+4)),"")</f>
        <v/>
      </c>
      <c r="E1116" s="291" t="str">
        <f aca="true">IF(ISNUMBER($J1116),INDIRECT("P"&amp;($J1116+4)),"")</f>
        <v/>
      </c>
      <c r="F1116" s="300" t="str">
        <f aca="true">IF(ISNUMBER($J1116),INDIRECT("Q"&amp;($J1116+4)),"")</f>
        <v/>
      </c>
      <c r="G1116" s="298" t="str">
        <f aca="true">IF(ISNUMBER($J1116),INDIRECT("R"&amp;($J1116+4)),"")</f>
        <v/>
      </c>
      <c r="H1116" s="298" t="str">
        <f aca="true">IF(ISNUMBER($J1116),INDIRECT("S"&amp;($J1116+4)),"")</f>
        <v/>
      </c>
      <c r="J1116" s="292" t="str">
        <f aca="true">IF(1112&lt;=$K$1,MATCH(1111.5,INDIRECT("$K$4:$K$1374"),1),"")</f>
        <v/>
      </c>
      <c r="K1116" s="292" t="n">
        <f aca="false">$K$1028+COUNTIF($Q$1029:Q1116,"&gt;0")</f>
        <v>0</v>
      </c>
      <c r="L1116" s="292" t="str">
        <f aca="false">"Стёкла серии Elephant"&amp;" · "&amp;'Стёкла серии Elephant'!$N$252</f>
        <v>Стёкла серии Elephant · Elephant</v>
      </c>
      <c r="M1116" s="292" t="str">
        <f aca="false">IF(ISBLANK('Стёкла серии Elephant'!$O$252),"",'Стёкла серии Elephant'!$O$252)</f>
        <v>Honor Play 3</v>
      </c>
      <c r="N1116" s="292" t="str">
        <f aca="false">""</f>
        <v/>
      </c>
      <c r="O1116" s="292" t="str">
        <f aca="false">""</f>
        <v/>
      </c>
      <c r="P1116" s="292" t="str">
        <f aca="false">IF(ISBLANK('Стёкла серии Elephant'!$P$252),"",'Стёкла серии Elephant'!$P$252)</f>
        <v>шт.</v>
      </c>
      <c r="Q1116" s="292" t="n">
        <f aca="false">N('Стёкла серии Elephant'!$R$252)</f>
        <v>0</v>
      </c>
      <c r="R1116" s="299" t="n">
        <f aca="false">IF(ISBLANK('Стёкла серии Elephant'!$Q$252),"",'Стёкла серии Elephant'!$Q$252)</f>
        <v>122.32</v>
      </c>
      <c r="S1116" s="292" t="str">
        <f aca="false">IF(ISBLANK('Стёкла серии Elephant'!$S$252),"",'Стёкла серии Elephant'!$S$252)</f>
        <v/>
      </c>
    </row>
    <row r="1117" customFormat="false" ht="66" hidden="false" customHeight="true" outlineLevel="0" collapsed="false">
      <c r="A1117" s="291" t="str">
        <f aca="true">IF(ISNUMBER($J1117),INDIRECT("L"&amp;($J1117+4)),"")</f>
        <v/>
      </c>
      <c r="B1117" s="291" t="str">
        <f aca="true">IF(ISNUMBER($J1117),INDIRECT("M"&amp;($J1117+4)),"")</f>
        <v/>
      </c>
      <c r="C1117" s="296" t="str">
        <f aca="true">IF(ISNUMBER($J1117),INDIRECT("N"&amp;($J1117+4)),"")</f>
        <v/>
      </c>
      <c r="D1117" s="291" t="str">
        <f aca="true">IF(ISNUMBER($J1117),INDIRECT("O"&amp;($J1117+4)),"")</f>
        <v/>
      </c>
      <c r="E1117" s="291" t="str">
        <f aca="true">IF(ISNUMBER($J1117),INDIRECT("P"&amp;($J1117+4)),"")</f>
        <v/>
      </c>
      <c r="F1117" s="300" t="str">
        <f aca="true">IF(ISNUMBER($J1117),INDIRECT("Q"&amp;($J1117+4)),"")</f>
        <v/>
      </c>
      <c r="G1117" s="298" t="str">
        <f aca="true">IF(ISNUMBER($J1117),INDIRECT("R"&amp;($J1117+4)),"")</f>
        <v/>
      </c>
      <c r="H1117" s="298" t="str">
        <f aca="true">IF(ISNUMBER($J1117),INDIRECT("S"&amp;($J1117+4)),"")</f>
        <v/>
      </c>
      <c r="J1117" s="292" t="str">
        <f aca="true">IF(1113&lt;=$K$1,MATCH(1112.5,INDIRECT("$K$4:$K$1374"),1),"")</f>
        <v/>
      </c>
      <c r="K1117" s="292" t="n">
        <f aca="false">$K$1028+COUNTIF($Q$1029:Q1117,"&gt;0")</f>
        <v>0</v>
      </c>
      <c r="L1117" s="292" t="str">
        <f aca="false">"Стёкла серии Elephant"&amp;" · "&amp;'Стёкла серии Elephant'!$N$253</f>
        <v>Стёкла серии Elephant · Elephant</v>
      </c>
      <c r="M1117" s="292" t="str">
        <f aca="false">IF(ISBLANK('Стёкла серии Elephant'!$O$253),"",'Стёкла серии Elephant'!$O$253)</f>
        <v>Mi 8 Explore edition</v>
      </c>
      <c r="N1117" s="292" t="str">
        <f aca="false">""</f>
        <v/>
      </c>
      <c r="O1117" s="292" t="str">
        <f aca="false">""</f>
        <v/>
      </c>
      <c r="P1117" s="292" t="str">
        <f aca="false">IF(ISBLANK('Стёкла серии Elephant'!$P$253),"",'Стёкла серии Elephant'!$P$253)</f>
        <v>шт.</v>
      </c>
      <c r="Q1117" s="292" t="n">
        <f aca="false">N('Стёкла серии Elephant'!$R$253)</f>
        <v>0</v>
      </c>
      <c r="R1117" s="299" t="n">
        <f aca="false">IF(ISBLANK('Стёкла серии Elephant'!$Q$253),"",'Стёкла серии Elephant'!$Q$253)</f>
        <v>122.32</v>
      </c>
      <c r="S1117" s="292" t="str">
        <f aca="false">IF(ISBLANK('Стёкла серии Elephant'!$S$253),"",'Стёкла серии Elephant'!$S$253)</f>
        <v/>
      </c>
    </row>
    <row r="1118" customFormat="false" ht="66" hidden="false" customHeight="true" outlineLevel="0" collapsed="false">
      <c r="A1118" s="291" t="str">
        <f aca="true">IF(ISNUMBER($J1118),INDIRECT("L"&amp;($J1118+4)),"")</f>
        <v/>
      </c>
      <c r="B1118" s="291" t="str">
        <f aca="true">IF(ISNUMBER($J1118),INDIRECT("M"&amp;($J1118+4)),"")</f>
        <v/>
      </c>
      <c r="C1118" s="296" t="str">
        <f aca="true">IF(ISNUMBER($J1118),INDIRECT("N"&amp;($J1118+4)),"")</f>
        <v/>
      </c>
      <c r="D1118" s="291" t="str">
        <f aca="true">IF(ISNUMBER($J1118),INDIRECT("O"&amp;($J1118+4)),"")</f>
        <v/>
      </c>
      <c r="E1118" s="291" t="str">
        <f aca="true">IF(ISNUMBER($J1118),INDIRECT("P"&amp;($J1118+4)),"")</f>
        <v/>
      </c>
      <c r="F1118" s="300" t="str">
        <f aca="true">IF(ISNUMBER($J1118),INDIRECT("Q"&amp;($J1118+4)),"")</f>
        <v/>
      </c>
      <c r="G1118" s="298" t="str">
        <f aca="true">IF(ISNUMBER($J1118),INDIRECT("R"&amp;($J1118+4)),"")</f>
        <v/>
      </c>
      <c r="H1118" s="298" t="str">
        <f aca="true">IF(ISNUMBER($J1118),INDIRECT("S"&amp;($J1118+4)),"")</f>
        <v/>
      </c>
      <c r="J1118" s="292" t="str">
        <f aca="true">IF(1114&lt;=$K$1,MATCH(1113.5,INDIRECT("$K$4:$K$1374"),1),"")</f>
        <v/>
      </c>
      <c r="K1118" s="292" t="n">
        <f aca="false">$K$1028+COUNTIF($Q$1029:Q1118,"&gt;0")</f>
        <v>0</v>
      </c>
      <c r="L1118" s="292" t="str">
        <f aca="false">"Стёкла серии Elephant"&amp;" · "&amp;'Стёкла серии Elephant'!$N$254</f>
        <v>Стёкла серии Elephant · Elephant</v>
      </c>
      <c r="M1118" s="292" t="str">
        <f aca="false">IF(ISBLANK('Стёкла серии Elephant'!$O$254),"",'Стёкла серии Elephant'!$O$254)</f>
        <v>Redmi Note8/NOTE8 2021</v>
      </c>
      <c r="N1118" s="292" t="str">
        <f aca="false">""</f>
        <v/>
      </c>
      <c r="O1118" s="292" t="str">
        <f aca="false">""</f>
        <v/>
      </c>
      <c r="P1118" s="292" t="str">
        <f aca="false">IF(ISBLANK('Стёкла серии Elephant'!$P$254),"",'Стёкла серии Elephant'!$P$254)</f>
        <v>шт.</v>
      </c>
      <c r="Q1118" s="292" t="n">
        <f aca="false">N('Стёкла серии Elephant'!$R$254)</f>
        <v>0</v>
      </c>
      <c r="R1118" s="299" t="n">
        <f aca="false">IF(ISBLANK('Стёкла серии Elephant'!$Q$254),"",'Стёкла серии Elephant'!$Q$254)</f>
        <v>122.32</v>
      </c>
      <c r="S1118" s="292" t="str">
        <f aca="false">IF(ISBLANK('Стёкла серии Elephant'!$S$254),"",'Стёкла серии Elephant'!$S$254)</f>
        <v/>
      </c>
    </row>
    <row r="1119" customFormat="false" ht="66" hidden="false" customHeight="true" outlineLevel="0" collapsed="false">
      <c r="A1119" s="291" t="str">
        <f aca="true">IF(ISNUMBER($J1119),INDIRECT("L"&amp;($J1119+4)),"")</f>
        <v/>
      </c>
      <c r="B1119" s="291" t="str">
        <f aca="true">IF(ISNUMBER($J1119),INDIRECT("M"&amp;($J1119+4)),"")</f>
        <v/>
      </c>
      <c r="C1119" s="296" t="str">
        <f aca="true">IF(ISNUMBER($J1119),INDIRECT("N"&amp;($J1119+4)),"")</f>
        <v/>
      </c>
      <c r="D1119" s="291" t="str">
        <f aca="true">IF(ISNUMBER($J1119),INDIRECT("O"&amp;($J1119+4)),"")</f>
        <v/>
      </c>
      <c r="E1119" s="291" t="str">
        <f aca="true">IF(ISNUMBER($J1119),INDIRECT("P"&amp;($J1119+4)),"")</f>
        <v/>
      </c>
      <c r="F1119" s="300" t="str">
        <f aca="true">IF(ISNUMBER($J1119),INDIRECT("Q"&amp;($J1119+4)),"")</f>
        <v/>
      </c>
      <c r="G1119" s="298" t="str">
        <f aca="true">IF(ISNUMBER($J1119),INDIRECT("R"&amp;($J1119+4)),"")</f>
        <v/>
      </c>
      <c r="H1119" s="298" t="str">
        <f aca="true">IF(ISNUMBER($J1119),INDIRECT("S"&amp;($J1119+4)),"")</f>
        <v/>
      </c>
      <c r="J1119" s="292" t="str">
        <f aca="true">IF(1115&lt;=$K$1,MATCH(1114.5,INDIRECT("$K$4:$K$1374"),1),"")</f>
        <v/>
      </c>
      <c r="K1119" s="292" t="n">
        <f aca="false">$K$1028+COUNTIF($Q$1029:Q1119,"&gt;0")</f>
        <v>0</v>
      </c>
      <c r="L1119" s="292" t="str">
        <f aca="false">"Стёкла серии Elephant"&amp;" · "&amp;'Стёкла серии Elephant'!$N$255</f>
        <v>Стёкла серии Elephant · Elephant</v>
      </c>
      <c r="M1119" s="292" t="str">
        <f aca="false">IF(ISBLANK('Стёкла серии Elephant'!$O$255),"",'Стёкла серии Elephant'!$O$255)</f>
        <v>A40S</v>
      </c>
      <c r="N1119" s="292" t="str">
        <f aca="false">""</f>
        <v/>
      </c>
      <c r="O1119" s="292" t="str">
        <f aca="false">""</f>
        <v/>
      </c>
      <c r="P1119" s="292" t="str">
        <f aca="false">IF(ISBLANK('Стёкла серии Elephant'!$P$255),"",'Стёкла серии Elephant'!$P$255)</f>
        <v>шт.</v>
      </c>
      <c r="Q1119" s="292" t="n">
        <f aca="false">N('Стёкла серии Elephant'!$R$255)</f>
        <v>0</v>
      </c>
      <c r="R1119" s="299" t="n">
        <f aca="false">IF(ISBLANK('Стёкла серии Elephant'!$Q$255),"",'Стёкла серии Elephant'!$Q$255)</f>
        <v>122.32</v>
      </c>
      <c r="S1119" s="292" t="str">
        <f aca="false">IF(ISBLANK('Стёкла серии Elephant'!$S$255),"",'Стёкла серии Elephant'!$S$255)</f>
        <v/>
      </c>
    </row>
    <row r="1120" customFormat="false" ht="66" hidden="false" customHeight="true" outlineLevel="0" collapsed="false">
      <c r="A1120" s="291" t="str">
        <f aca="true">IF(ISNUMBER($J1120),INDIRECT("L"&amp;($J1120+4)),"")</f>
        <v/>
      </c>
      <c r="B1120" s="291" t="str">
        <f aca="true">IF(ISNUMBER($J1120),INDIRECT("M"&amp;($J1120+4)),"")</f>
        <v/>
      </c>
      <c r="C1120" s="296" t="str">
        <f aca="true">IF(ISNUMBER($J1120),INDIRECT("N"&amp;($J1120+4)),"")</f>
        <v/>
      </c>
      <c r="D1120" s="291" t="str">
        <f aca="true">IF(ISNUMBER($J1120),INDIRECT("O"&amp;($J1120+4)),"")</f>
        <v/>
      </c>
      <c r="E1120" s="291" t="str">
        <f aca="true">IF(ISNUMBER($J1120),INDIRECT("P"&amp;($J1120+4)),"")</f>
        <v/>
      </c>
      <c r="F1120" s="300" t="str">
        <f aca="true">IF(ISNUMBER($J1120),INDIRECT("Q"&amp;($J1120+4)),"")</f>
        <v/>
      </c>
      <c r="G1120" s="298" t="str">
        <f aca="true">IF(ISNUMBER($J1120),INDIRECT("R"&amp;($J1120+4)),"")</f>
        <v/>
      </c>
      <c r="H1120" s="298" t="str">
        <f aca="true">IF(ISNUMBER($J1120),INDIRECT("S"&amp;($J1120+4)),"")</f>
        <v/>
      </c>
      <c r="J1120" s="292" t="str">
        <f aca="true">IF(1116&lt;=$K$1,MATCH(1115.5,INDIRECT("$K$4:$K$1374"),1),"")</f>
        <v/>
      </c>
      <c r="K1120" s="292" t="n">
        <f aca="false">$K$1028+COUNTIF($Q$1029:Q1120,"&gt;0")</f>
        <v>0</v>
      </c>
      <c r="L1120" s="292" t="str">
        <f aca="false">"Стёкла серии Elephant"&amp;" · "&amp;'Стёкла серии Elephant'!$N$256</f>
        <v>Стёкла серии Elephant · Elephant</v>
      </c>
      <c r="M1120" s="292" t="str">
        <f aca="false">IF(ISBLANK('Стёкла серии Elephant'!$O$256),"",'Стёкла серии Elephant'!$O$256)</f>
        <v>Realme 5</v>
      </c>
      <c r="N1120" s="292" t="str">
        <f aca="false">""</f>
        <v/>
      </c>
      <c r="O1120" s="292" t="str">
        <f aca="false">""</f>
        <v/>
      </c>
      <c r="P1120" s="292" t="str">
        <f aca="false">IF(ISBLANK('Стёкла серии Elephant'!$P$256),"",'Стёкла серии Elephant'!$P$256)</f>
        <v>шт.</v>
      </c>
      <c r="Q1120" s="292" t="n">
        <f aca="false">N('Стёкла серии Elephant'!$R$256)</f>
        <v>0</v>
      </c>
      <c r="R1120" s="299" t="n">
        <f aca="false">IF(ISBLANK('Стёкла серии Elephant'!$Q$256),"",'Стёкла серии Elephant'!$Q$256)</f>
        <v>122.32</v>
      </c>
      <c r="S1120" s="292" t="str">
        <f aca="false">IF(ISBLANK('Стёкла серии Elephant'!$S$256),"",'Стёкла серии Elephant'!$S$256)</f>
        <v/>
      </c>
    </row>
    <row r="1121" customFormat="false" ht="66" hidden="false" customHeight="true" outlineLevel="0" collapsed="false">
      <c r="A1121" s="291" t="str">
        <f aca="true">IF(ISNUMBER($J1121),INDIRECT("L"&amp;($J1121+4)),"")</f>
        <v/>
      </c>
      <c r="B1121" s="291" t="str">
        <f aca="true">IF(ISNUMBER($J1121),INDIRECT("M"&amp;($J1121+4)),"")</f>
        <v/>
      </c>
      <c r="C1121" s="296" t="str">
        <f aca="true">IF(ISNUMBER($J1121),INDIRECT("N"&amp;($J1121+4)),"")</f>
        <v/>
      </c>
      <c r="D1121" s="291" t="str">
        <f aca="true">IF(ISNUMBER($J1121),INDIRECT("O"&amp;($J1121+4)),"")</f>
        <v/>
      </c>
      <c r="E1121" s="291" t="str">
        <f aca="true">IF(ISNUMBER($J1121),INDIRECT("P"&amp;($J1121+4)),"")</f>
        <v/>
      </c>
      <c r="F1121" s="300" t="str">
        <f aca="true">IF(ISNUMBER($J1121),INDIRECT("Q"&amp;($J1121+4)),"")</f>
        <v/>
      </c>
      <c r="G1121" s="298" t="str">
        <f aca="true">IF(ISNUMBER($J1121),INDIRECT("R"&amp;($J1121+4)),"")</f>
        <v/>
      </c>
      <c r="H1121" s="298" t="str">
        <f aca="true">IF(ISNUMBER($J1121),INDIRECT("S"&amp;($J1121+4)),"")</f>
        <v/>
      </c>
      <c r="J1121" s="292" t="str">
        <f aca="true">IF(1117&lt;=$K$1,MATCH(1116.5,INDIRECT("$K$4:$K$1374"),1),"")</f>
        <v/>
      </c>
      <c r="K1121" s="292" t="n">
        <f aca="false">$K$1028+COUNTIF($Q$1029:Q1121,"&gt;0")</f>
        <v>0</v>
      </c>
      <c r="L1121" s="292" t="str">
        <f aca="false">"Стёкла серии Elephant"&amp;" · "&amp;'Стёкла серии Elephant'!$N$257</f>
        <v>Стёкла серии Elephant · Elephant</v>
      </c>
      <c r="M1121" s="292" t="str">
        <f aca="false">IF(ISBLANK('Стёкла серии Elephant'!$O$257),"",'Стёкла серии Elephant'!$O$257)</f>
        <v>RENO 4(5G domestic edition）</v>
      </c>
      <c r="N1121" s="292" t="str">
        <f aca="false">""</f>
        <v/>
      </c>
      <c r="O1121" s="292" t="str">
        <f aca="false">""</f>
        <v/>
      </c>
      <c r="P1121" s="292" t="str">
        <f aca="false">IF(ISBLANK('Стёкла серии Elephant'!$P$257),"",'Стёкла серии Elephant'!$P$257)</f>
        <v>шт.</v>
      </c>
      <c r="Q1121" s="292" t="n">
        <f aca="false">N('Стёкла серии Elephant'!$R$257)</f>
        <v>0</v>
      </c>
      <c r="R1121" s="299" t="n">
        <f aca="false">IF(ISBLANK('Стёкла серии Elephant'!$Q$257),"",'Стёкла серии Elephant'!$Q$257)</f>
        <v>122.32</v>
      </c>
      <c r="S1121" s="292" t="str">
        <f aca="false">IF(ISBLANK('Стёкла серии Elephant'!$S$257),"",'Стёкла серии Elephant'!$S$257)</f>
        <v/>
      </c>
    </row>
    <row r="1122" customFormat="false" ht="66" hidden="false" customHeight="true" outlineLevel="0" collapsed="false">
      <c r="A1122" s="291" t="str">
        <f aca="true">IF(ISNUMBER($J1122),INDIRECT("L"&amp;($J1122+4)),"")</f>
        <v/>
      </c>
      <c r="B1122" s="291" t="str">
        <f aca="true">IF(ISNUMBER($J1122),INDIRECT("M"&amp;($J1122+4)),"")</f>
        <v/>
      </c>
      <c r="C1122" s="296" t="str">
        <f aca="true">IF(ISNUMBER($J1122),INDIRECT("N"&amp;($J1122+4)),"")</f>
        <v/>
      </c>
      <c r="D1122" s="291" t="str">
        <f aca="true">IF(ISNUMBER($J1122),INDIRECT("O"&amp;($J1122+4)),"")</f>
        <v/>
      </c>
      <c r="E1122" s="291" t="str">
        <f aca="true">IF(ISNUMBER($J1122),INDIRECT("P"&amp;($J1122+4)),"")</f>
        <v/>
      </c>
      <c r="F1122" s="300" t="str">
        <f aca="true">IF(ISNUMBER($J1122),INDIRECT("Q"&amp;($J1122+4)),"")</f>
        <v/>
      </c>
      <c r="G1122" s="298" t="str">
        <f aca="true">IF(ISNUMBER($J1122),INDIRECT("R"&amp;($J1122+4)),"")</f>
        <v/>
      </c>
      <c r="H1122" s="298" t="str">
        <f aca="true">IF(ISNUMBER($J1122),INDIRECT("S"&amp;($J1122+4)),"")</f>
        <v/>
      </c>
      <c r="J1122" s="292" t="str">
        <f aca="true">IF(1118&lt;=$K$1,MATCH(1117.5,INDIRECT("$K$4:$K$1374"),1),"")</f>
        <v/>
      </c>
      <c r="K1122" s="292" t="n">
        <f aca="false">$K$1028+COUNTIF($Q$1029:Q1122,"&gt;0")</f>
        <v>0</v>
      </c>
      <c r="L1122" s="292" t="str">
        <f aca="false">"Стёкла серии Elephant"&amp;" · "&amp;'Стёкла серии Elephant'!$N$258</f>
        <v>Стёкла серии Elephant · Elephant</v>
      </c>
      <c r="M1122" s="292" t="str">
        <f aca="false">IF(ISBLANK('Стёкла серии Elephant'!$O$258),"",'Стёкла серии Elephant'!$O$258)</f>
        <v>Y90</v>
      </c>
      <c r="N1122" s="292" t="str">
        <f aca="false">""</f>
        <v/>
      </c>
      <c r="O1122" s="292" t="str">
        <f aca="false">""</f>
        <v/>
      </c>
      <c r="P1122" s="292" t="str">
        <f aca="false">IF(ISBLANK('Стёкла серии Elephant'!$P$258),"",'Стёкла серии Elephant'!$P$258)</f>
        <v>шт.</v>
      </c>
      <c r="Q1122" s="292" t="n">
        <f aca="false">N('Стёкла серии Elephant'!$R$258)</f>
        <v>0</v>
      </c>
      <c r="R1122" s="299" t="n">
        <f aca="false">IF(ISBLANK('Стёкла серии Elephant'!$Q$258),"",'Стёкла серии Elephant'!$Q$258)</f>
        <v>122.32</v>
      </c>
      <c r="S1122" s="292" t="str">
        <f aca="false">IF(ISBLANK('Стёкла серии Elephant'!$S$258),"",'Стёкла серии Elephant'!$S$258)</f>
        <v/>
      </c>
    </row>
    <row r="1123" customFormat="false" ht="66" hidden="false" customHeight="true" outlineLevel="0" collapsed="false">
      <c r="A1123" s="291" t="str">
        <f aca="true">IF(ISNUMBER($J1123),INDIRECT("L"&amp;($J1123+4)),"")</f>
        <v/>
      </c>
      <c r="B1123" s="291" t="str">
        <f aca="true">IF(ISNUMBER($J1123),INDIRECT("M"&amp;($J1123+4)),"")</f>
        <v/>
      </c>
      <c r="C1123" s="296" t="str">
        <f aca="true">IF(ISNUMBER($J1123),INDIRECT("N"&amp;($J1123+4)),"")</f>
        <v/>
      </c>
      <c r="D1123" s="291" t="str">
        <f aca="true">IF(ISNUMBER($J1123),INDIRECT("O"&amp;($J1123+4)),"")</f>
        <v/>
      </c>
      <c r="E1123" s="291" t="str">
        <f aca="true">IF(ISNUMBER($J1123),INDIRECT("P"&amp;($J1123+4)),"")</f>
        <v/>
      </c>
      <c r="F1123" s="300" t="str">
        <f aca="true">IF(ISNUMBER($J1123),INDIRECT("Q"&amp;($J1123+4)),"")</f>
        <v/>
      </c>
      <c r="G1123" s="298" t="str">
        <f aca="true">IF(ISNUMBER($J1123),INDIRECT("R"&amp;($J1123+4)),"")</f>
        <v/>
      </c>
      <c r="H1123" s="298" t="str">
        <f aca="true">IF(ISNUMBER($J1123),INDIRECT("S"&amp;($J1123+4)),"")</f>
        <v/>
      </c>
      <c r="J1123" s="292" t="str">
        <f aca="true">IF(1119&lt;=$K$1,MATCH(1118.5,INDIRECT("$K$4:$K$1374"),1),"")</f>
        <v/>
      </c>
      <c r="K1123" s="292" t="n">
        <f aca="false">$K$1028+COUNTIF($Q$1029:Q1123,"&gt;0")</f>
        <v>0</v>
      </c>
      <c r="L1123" s="292" t="str">
        <f aca="false">"Стёкла серии Elephant"&amp;" · "&amp;'Стёкла серии Elephant'!$N$259</f>
        <v>Стёкла серии Elephant · Elephant</v>
      </c>
      <c r="M1123" s="292" t="str">
        <f aca="false">IF(ISBLANK('Стёкла серии Elephant'!$O$259),"",'Стёкла серии Elephant'!$O$259)</f>
        <v>Nova 6 (5G)</v>
      </c>
      <c r="N1123" s="292" t="str">
        <f aca="false">""</f>
        <v/>
      </c>
      <c r="O1123" s="292" t="str">
        <f aca="false">""</f>
        <v/>
      </c>
      <c r="P1123" s="292" t="str">
        <f aca="false">IF(ISBLANK('Стёкла серии Elephant'!$P$259),"",'Стёкла серии Elephant'!$P$259)</f>
        <v>шт.</v>
      </c>
      <c r="Q1123" s="292" t="n">
        <f aca="false">N('Стёкла серии Elephant'!$R$259)</f>
        <v>0</v>
      </c>
      <c r="R1123" s="299" t="n">
        <f aca="false">IF(ISBLANK('Стёкла серии Elephant'!$Q$259),"",'Стёкла серии Elephant'!$Q$259)</f>
        <v>122.32</v>
      </c>
      <c r="S1123" s="292" t="str">
        <f aca="false">IF(ISBLANK('Стёкла серии Elephant'!$S$259),"",'Стёкла серии Elephant'!$S$259)</f>
        <v/>
      </c>
    </row>
    <row r="1124" customFormat="false" ht="66" hidden="false" customHeight="true" outlineLevel="0" collapsed="false">
      <c r="A1124" s="291" t="str">
        <f aca="true">IF(ISNUMBER($J1124),INDIRECT("L"&amp;($J1124+4)),"")</f>
        <v/>
      </c>
      <c r="B1124" s="291" t="str">
        <f aca="true">IF(ISNUMBER($J1124),INDIRECT("M"&amp;($J1124+4)),"")</f>
        <v/>
      </c>
      <c r="C1124" s="296" t="str">
        <f aca="true">IF(ISNUMBER($J1124),INDIRECT("N"&amp;($J1124+4)),"")</f>
        <v/>
      </c>
      <c r="D1124" s="291" t="str">
        <f aca="true">IF(ISNUMBER($J1124),INDIRECT("O"&amp;($J1124+4)),"")</f>
        <v/>
      </c>
      <c r="E1124" s="291" t="str">
        <f aca="true">IF(ISNUMBER($J1124),INDIRECT("P"&amp;($J1124+4)),"")</f>
        <v/>
      </c>
      <c r="F1124" s="300" t="str">
        <f aca="true">IF(ISNUMBER($J1124),INDIRECT("Q"&amp;($J1124+4)),"")</f>
        <v/>
      </c>
      <c r="G1124" s="298" t="str">
        <f aca="true">IF(ISNUMBER($J1124),INDIRECT("R"&amp;($J1124+4)),"")</f>
        <v/>
      </c>
      <c r="H1124" s="298" t="str">
        <f aca="true">IF(ISNUMBER($J1124),INDIRECT("S"&amp;($J1124+4)),"")</f>
        <v/>
      </c>
      <c r="J1124" s="292" t="str">
        <f aca="true">IF(1120&lt;=$K$1,MATCH(1119.5,INDIRECT("$K$4:$K$1374"),1),"")</f>
        <v/>
      </c>
      <c r="K1124" s="292" t="n">
        <f aca="false">$K$1028+COUNTIF($Q$1029:Q1124,"&gt;0")</f>
        <v>0</v>
      </c>
      <c r="L1124" s="292" t="str">
        <f aca="false">"Стёкла серии Elephant"&amp;" · "&amp;'Стёкла серии Elephant'!$N$260</f>
        <v>Стёкла серии Elephant · Elephant</v>
      </c>
      <c r="M1124" s="292" t="str">
        <f aca="false">IF(ISBLANK('Стёкла серии Elephant'!$O$260),"",'Стёкла серии Elephant'!$O$260)</f>
        <v>Honor Play 3E</v>
      </c>
      <c r="N1124" s="292" t="str">
        <f aca="false">""</f>
        <v/>
      </c>
      <c r="O1124" s="292" t="str">
        <f aca="false">""</f>
        <v/>
      </c>
      <c r="P1124" s="292" t="str">
        <f aca="false">IF(ISBLANK('Стёкла серии Elephant'!$P$260),"",'Стёкла серии Elephant'!$P$260)</f>
        <v>шт.</v>
      </c>
      <c r="Q1124" s="292" t="n">
        <f aca="false">N('Стёкла серии Elephant'!$R$260)</f>
        <v>0</v>
      </c>
      <c r="R1124" s="299" t="n">
        <f aca="false">IF(ISBLANK('Стёкла серии Elephant'!$Q$260),"",'Стёкла серии Elephant'!$Q$260)</f>
        <v>122.32</v>
      </c>
      <c r="S1124" s="292" t="str">
        <f aca="false">IF(ISBLANK('Стёкла серии Elephant'!$S$260),"",'Стёкла серии Elephant'!$S$260)</f>
        <v/>
      </c>
    </row>
    <row r="1125" customFormat="false" ht="66" hidden="false" customHeight="true" outlineLevel="0" collapsed="false">
      <c r="A1125" s="291" t="str">
        <f aca="true">IF(ISNUMBER($J1125),INDIRECT("L"&amp;($J1125+4)),"")</f>
        <v/>
      </c>
      <c r="B1125" s="291" t="str">
        <f aca="true">IF(ISNUMBER($J1125),INDIRECT("M"&amp;($J1125+4)),"")</f>
        <v/>
      </c>
      <c r="C1125" s="296" t="str">
        <f aca="true">IF(ISNUMBER($J1125),INDIRECT("N"&amp;($J1125+4)),"")</f>
        <v/>
      </c>
      <c r="D1125" s="291" t="str">
        <f aca="true">IF(ISNUMBER($J1125),INDIRECT("O"&amp;($J1125+4)),"")</f>
        <v/>
      </c>
      <c r="E1125" s="291" t="str">
        <f aca="true">IF(ISNUMBER($J1125),INDIRECT("P"&amp;($J1125+4)),"")</f>
        <v/>
      </c>
      <c r="F1125" s="300" t="str">
        <f aca="true">IF(ISNUMBER($J1125),INDIRECT("Q"&amp;($J1125+4)),"")</f>
        <v/>
      </c>
      <c r="G1125" s="298" t="str">
        <f aca="true">IF(ISNUMBER($J1125),INDIRECT("R"&amp;($J1125+4)),"")</f>
        <v/>
      </c>
      <c r="H1125" s="298" t="str">
        <f aca="true">IF(ISNUMBER($J1125),INDIRECT("S"&amp;($J1125+4)),"")</f>
        <v/>
      </c>
      <c r="J1125" s="292" t="str">
        <f aca="true">IF(1121&lt;=$K$1,MATCH(1120.5,INDIRECT("$K$4:$K$1374"),1),"")</f>
        <v/>
      </c>
      <c r="K1125" s="292" t="n">
        <f aca="false">$K$1028+COUNTIF($Q$1029:Q1125,"&gt;0")</f>
        <v>0</v>
      </c>
      <c r="L1125" s="292" t="str">
        <f aca="false">"Стёкла серии Elephant"&amp;" · "&amp;'Стёкла серии Elephant'!$N$261</f>
        <v>Стёкла серии Elephant · Elephant</v>
      </c>
      <c r="M1125" s="292" t="str">
        <f aca="false">IF(ISBLANK('Стёкла серии Elephant'!$O$261),"",'Стёкла серии Elephant'!$O$261)</f>
        <v>Mi 8/8 Pro/8 UD</v>
      </c>
      <c r="N1125" s="292" t="str">
        <f aca="false">""</f>
        <v/>
      </c>
      <c r="O1125" s="292" t="str">
        <f aca="false">""</f>
        <v/>
      </c>
      <c r="P1125" s="292" t="str">
        <f aca="false">IF(ISBLANK('Стёкла серии Elephant'!$P$261),"",'Стёкла серии Elephant'!$P$261)</f>
        <v>шт.</v>
      </c>
      <c r="Q1125" s="292" t="n">
        <f aca="false">N('Стёкла серии Elephant'!$R$261)</f>
        <v>0</v>
      </c>
      <c r="R1125" s="299" t="n">
        <f aca="false">IF(ISBLANK('Стёкла серии Elephant'!$Q$261),"",'Стёкла серии Elephant'!$Q$261)</f>
        <v>122.32</v>
      </c>
      <c r="S1125" s="292" t="str">
        <f aca="false">IF(ISBLANK('Стёкла серии Elephant'!$S$261),"",'Стёкла серии Elephant'!$S$261)</f>
        <v/>
      </c>
    </row>
    <row r="1126" customFormat="false" ht="66" hidden="false" customHeight="true" outlineLevel="0" collapsed="false">
      <c r="A1126" s="291" t="str">
        <f aca="true">IF(ISNUMBER($J1126),INDIRECT("L"&amp;($J1126+4)),"")</f>
        <v/>
      </c>
      <c r="B1126" s="291" t="str">
        <f aca="true">IF(ISNUMBER($J1126),INDIRECT("M"&amp;($J1126+4)),"")</f>
        <v/>
      </c>
      <c r="C1126" s="296" t="str">
        <f aca="true">IF(ISNUMBER($J1126),INDIRECT("N"&amp;($J1126+4)),"")</f>
        <v/>
      </c>
      <c r="D1126" s="291" t="str">
        <f aca="true">IF(ISNUMBER($J1126),INDIRECT("O"&amp;($J1126+4)),"")</f>
        <v/>
      </c>
      <c r="E1126" s="291" t="str">
        <f aca="true">IF(ISNUMBER($J1126),INDIRECT("P"&amp;($J1126+4)),"")</f>
        <v/>
      </c>
      <c r="F1126" s="300" t="str">
        <f aca="true">IF(ISNUMBER($J1126),INDIRECT("Q"&amp;($J1126+4)),"")</f>
        <v/>
      </c>
      <c r="G1126" s="298" t="str">
        <f aca="true">IF(ISNUMBER($J1126),INDIRECT("R"&amp;($J1126+4)),"")</f>
        <v/>
      </c>
      <c r="H1126" s="298" t="str">
        <f aca="true">IF(ISNUMBER($J1126),INDIRECT("S"&amp;($J1126+4)),"")</f>
        <v/>
      </c>
      <c r="J1126" s="292" t="str">
        <f aca="true">IF(1122&lt;=$K$1,MATCH(1121.5,INDIRECT("$K$4:$K$1374"),1),"")</f>
        <v/>
      </c>
      <c r="K1126" s="292" t="n">
        <f aca="false">$K$1028+COUNTIF($Q$1029:Q1126,"&gt;0")</f>
        <v>0</v>
      </c>
      <c r="L1126" s="292" t="str">
        <f aca="false">"Стёкла серии Elephant"&amp;" · "&amp;'Стёкла серии Elephant'!$N$262</f>
        <v>Стёкла серии Elephant · Elephant</v>
      </c>
      <c r="M1126" s="292" t="str">
        <f aca="false">IF(ISBLANK('Стёкла серии Elephant'!$O$262),"",'Стёкла серии Elephant'!$O$262)</f>
        <v>Mi Poco X3/X3 NFC</v>
      </c>
      <c r="N1126" s="292" t="str">
        <f aca="false">""</f>
        <v/>
      </c>
      <c r="O1126" s="292" t="str">
        <f aca="false">""</f>
        <v/>
      </c>
      <c r="P1126" s="292" t="str">
        <f aca="false">IF(ISBLANK('Стёкла серии Elephant'!$P$262),"",'Стёкла серии Elephant'!$P$262)</f>
        <v>шт.</v>
      </c>
      <c r="Q1126" s="292" t="n">
        <f aca="false">N('Стёкла серии Elephant'!$R$262)</f>
        <v>0</v>
      </c>
      <c r="R1126" s="299" t="n">
        <f aca="false">IF(ISBLANK('Стёкла серии Elephant'!$Q$262),"",'Стёкла серии Elephant'!$Q$262)</f>
        <v>122.32</v>
      </c>
      <c r="S1126" s="292" t="str">
        <f aca="false">IF(ISBLANK('Стёкла серии Elephant'!$S$262),"",'Стёкла серии Elephant'!$S$262)</f>
        <v/>
      </c>
    </row>
    <row r="1127" customFormat="false" ht="66" hidden="false" customHeight="true" outlineLevel="0" collapsed="false">
      <c r="A1127" s="291" t="str">
        <f aca="true">IF(ISNUMBER($J1127),INDIRECT("L"&amp;($J1127+4)),"")</f>
        <v/>
      </c>
      <c r="B1127" s="291" t="str">
        <f aca="true">IF(ISNUMBER($J1127),INDIRECT("M"&amp;($J1127+4)),"")</f>
        <v/>
      </c>
      <c r="C1127" s="296" t="str">
        <f aca="true">IF(ISNUMBER($J1127),INDIRECT("N"&amp;($J1127+4)),"")</f>
        <v/>
      </c>
      <c r="D1127" s="291" t="str">
        <f aca="true">IF(ISNUMBER($J1127),INDIRECT("O"&amp;($J1127+4)),"")</f>
        <v/>
      </c>
      <c r="E1127" s="291" t="str">
        <f aca="true">IF(ISNUMBER($J1127),INDIRECT("P"&amp;($J1127+4)),"")</f>
        <v/>
      </c>
      <c r="F1127" s="300" t="str">
        <f aca="true">IF(ISNUMBER($J1127),INDIRECT("Q"&amp;($J1127+4)),"")</f>
        <v/>
      </c>
      <c r="G1127" s="298" t="str">
        <f aca="true">IF(ISNUMBER($J1127),INDIRECT("R"&amp;($J1127+4)),"")</f>
        <v/>
      </c>
      <c r="H1127" s="298" t="str">
        <f aca="true">IF(ISNUMBER($J1127),INDIRECT("S"&amp;($J1127+4)),"")</f>
        <v/>
      </c>
      <c r="J1127" s="292" t="str">
        <f aca="true">IF(1123&lt;=$K$1,MATCH(1122.5,INDIRECT("$K$4:$K$1374"),1),"")</f>
        <v/>
      </c>
      <c r="K1127" s="292" t="n">
        <f aca="false">$K$1028+COUNTIF($Q$1029:Q1127,"&gt;0")</f>
        <v>0</v>
      </c>
      <c r="L1127" s="292" t="str">
        <f aca="false">"Стёкла серии Elephant"&amp;" · "&amp;'Стёкла серии Elephant'!$N$263</f>
        <v>Стёкла серии Elephant · Elephant</v>
      </c>
      <c r="M1127" s="292" t="str">
        <f aca="false">IF(ISBLANK('Стёкла серии Elephant'!$O$263),"",'Стёкла серии Elephant'!$O$263)</f>
        <v>A50S</v>
      </c>
      <c r="N1127" s="292" t="str">
        <f aca="false">""</f>
        <v/>
      </c>
      <c r="O1127" s="292" t="str">
        <f aca="false">""</f>
        <v/>
      </c>
      <c r="P1127" s="292" t="str">
        <f aca="false">IF(ISBLANK('Стёкла серии Elephant'!$P$263),"",'Стёкла серии Elephant'!$P$263)</f>
        <v>шт.</v>
      </c>
      <c r="Q1127" s="292" t="n">
        <f aca="false">N('Стёкла серии Elephant'!$R$263)</f>
        <v>0</v>
      </c>
      <c r="R1127" s="299" t="n">
        <f aca="false">IF(ISBLANK('Стёкла серии Elephant'!$Q$263),"",'Стёкла серии Elephant'!$Q$263)</f>
        <v>122.32</v>
      </c>
      <c r="S1127" s="292" t="str">
        <f aca="false">IF(ISBLANK('Стёкла серии Elephant'!$S$263),"",'Стёкла серии Elephant'!$S$263)</f>
        <v/>
      </c>
    </row>
    <row r="1128" customFormat="false" ht="66" hidden="false" customHeight="true" outlineLevel="0" collapsed="false">
      <c r="A1128" s="291" t="str">
        <f aca="true">IF(ISNUMBER($J1128),INDIRECT("L"&amp;($J1128+4)),"")</f>
        <v/>
      </c>
      <c r="B1128" s="291" t="str">
        <f aca="true">IF(ISNUMBER($J1128),INDIRECT("M"&amp;($J1128+4)),"")</f>
        <v/>
      </c>
      <c r="C1128" s="296" t="str">
        <f aca="true">IF(ISNUMBER($J1128),INDIRECT("N"&amp;($J1128+4)),"")</f>
        <v/>
      </c>
      <c r="D1128" s="291" t="str">
        <f aca="true">IF(ISNUMBER($J1128),INDIRECT("O"&amp;($J1128+4)),"")</f>
        <v/>
      </c>
      <c r="E1128" s="291" t="str">
        <f aca="true">IF(ISNUMBER($J1128),INDIRECT("P"&amp;($J1128+4)),"")</f>
        <v/>
      </c>
      <c r="F1128" s="300" t="str">
        <f aca="true">IF(ISNUMBER($J1128),INDIRECT("Q"&amp;($J1128+4)),"")</f>
        <v/>
      </c>
      <c r="G1128" s="298" t="str">
        <f aca="true">IF(ISNUMBER($J1128),INDIRECT("R"&amp;($J1128+4)),"")</f>
        <v/>
      </c>
      <c r="H1128" s="298" t="str">
        <f aca="true">IF(ISNUMBER($J1128),INDIRECT("S"&amp;($J1128+4)),"")</f>
        <v/>
      </c>
      <c r="J1128" s="292" t="str">
        <f aca="true">IF(1124&lt;=$K$1,MATCH(1123.5,INDIRECT("$K$4:$K$1374"),1),"")</f>
        <v/>
      </c>
      <c r="K1128" s="292" t="n">
        <f aca="false">$K$1028+COUNTIF($Q$1029:Q1128,"&gt;0")</f>
        <v>0</v>
      </c>
      <c r="L1128" s="292" t="str">
        <f aca="false">"Стёкла серии Elephant"&amp;" · "&amp;'Стёкла серии Elephant'!$N$264</f>
        <v>Стёкла серии Elephant · Elephant</v>
      </c>
      <c r="M1128" s="292" t="str">
        <f aca="false">IF(ISBLANK('Стёкла серии Elephant'!$O$264),"",'Стёкла серии Elephant'!$O$264)</f>
        <v>Realme 6</v>
      </c>
      <c r="N1128" s="292" t="str">
        <f aca="false">""</f>
        <v/>
      </c>
      <c r="O1128" s="292" t="str">
        <f aca="false">""</f>
        <v/>
      </c>
      <c r="P1128" s="292" t="str">
        <f aca="false">IF(ISBLANK('Стёкла серии Elephant'!$P$264),"",'Стёкла серии Elephant'!$P$264)</f>
        <v>шт.</v>
      </c>
      <c r="Q1128" s="292" t="n">
        <f aca="false">N('Стёкла серии Elephant'!$R$264)</f>
        <v>0</v>
      </c>
      <c r="R1128" s="299" t="n">
        <f aca="false">IF(ISBLANK('Стёкла серии Elephant'!$Q$264),"",'Стёкла серии Elephant'!$Q$264)</f>
        <v>122.32</v>
      </c>
      <c r="S1128" s="292" t="str">
        <f aca="false">IF(ISBLANK('Стёкла серии Elephant'!$S$264),"",'Стёкла серии Elephant'!$S$264)</f>
        <v/>
      </c>
    </row>
    <row r="1129" customFormat="false" ht="66" hidden="false" customHeight="true" outlineLevel="0" collapsed="false">
      <c r="A1129" s="291" t="str">
        <f aca="true">IF(ISNUMBER($J1129),INDIRECT("L"&amp;($J1129+4)),"")</f>
        <v/>
      </c>
      <c r="B1129" s="291" t="str">
        <f aca="true">IF(ISNUMBER($J1129),INDIRECT("M"&amp;($J1129+4)),"")</f>
        <v/>
      </c>
      <c r="C1129" s="296" t="str">
        <f aca="true">IF(ISNUMBER($J1129),INDIRECT("N"&amp;($J1129+4)),"")</f>
        <v/>
      </c>
      <c r="D1129" s="291" t="str">
        <f aca="true">IF(ISNUMBER($J1129),INDIRECT("O"&amp;($J1129+4)),"")</f>
        <v/>
      </c>
      <c r="E1129" s="291" t="str">
        <f aca="true">IF(ISNUMBER($J1129),INDIRECT("P"&amp;($J1129+4)),"")</f>
        <v/>
      </c>
      <c r="F1129" s="300" t="str">
        <f aca="true">IF(ISNUMBER($J1129),INDIRECT("Q"&amp;($J1129+4)),"")</f>
        <v/>
      </c>
      <c r="G1129" s="298" t="str">
        <f aca="true">IF(ISNUMBER($J1129),INDIRECT("R"&amp;($J1129+4)),"")</f>
        <v/>
      </c>
      <c r="H1129" s="298" t="str">
        <f aca="true">IF(ISNUMBER($J1129),INDIRECT("S"&amp;($J1129+4)),"")</f>
        <v/>
      </c>
      <c r="J1129" s="292" t="str">
        <f aca="true">IF(1125&lt;=$K$1,MATCH(1124.5,INDIRECT("$K$4:$K$1374"),1),"")</f>
        <v/>
      </c>
      <c r="K1129" s="292" t="n">
        <f aca="false">$K$1028+COUNTIF($Q$1029:Q1129,"&gt;0")</f>
        <v>0</v>
      </c>
      <c r="L1129" s="292" t="str">
        <f aca="false">"Стёкла серии Elephant"&amp;" · "&amp;'Стёкла серии Elephant'!$N$265</f>
        <v>Стёкла серии Elephant · Elephant</v>
      </c>
      <c r="M1129" s="292" t="str">
        <f aca="false">IF(ISBLANK('Стёкла серии Elephant'!$O$265),"",'Стёкла серии Elephant'!$O$265)</f>
        <v>RENO 4(4G india）</v>
      </c>
      <c r="N1129" s="292" t="str">
        <f aca="false">""</f>
        <v/>
      </c>
      <c r="O1129" s="292" t="str">
        <f aca="false">""</f>
        <v/>
      </c>
      <c r="P1129" s="292" t="str">
        <f aca="false">IF(ISBLANK('Стёкла серии Elephant'!$P$265),"",'Стёкла серии Elephant'!$P$265)</f>
        <v>шт.</v>
      </c>
      <c r="Q1129" s="292" t="n">
        <f aca="false">N('Стёкла серии Elephant'!$R$265)</f>
        <v>0</v>
      </c>
      <c r="R1129" s="299" t="n">
        <f aca="false">IF(ISBLANK('Стёкла серии Elephant'!$Q$265),"",'Стёкла серии Elephant'!$Q$265)</f>
        <v>122.32</v>
      </c>
      <c r="S1129" s="292" t="str">
        <f aca="false">IF(ISBLANK('Стёкла серии Elephant'!$S$265),"",'Стёкла серии Elephant'!$S$265)</f>
        <v/>
      </c>
    </row>
    <row r="1130" customFormat="false" ht="66" hidden="false" customHeight="true" outlineLevel="0" collapsed="false">
      <c r="A1130" s="291" t="str">
        <f aca="true">IF(ISNUMBER($J1130),INDIRECT("L"&amp;($J1130+4)),"")</f>
        <v/>
      </c>
      <c r="B1130" s="291" t="str">
        <f aca="true">IF(ISNUMBER($J1130),INDIRECT("M"&amp;($J1130+4)),"")</f>
        <v/>
      </c>
      <c r="C1130" s="296" t="str">
        <f aca="true">IF(ISNUMBER($J1130),INDIRECT("N"&amp;($J1130+4)),"")</f>
        <v/>
      </c>
      <c r="D1130" s="291" t="str">
        <f aca="true">IF(ISNUMBER($J1130),INDIRECT("O"&amp;($J1130+4)),"")</f>
        <v/>
      </c>
      <c r="E1130" s="291" t="str">
        <f aca="true">IF(ISNUMBER($J1130),INDIRECT("P"&amp;($J1130+4)),"")</f>
        <v/>
      </c>
      <c r="F1130" s="300" t="str">
        <f aca="true">IF(ISNUMBER($J1130),INDIRECT("Q"&amp;($J1130+4)),"")</f>
        <v/>
      </c>
      <c r="G1130" s="298" t="str">
        <f aca="true">IF(ISNUMBER($J1130),INDIRECT("R"&amp;($J1130+4)),"")</f>
        <v/>
      </c>
      <c r="H1130" s="298" t="str">
        <f aca="true">IF(ISNUMBER($J1130),INDIRECT("S"&amp;($J1130+4)),"")</f>
        <v/>
      </c>
      <c r="J1130" s="292" t="str">
        <f aca="true">IF(1126&lt;=$K$1,MATCH(1125.5,INDIRECT("$K$4:$K$1374"),1),"")</f>
        <v/>
      </c>
      <c r="K1130" s="292" t="n">
        <f aca="false">$K$1028+COUNTIF($Q$1029:Q1130,"&gt;0")</f>
        <v>0</v>
      </c>
      <c r="L1130" s="292" t="str">
        <f aca="false">"Стёкла серии Elephant"&amp;" · "&amp;'Стёкла серии Elephant'!$N$266</f>
        <v>Стёкла серии Elephant · Elephant</v>
      </c>
      <c r="M1130" s="292" t="str">
        <f aca="false">IF(ISBLANK('Стёкла серии Elephant'!$O$266),"",'Стёкла серии Elephant'!$O$266)</f>
        <v>Y85/Y89/V9</v>
      </c>
      <c r="N1130" s="292" t="str">
        <f aca="false">""</f>
        <v/>
      </c>
      <c r="O1130" s="292" t="str">
        <f aca="false">""</f>
        <v/>
      </c>
      <c r="P1130" s="292" t="str">
        <f aca="false">IF(ISBLANK('Стёкла серии Elephant'!$P$266),"",'Стёкла серии Elephant'!$P$266)</f>
        <v>шт.</v>
      </c>
      <c r="Q1130" s="292" t="n">
        <f aca="false">N('Стёкла серии Elephant'!$R$266)</f>
        <v>0</v>
      </c>
      <c r="R1130" s="299" t="n">
        <f aca="false">IF(ISBLANK('Стёкла серии Elephant'!$Q$266),"",'Стёкла серии Elephant'!$Q$266)</f>
        <v>122.32</v>
      </c>
      <c r="S1130" s="292" t="str">
        <f aca="false">IF(ISBLANK('Стёкла серии Elephant'!$S$266),"",'Стёкла серии Elephant'!$S$266)</f>
        <v/>
      </c>
    </row>
    <row r="1131" customFormat="false" ht="66" hidden="false" customHeight="true" outlineLevel="0" collapsed="false">
      <c r="A1131" s="291" t="str">
        <f aca="true">IF(ISNUMBER($J1131),INDIRECT("L"&amp;($J1131+4)),"")</f>
        <v/>
      </c>
      <c r="B1131" s="291" t="str">
        <f aca="true">IF(ISNUMBER($J1131),INDIRECT("M"&amp;($J1131+4)),"")</f>
        <v/>
      </c>
      <c r="C1131" s="296" t="str">
        <f aca="true">IF(ISNUMBER($J1131),INDIRECT("N"&amp;($J1131+4)),"")</f>
        <v/>
      </c>
      <c r="D1131" s="291" t="str">
        <f aca="true">IF(ISNUMBER($J1131),INDIRECT("O"&amp;($J1131+4)),"")</f>
        <v/>
      </c>
      <c r="E1131" s="291" t="str">
        <f aca="true">IF(ISNUMBER($J1131),INDIRECT("P"&amp;($J1131+4)),"")</f>
        <v/>
      </c>
      <c r="F1131" s="300" t="str">
        <f aca="true">IF(ISNUMBER($J1131),INDIRECT("Q"&amp;($J1131+4)),"")</f>
        <v/>
      </c>
      <c r="G1131" s="298" t="str">
        <f aca="true">IF(ISNUMBER($J1131),INDIRECT("R"&amp;($J1131+4)),"")</f>
        <v/>
      </c>
      <c r="H1131" s="298" t="str">
        <f aca="true">IF(ISNUMBER($J1131),INDIRECT("S"&amp;($J1131+4)),"")</f>
        <v/>
      </c>
      <c r="J1131" s="292" t="str">
        <f aca="true">IF(1127&lt;=$K$1,MATCH(1126.5,INDIRECT("$K$4:$K$1374"),1),"")</f>
        <v/>
      </c>
      <c r="K1131" s="292" t="n">
        <f aca="false">$K$1028+COUNTIF($Q$1029:Q1131,"&gt;0")</f>
        <v>0</v>
      </c>
      <c r="L1131" s="292" t="str">
        <f aca="false">"Стёкла серии Elephant"&amp;" · "&amp;'Стёкла серии Elephant'!$N$267</f>
        <v>Стёкла серии Elephant · Elephant</v>
      </c>
      <c r="M1131" s="292" t="str">
        <f aca="false">IF(ISBLANK('Стёкла серии Elephant'!$O$267),"",'Стёкла серии Elephant'!$O$267)</f>
        <v>Nova6-SE</v>
      </c>
      <c r="N1131" s="292" t="str">
        <f aca="false">""</f>
        <v/>
      </c>
      <c r="O1131" s="292" t="str">
        <f aca="false">""</f>
        <v/>
      </c>
      <c r="P1131" s="292" t="str">
        <f aca="false">IF(ISBLANK('Стёкла серии Elephant'!$P$267),"",'Стёкла серии Elephant'!$P$267)</f>
        <v>шт.</v>
      </c>
      <c r="Q1131" s="292" t="n">
        <f aca="false">N('Стёкла серии Elephant'!$R$267)</f>
        <v>0</v>
      </c>
      <c r="R1131" s="299" t="n">
        <f aca="false">IF(ISBLANK('Стёкла серии Elephant'!$Q$267),"",'Стёкла серии Elephant'!$Q$267)</f>
        <v>122.32</v>
      </c>
      <c r="S1131" s="292" t="str">
        <f aca="false">IF(ISBLANK('Стёкла серии Elephant'!$S$267),"",'Стёкла серии Elephant'!$S$267)</f>
        <v/>
      </c>
    </row>
    <row r="1132" customFormat="false" ht="66" hidden="false" customHeight="true" outlineLevel="0" collapsed="false">
      <c r="A1132" s="291" t="str">
        <f aca="true">IF(ISNUMBER($J1132),INDIRECT("L"&amp;($J1132+4)),"")</f>
        <v/>
      </c>
      <c r="B1132" s="291" t="str">
        <f aca="true">IF(ISNUMBER($J1132),INDIRECT("M"&amp;($J1132+4)),"")</f>
        <v/>
      </c>
      <c r="C1132" s="296" t="str">
        <f aca="true">IF(ISNUMBER($J1132),INDIRECT("N"&amp;($J1132+4)),"")</f>
        <v/>
      </c>
      <c r="D1132" s="291" t="str">
        <f aca="true">IF(ISNUMBER($J1132),INDIRECT("O"&amp;($J1132+4)),"")</f>
        <v/>
      </c>
      <c r="E1132" s="291" t="str">
        <f aca="true">IF(ISNUMBER($J1132),INDIRECT("P"&amp;($J1132+4)),"")</f>
        <v/>
      </c>
      <c r="F1132" s="300" t="str">
        <f aca="true">IF(ISNUMBER($J1132),INDIRECT("Q"&amp;($J1132+4)),"")</f>
        <v/>
      </c>
      <c r="G1132" s="298" t="str">
        <f aca="true">IF(ISNUMBER($J1132),INDIRECT("R"&amp;($J1132+4)),"")</f>
        <v/>
      </c>
      <c r="H1132" s="298" t="str">
        <f aca="true">IF(ISNUMBER($J1132),INDIRECT("S"&amp;($J1132+4)),"")</f>
        <v/>
      </c>
      <c r="J1132" s="292" t="str">
        <f aca="true">IF(1128&lt;=$K$1,MATCH(1127.5,INDIRECT("$K$4:$K$1374"),1),"")</f>
        <v/>
      </c>
      <c r="K1132" s="292" t="n">
        <f aca="false">$K$1028+COUNTIF($Q$1029:Q1132,"&gt;0")</f>
        <v>0</v>
      </c>
      <c r="L1132" s="292" t="str">
        <f aca="false">"Стёкла серии Elephant"&amp;" · "&amp;'Стёкла серии Elephant'!$N$268</f>
        <v>Стёкла серии Elephant · Elephant</v>
      </c>
      <c r="M1132" s="292" t="str">
        <f aca="false">IF(ISBLANK('Стёкла серии Elephant'!$O$268),"",'Стёкла серии Elephant'!$O$268)</f>
        <v>Honor V20</v>
      </c>
      <c r="N1132" s="292" t="str">
        <f aca="false">""</f>
        <v/>
      </c>
      <c r="O1132" s="292" t="str">
        <f aca="false">""</f>
        <v/>
      </c>
      <c r="P1132" s="292" t="str">
        <f aca="false">IF(ISBLANK('Стёкла серии Elephant'!$P$268),"",'Стёкла серии Elephant'!$P$268)</f>
        <v>шт.</v>
      </c>
      <c r="Q1132" s="292" t="n">
        <f aca="false">N('Стёкла серии Elephant'!$R$268)</f>
        <v>0</v>
      </c>
      <c r="R1132" s="299" t="n">
        <f aca="false">IF(ISBLANK('Стёкла серии Elephant'!$Q$268),"",'Стёкла серии Elephant'!$Q$268)</f>
        <v>122.32</v>
      </c>
      <c r="S1132" s="292" t="str">
        <f aca="false">IF(ISBLANK('Стёкла серии Elephant'!$S$268),"",'Стёкла серии Elephant'!$S$268)</f>
        <v/>
      </c>
    </row>
    <row r="1133" customFormat="false" ht="66" hidden="false" customHeight="true" outlineLevel="0" collapsed="false">
      <c r="A1133" s="291" t="str">
        <f aca="true">IF(ISNUMBER($J1133),INDIRECT("L"&amp;($J1133+4)),"")</f>
        <v/>
      </c>
      <c r="B1133" s="291" t="str">
        <f aca="true">IF(ISNUMBER($J1133),INDIRECT("M"&amp;($J1133+4)),"")</f>
        <v/>
      </c>
      <c r="C1133" s="296" t="str">
        <f aca="true">IF(ISNUMBER($J1133),INDIRECT("N"&amp;($J1133+4)),"")</f>
        <v/>
      </c>
      <c r="D1133" s="291" t="str">
        <f aca="true">IF(ISNUMBER($J1133),INDIRECT("O"&amp;($J1133+4)),"")</f>
        <v/>
      </c>
      <c r="E1133" s="291" t="str">
        <f aca="true">IF(ISNUMBER($J1133),INDIRECT("P"&amp;($J1133+4)),"")</f>
        <v/>
      </c>
      <c r="F1133" s="300" t="str">
        <f aca="true">IF(ISNUMBER($J1133),INDIRECT("Q"&amp;($J1133+4)),"")</f>
        <v/>
      </c>
      <c r="G1133" s="298" t="str">
        <f aca="true">IF(ISNUMBER($J1133),INDIRECT("R"&amp;($J1133+4)),"")</f>
        <v/>
      </c>
      <c r="H1133" s="298" t="str">
        <f aca="true">IF(ISNUMBER($J1133),INDIRECT("S"&amp;($J1133+4)),"")</f>
        <v/>
      </c>
      <c r="J1133" s="292" t="str">
        <f aca="true">IF(1129&lt;=$K$1,MATCH(1128.5,INDIRECT("$K$4:$K$1374"),1),"")</f>
        <v/>
      </c>
      <c r="K1133" s="292" t="n">
        <f aca="false">$K$1028+COUNTIF($Q$1029:Q1133,"&gt;0")</f>
        <v>0</v>
      </c>
      <c r="L1133" s="292" t="str">
        <f aca="false">"Стёкла серии Elephant"&amp;" · "&amp;'Стёкла серии Elephant'!$N$269</f>
        <v>Стёкла серии Elephant · Elephant</v>
      </c>
      <c r="M1133" s="292" t="str">
        <f aca="false">IF(ISBLANK('Стёкла серии Elephant'!$O$269),"",'Стёкла серии Elephant'!$O$269)</f>
        <v>Mi A3</v>
      </c>
      <c r="N1133" s="292" t="str">
        <f aca="false">""</f>
        <v/>
      </c>
      <c r="O1133" s="292" t="str">
        <f aca="false">""</f>
        <v/>
      </c>
      <c r="P1133" s="292" t="str">
        <f aca="false">IF(ISBLANK('Стёкла серии Elephant'!$P$269),"",'Стёкла серии Elephant'!$P$269)</f>
        <v>шт.</v>
      </c>
      <c r="Q1133" s="292" t="n">
        <f aca="false">N('Стёкла серии Elephant'!$R$269)</f>
        <v>0</v>
      </c>
      <c r="R1133" s="299" t="n">
        <f aca="false">IF(ISBLANK('Стёкла серии Elephant'!$Q$269),"",'Стёкла серии Elephant'!$Q$269)</f>
        <v>122.32</v>
      </c>
      <c r="S1133" s="292" t="str">
        <f aca="false">IF(ISBLANK('Стёкла серии Elephant'!$S$269),"",'Стёкла серии Elephant'!$S$269)</f>
        <v/>
      </c>
    </row>
    <row r="1134" customFormat="false" ht="66" hidden="false" customHeight="true" outlineLevel="0" collapsed="false">
      <c r="A1134" s="291" t="str">
        <f aca="true">IF(ISNUMBER($J1134),INDIRECT("L"&amp;($J1134+4)),"")</f>
        <v/>
      </c>
      <c r="B1134" s="291" t="str">
        <f aca="true">IF(ISNUMBER($J1134),INDIRECT("M"&amp;($J1134+4)),"")</f>
        <v/>
      </c>
      <c r="C1134" s="296" t="str">
        <f aca="true">IF(ISNUMBER($J1134),INDIRECT("N"&amp;($J1134+4)),"")</f>
        <v/>
      </c>
      <c r="D1134" s="291" t="str">
        <f aca="true">IF(ISNUMBER($J1134),INDIRECT("O"&amp;($J1134+4)),"")</f>
        <v/>
      </c>
      <c r="E1134" s="291" t="str">
        <f aca="true">IF(ISNUMBER($J1134),INDIRECT("P"&amp;($J1134+4)),"")</f>
        <v/>
      </c>
      <c r="F1134" s="300" t="str">
        <f aca="true">IF(ISNUMBER($J1134),INDIRECT("Q"&amp;($J1134+4)),"")</f>
        <v/>
      </c>
      <c r="G1134" s="298" t="str">
        <f aca="true">IF(ISNUMBER($J1134),INDIRECT("R"&amp;($J1134+4)),"")</f>
        <v/>
      </c>
      <c r="H1134" s="298" t="str">
        <f aca="true">IF(ISNUMBER($J1134),INDIRECT("S"&amp;($J1134+4)),"")</f>
        <v/>
      </c>
      <c r="J1134" s="292" t="str">
        <f aca="true">IF(1130&lt;=$K$1,MATCH(1129.5,INDIRECT("$K$4:$K$1374"),1),"")</f>
        <v/>
      </c>
      <c r="K1134" s="292" t="n">
        <f aca="false">$K$1028+COUNTIF($Q$1029:Q1134,"&gt;0")</f>
        <v>0</v>
      </c>
      <c r="L1134" s="292" t="str">
        <f aca="false">"Стёкла серии Elephant"&amp;" · "&amp;'Стёкла серии Elephant'!$N$270</f>
        <v>Стёкла серии Elephant · Elephant</v>
      </c>
      <c r="M1134" s="292" t="str">
        <f aca="false">IF(ISBLANK('Стёкла серии Elephant'!$O$270),"",'Стёкла серии Elephant'!$O$270)</f>
        <v>POCO X3 GT</v>
      </c>
      <c r="N1134" s="292" t="str">
        <f aca="false">""</f>
        <v/>
      </c>
      <c r="O1134" s="292" t="str">
        <f aca="false">""</f>
        <v/>
      </c>
      <c r="P1134" s="292" t="str">
        <f aca="false">IF(ISBLANK('Стёкла серии Elephant'!$P$270),"",'Стёкла серии Elephant'!$P$270)</f>
        <v>шт.</v>
      </c>
      <c r="Q1134" s="292" t="n">
        <f aca="false">N('Стёкла серии Elephant'!$R$270)</f>
        <v>0</v>
      </c>
      <c r="R1134" s="299" t="n">
        <f aca="false">IF(ISBLANK('Стёкла серии Elephant'!$Q$270),"",'Стёкла серии Elephant'!$Q$270)</f>
        <v>122.32</v>
      </c>
      <c r="S1134" s="292" t="str">
        <f aca="false">IF(ISBLANK('Стёкла серии Elephant'!$S$270),"",'Стёкла серии Elephant'!$S$270)</f>
        <v/>
      </c>
    </row>
    <row r="1135" customFormat="false" ht="66" hidden="false" customHeight="true" outlineLevel="0" collapsed="false">
      <c r="A1135" s="291" t="str">
        <f aca="true">IF(ISNUMBER($J1135),INDIRECT("L"&amp;($J1135+4)),"")</f>
        <v/>
      </c>
      <c r="B1135" s="291" t="str">
        <f aca="true">IF(ISNUMBER($J1135),INDIRECT("M"&amp;($J1135+4)),"")</f>
        <v/>
      </c>
      <c r="C1135" s="296" t="str">
        <f aca="true">IF(ISNUMBER($J1135),INDIRECT("N"&amp;($J1135+4)),"")</f>
        <v/>
      </c>
      <c r="D1135" s="291" t="str">
        <f aca="true">IF(ISNUMBER($J1135),INDIRECT("O"&amp;($J1135+4)),"")</f>
        <v/>
      </c>
      <c r="E1135" s="291" t="str">
        <f aca="true">IF(ISNUMBER($J1135),INDIRECT("P"&amp;($J1135+4)),"")</f>
        <v/>
      </c>
      <c r="F1135" s="300" t="str">
        <f aca="true">IF(ISNUMBER($J1135),INDIRECT("Q"&amp;($J1135+4)),"")</f>
        <v/>
      </c>
      <c r="G1135" s="298" t="str">
        <f aca="true">IF(ISNUMBER($J1135),INDIRECT("R"&amp;($J1135+4)),"")</f>
        <v/>
      </c>
      <c r="H1135" s="298" t="str">
        <f aca="true">IF(ISNUMBER($J1135),INDIRECT("S"&amp;($J1135+4)),"")</f>
        <v/>
      </c>
      <c r="J1135" s="292" t="str">
        <f aca="true">IF(1131&lt;=$K$1,MATCH(1130.5,INDIRECT("$K$4:$K$1374"),1),"")</f>
        <v/>
      </c>
      <c r="K1135" s="292" t="n">
        <f aca="false">$K$1028+COUNTIF($Q$1029:Q1135,"&gt;0")</f>
        <v>0</v>
      </c>
      <c r="L1135" s="292" t="str">
        <f aca="false">"Стёкла серии Elephant"&amp;" · "&amp;'Стёкла серии Elephant'!$N$271</f>
        <v>Стёкла серии Elephant · Elephant</v>
      </c>
      <c r="M1135" s="292" t="str">
        <f aca="false">IF(ISBLANK('Стёкла серии Elephant'!$O$271),"",'Стёкла серии Elephant'!$O$271)</f>
        <v>A70S</v>
      </c>
      <c r="N1135" s="292" t="str">
        <f aca="false">""</f>
        <v/>
      </c>
      <c r="O1135" s="292" t="str">
        <f aca="false">""</f>
        <v/>
      </c>
      <c r="P1135" s="292" t="str">
        <f aca="false">IF(ISBLANK('Стёкла серии Elephant'!$P$271),"",'Стёкла серии Elephant'!$P$271)</f>
        <v>шт.</v>
      </c>
      <c r="Q1135" s="292" t="n">
        <f aca="false">N('Стёкла серии Elephant'!$R$271)</f>
        <v>0</v>
      </c>
      <c r="R1135" s="299" t="n">
        <f aca="false">IF(ISBLANK('Стёкла серии Elephant'!$Q$271),"",'Стёкла серии Elephant'!$Q$271)</f>
        <v>122.32</v>
      </c>
      <c r="S1135" s="292" t="str">
        <f aca="false">IF(ISBLANK('Стёкла серии Elephant'!$S$271),"",'Стёкла серии Elephant'!$S$271)</f>
        <v/>
      </c>
    </row>
    <row r="1136" customFormat="false" ht="66" hidden="false" customHeight="true" outlineLevel="0" collapsed="false">
      <c r="A1136" s="291" t="str">
        <f aca="true">IF(ISNUMBER($J1136),INDIRECT("L"&amp;($J1136+4)),"")</f>
        <v/>
      </c>
      <c r="B1136" s="291" t="str">
        <f aca="true">IF(ISNUMBER($J1136),INDIRECT("M"&amp;($J1136+4)),"")</f>
        <v/>
      </c>
      <c r="C1136" s="296" t="str">
        <f aca="true">IF(ISNUMBER($J1136),INDIRECT("N"&amp;($J1136+4)),"")</f>
        <v/>
      </c>
      <c r="D1136" s="291" t="str">
        <f aca="true">IF(ISNUMBER($J1136),INDIRECT("O"&amp;($J1136+4)),"")</f>
        <v/>
      </c>
      <c r="E1136" s="291" t="str">
        <f aca="true">IF(ISNUMBER($J1136),INDIRECT("P"&amp;($J1136+4)),"")</f>
        <v/>
      </c>
      <c r="F1136" s="300" t="str">
        <f aca="true">IF(ISNUMBER($J1136),INDIRECT("Q"&amp;($J1136+4)),"")</f>
        <v/>
      </c>
      <c r="G1136" s="298" t="str">
        <f aca="true">IF(ISNUMBER($J1136),INDIRECT("R"&amp;($J1136+4)),"")</f>
        <v/>
      </c>
      <c r="H1136" s="298" t="str">
        <f aca="true">IF(ISNUMBER($J1136),INDIRECT("S"&amp;($J1136+4)),"")</f>
        <v/>
      </c>
      <c r="J1136" s="292" t="str">
        <f aca="true">IF(1132&lt;=$K$1,MATCH(1131.5,INDIRECT("$K$4:$K$1374"),1),"")</f>
        <v/>
      </c>
      <c r="K1136" s="292" t="n">
        <f aca="false">$K$1028+COUNTIF($Q$1029:Q1136,"&gt;0")</f>
        <v>0</v>
      </c>
      <c r="L1136" s="292" t="str">
        <f aca="false">"Стёкла серии Elephant"&amp;" · "&amp;'Стёкла серии Elephant'!$N$272</f>
        <v>Стёкла серии Elephant · Elephant</v>
      </c>
      <c r="M1136" s="292" t="str">
        <f aca="false">IF(ISBLANK('Стёкла серии Elephant'!$O$272),"",'Стёкла серии Elephant'!$O$272)</f>
        <v>Realme 3 Pro</v>
      </c>
      <c r="N1136" s="292" t="str">
        <f aca="false">""</f>
        <v/>
      </c>
      <c r="O1136" s="292" t="str">
        <f aca="false">""</f>
        <v/>
      </c>
      <c r="P1136" s="292" t="str">
        <f aca="false">IF(ISBLANK('Стёкла серии Elephant'!$P$272),"",'Стёкла серии Elephant'!$P$272)</f>
        <v>шт.</v>
      </c>
      <c r="Q1136" s="292" t="n">
        <f aca="false">N('Стёкла серии Elephant'!$R$272)</f>
        <v>0</v>
      </c>
      <c r="R1136" s="299" t="n">
        <f aca="false">IF(ISBLANK('Стёкла серии Elephant'!$Q$272),"",'Стёкла серии Elephant'!$Q$272)</f>
        <v>122.32</v>
      </c>
      <c r="S1136" s="292" t="str">
        <f aca="false">IF(ISBLANK('Стёкла серии Elephant'!$S$272),"",'Стёкла серии Elephant'!$S$272)</f>
        <v/>
      </c>
    </row>
    <row r="1137" customFormat="false" ht="66" hidden="false" customHeight="true" outlineLevel="0" collapsed="false">
      <c r="A1137" s="291" t="str">
        <f aca="true">IF(ISNUMBER($J1137),INDIRECT("L"&amp;($J1137+4)),"")</f>
        <v/>
      </c>
      <c r="B1137" s="291" t="str">
        <f aca="true">IF(ISNUMBER($J1137),INDIRECT("M"&amp;($J1137+4)),"")</f>
        <v/>
      </c>
      <c r="C1137" s="296" t="str">
        <f aca="true">IF(ISNUMBER($J1137),INDIRECT("N"&amp;($J1137+4)),"")</f>
        <v/>
      </c>
      <c r="D1137" s="291" t="str">
        <f aca="true">IF(ISNUMBER($J1137),INDIRECT("O"&amp;($J1137+4)),"")</f>
        <v/>
      </c>
      <c r="E1137" s="291" t="str">
        <f aca="true">IF(ISNUMBER($J1137),INDIRECT("P"&amp;($J1137+4)),"")</f>
        <v/>
      </c>
      <c r="F1137" s="300" t="str">
        <f aca="true">IF(ISNUMBER($J1137),INDIRECT("Q"&amp;($J1137+4)),"")</f>
        <v/>
      </c>
      <c r="G1137" s="298" t="str">
        <f aca="true">IF(ISNUMBER($J1137),INDIRECT("R"&amp;($J1137+4)),"")</f>
        <v/>
      </c>
      <c r="H1137" s="298" t="str">
        <f aca="true">IF(ISNUMBER($J1137),INDIRECT("S"&amp;($J1137+4)),"")</f>
        <v/>
      </c>
      <c r="J1137" s="292" t="str">
        <f aca="true">IF(1133&lt;=$K$1,MATCH(1132.5,INDIRECT("$K$4:$K$1374"),1),"")</f>
        <v/>
      </c>
      <c r="K1137" s="292" t="n">
        <f aca="false">$K$1028+COUNTIF($Q$1029:Q1137,"&gt;0")</f>
        <v>0</v>
      </c>
      <c r="L1137" s="292" t="str">
        <f aca="false">"Стёкла серии Elephant"&amp;" · "&amp;'Стёкла серии Elephant'!$N$273</f>
        <v>Стёкла серии Elephant · Elephant</v>
      </c>
      <c r="M1137" s="292" t="str">
        <f aca="false">IF(ISBLANK('Стёкла серии Elephant'!$O$273),"",'Стёкла серии Elephant'!$O$273)</f>
        <v>RENO 4Z 5G</v>
      </c>
      <c r="N1137" s="292" t="str">
        <f aca="false">""</f>
        <v/>
      </c>
      <c r="O1137" s="292" t="str">
        <f aca="false">""</f>
        <v/>
      </c>
      <c r="P1137" s="292" t="str">
        <f aca="false">IF(ISBLANK('Стёкла серии Elephant'!$P$273),"",'Стёкла серии Elephant'!$P$273)</f>
        <v>шт.</v>
      </c>
      <c r="Q1137" s="292" t="n">
        <f aca="false">N('Стёкла серии Elephant'!$R$273)</f>
        <v>0</v>
      </c>
      <c r="R1137" s="299" t="n">
        <f aca="false">IF(ISBLANK('Стёкла серии Elephant'!$Q$273),"",'Стёкла серии Elephant'!$Q$273)</f>
        <v>122.32</v>
      </c>
      <c r="S1137" s="292" t="str">
        <f aca="false">IF(ISBLANK('Стёкла серии Elephant'!$S$273),"",'Стёкла серии Elephant'!$S$273)</f>
        <v/>
      </c>
    </row>
    <row r="1138" customFormat="false" ht="66" hidden="false" customHeight="true" outlineLevel="0" collapsed="false">
      <c r="A1138" s="291" t="str">
        <f aca="true">IF(ISNUMBER($J1138),INDIRECT("L"&amp;($J1138+4)),"")</f>
        <v/>
      </c>
      <c r="B1138" s="291" t="str">
        <f aca="true">IF(ISNUMBER($J1138),INDIRECT("M"&amp;($J1138+4)),"")</f>
        <v/>
      </c>
      <c r="C1138" s="296" t="str">
        <f aca="true">IF(ISNUMBER($J1138),INDIRECT("N"&amp;($J1138+4)),"")</f>
        <v/>
      </c>
      <c r="D1138" s="291" t="str">
        <f aca="true">IF(ISNUMBER($J1138),INDIRECT("O"&amp;($J1138+4)),"")</f>
        <v/>
      </c>
      <c r="E1138" s="291" t="str">
        <f aca="true">IF(ISNUMBER($J1138),INDIRECT("P"&amp;($J1138+4)),"")</f>
        <v/>
      </c>
      <c r="F1138" s="300" t="str">
        <f aca="true">IF(ISNUMBER($J1138),INDIRECT("Q"&amp;($J1138+4)),"")</f>
        <v/>
      </c>
      <c r="G1138" s="298" t="str">
        <f aca="true">IF(ISNUMBER($J1138),INDIRECT("R"&amp;($J1138+4)),"")</f>
        <v/>
      </c>
      <c r="H1138" s="298" t="str">
        <f aca="true">IF(ISNUMBER($J1138),INDIRECT("S"&amp;($J1138+4)),"")</f>
        <v/>
      </c>
      <c r="J1138" s="292" t="str">
        <f aca="true">IF(1134&lt;=$K$1,MATCH(1133.5,INDIRECT("$K$4:$K$1374"),1),"")</f>
        <v/>
      </c>
      <c r="K1138" s="292" t="n">
        <f aca="false">$K$1028+COUNTIF($Q$1029:Q1138,"&gt;0")</f>
        <v>0</v>
      </c>
      <c r="L1138" s="292" t="str">
        <f aca="false">"Стёкла серии Elephant"&amp;" · "&amp;'Стёкла серии Elephant'!$N$274</f>
        <v>Стёкла серии Elephant · Elephant</v>
      </c>
      <c r="M1138" s="292" t="str">
        <f aca="false">IF(ISBLANK('Стёкла серии Elephant'!$O$274),"",'Стёкла серии Elephant'!$O$274)</f>
        <v>Y83/Y83 Pro/Y81/Y81i</v>
      </c>
      <c r="N1138" s="292" t="str">
        <f aca="false">""</f>
        <v/>
      </c>
      <c r="O1138" s="292" t="str">
        <f aca="false">""</f>
        <v/>
      </c>
      <c r="P1138" s="292" t="str">
        <f aca="false">IF(ISBLANK('Стёкла серии Elephant'!$P$274),"",'Стёкла серии Elephant'!$P$274)</f>
        <v>шт.</v>
      </c>
      <c r="Q1138" s="292" t="n">
        <f aca="false">N('Стёкла серии Elephant'!$R$274)</f>
        <v>0</v>
      </c>
      <c r="R1138" s="299" t="n">
        <f aca="false">IF(ISBLANK('Стёкла серии Elephant'!$Q$274),"",'Стёкла серии Elephant'!$Q$274)</f>
        <v>122.32</v>
      </c>
      <c r="S1138" s="292" t="str">
        <f aca="false">IF(ISBLANK('Стёкла серии Elephant'!$S$274),"",'Стёкла серии Elephant'!$S$274)</f>
        <v/>
      </c>
    </row>
    <row r="1139" customFormat="false" ht="66" hidden="false" customHeight="true" outlineLevel="0" collapsed="false">
      <c r="A1139" s="291" t="str">
        <f aca="true">IF(ISNUMBER($J1139),INDIRECT("L"&amp;($J1139+4)),"")</f>
        <v/>
      </c>
      <c r="B1139" s="291" t="str">
        <f aca="true">IF(ISNUMBER($J1139),INDIRECT("M"&amp;($J1139+4)),"")</f>
        <v/>
      </c>
      <c r="C1139" s="296" t="str">
        <f aca="true">IF(ISNUMBER($J1139),INDIRECT("N"&amp;($J1139+4)),"")</f>
        <v/>
      </c>
      <c r="D1139" s="291" t="str">
        <f aca="true">IF(ISNUMBER($J1139),INDIRECT("O"&amp;($J1139+4)),"")</f>
        <v/>
      </c>
      <c r="E1139" s="291" t="str">
        <f aca="true">IF(ISNUMBER($J1139),INDIRECT("P"&amp;($J1139+4)),"")</f>
        <v/>
      </c>
      <c r="F1139" s="300" t="str">
        <f aca="true">IF(ISNUMBER($J1139),INDIRECT("Q"&amp;($J1139+4)),"")</f>
        <v/>
      </c>
      <c r="G1139" s="298" t="str">
        <f aca="true">IF(ISNUMBER($J1139),INDIRECT("R"&amp;($J1139+4)),"")</f>
        <v/>
      </c>
      <c r="H1139" s="298" t="str">
        <f aca="true">IF(ISNUMBER($J1139),INDIRECT("S"&amp;($J1139+4)),"")</f>
        <v/>
      </c>
      <c r="J1139" s="292" t="str">
        <f aca="true">IF(1135&lt;=$K$1,MATCH(1134.5,INDIRECT("$K$4:$K$1374"),1),"")</f>
        <v/>
      </c>
      <c r="K1139" s="292" t="n">
        <f aca="false">$K$1028+COUNTIF($Q$1029:Q1139,"&gt;0")</f>
        <v>0</v>
      </c>
      <c r="L1139" s="292" t="str">
        <f aca="false">"Стёкла серии Elephant"&amp;" · "&amp;'Стёкла серии Elephant'!$N$275</f>
        <v>Стёкла серии Elephant · Elephant</v>
      </c>
      <c r="M1139" s="292" t="str">
        <f aca="false">IF(ISBLANK('Стёкла серии Elephant'!$O$275),"",'Стёкла серии Elephant'!$O$275)</f>
        <v>Nova5/Nova5 Pro</v>
      </c>
      <c r="N1139" s="292" t="str">
        <f aca="false">""</f>
        <v/>
      </c>
      <c r="O1139" s="292" t="str">
        <f aca="false">""</f>
        <v/>
      </c>
      <c r="P1139" s="292" t="str">
        <f aca="false">IF(ISBLANK('Стёкла серии Elephant'!$P$275),"",'Стёкла серии Elephant'!$P$275)</f>
        <v>шт.</v>
      </c>
      <c r="Q1139" s="292" t="n">
        <f aca="false">N('Стёкла серии Elephant'!$R$275)</f>
        <v>0</v>
      </c>
      <c r="R1139" s="299" t="n">
        <f aca="false">IF(ISBLANK('Стёкла серии Elephant'!$Q$275),"",'Стёкла серии Elephant'!$Q$275)</f>
        <v>122.32</v>
      </c>
      <c r="S1139" s="292" t="str">
        <f aca="false">IF(ISBLANK('Стёкла серии Elephant'!$S$275),"",'Стёкла серии Elephant'!$S$275)</f>
        <v/>
      </c>
    </row>
    <row r="1140" customFormat="false" ht="66" hidden="false" customHeight="true" outlineLevel="0" collapsed="false">
      <c r="A1140" s="291" t="str">
        <f aca="true">IF(ISNUMBER($J1140),INDIRECT("L"&amp;($J1140+4)),"")</f>
        <v/>
      </c>
      <c r="B1140" s="291" t="str">
        <f aca="true">IF(ISNUMBER($J1140),INDIRECT("M"&amp;($J1140+4)),"")</f>
        <v/>
      </c>
      <c r="C1140" s="296" t="str">
        <f aca="true">IF(ISNUMBER($J1140),INDIRECT("N"&amp;($J1140+4)),"")</f>
        <v/>
      </c>
      <c r="D1140" s="291" t="str">
        <f aca="true">IF(ISNUMBER($J1140),INDIRECT("O"&amp;($J1140+4)),"")</f>
        <v/>
      </c>
      <c r="E1140" s="291" t="str">
        <f aca="true">IF(ISNUMBER($J1140),INDIRECT("P"&amp;($J1140+4)),"")</f>
        <v/>
      </c>
      <c r="F1140" s="300" t="str">
        <f aca="true">IF(ISNUMBER($J1140),INDIRECT("Q"&amp;($J1140+4)),"")</f>
        <v/>
      </c>
      <c r="G1140" s="298" t="str">
        <f aca="true">IF(ISNUMBER($J1140),INDIRECT("R"&amp;($J1140+4)),"")</f>
        <v/>
      </c>
      <c r="H1140" s="298" t="str">
        <f aca="true">IF(ISNUMBER($J1140),INDIRECT("S"&amp;($J1140+4)),"")</f>
        <v/>
      </c>
      <c r="J1140" s="292" t="str">
        <f aca="true">IF(1136&lt;=$K$1,MATCH(1135.5,INDIRECT("$K$4:$K$1374"),1),"")</f>
        <v/>
      </c>
      <c r="K1140" s="292" t="n">
        <f aca="false">$K$1028+COUNTIF($Q$1029:Q1140,"&gt;0")</f>
        <v>0</v>
      </c>
      <c r="L1140" s="292" t="str">
        <f aca="false">"Стёкла серии Elephant"&amp;" · "&amp;'Стёкла серии Elephant'!$N$276</f>
        <v>Стёкла серии Elephant · Elephant</v>
      </c>
      <c r="M1140" s="292" t="str">
        <f aca="false">IF(ISBLANK('Стёкла серии Elephant'!$O$276),"",'Стёкла серии Elephant'!$O$276)</f>
        <v>Honor V10 Lite</v>
      </c>
      <c r="N1140" s="292" t="str">
        <f aca="false">""</f>
        <v/>
      </c>
      <c r="O1140" s="292" t="str">
        <f aca="false">""</f>
        <v/>
      </c>
      <c r="P1140" s="292" t="str">
        <f aca="false">IF(ISBLANK('Стёкла серии Elephant'!$P$276),"",'Стёкла серии Elephant'!$P$276)</f>
        <v>шт.</v>
      </c>
      <c r="Q1140" s="292" t="n">
        <f aca="false">N('Стёкла серии Elephant'!$R$276)</f>
        <v>0</v>
      </c>
      <c r="R1140" s="299" t="n">
        <f aca="false">IF(ISBLANK('Стёкла серии Elephant'!$Q$276),"",'Стёкла серии Elephant'!$Q$276)</f>
        <v>122.32</v>
      </c>
      <c r="S1140" s="292" t="str">
        <f aca="false">IF(ISBLANK('Стёкла серии Elephant'!$S$276),"",'Стёкла серии Elephant'!$S$276)</f>
        <v/>
      </c>
    </row>
    <row r="1141" customFormat="false" ht="66" hidden="false" customHeight="true" outlineLevel="0" collapsed="false">
      <c r="A1141" s="291" t="str">
        <f aca="true">IF(ISNUMBER($J1141),INDIRECT("L"&amp;($J1141+4)),"")</f>
        <v/>
      </c>
      <c r="B1141" s="291" t="str">
        <f aca="true">IF(ISNUMBER($J1141),INDIRECT("M"&amp;($J1141+4)),"")</f>
        <v/>
      </c>
      <c r="C1141" s="296" t="str">
        <f aca="true">IF(ISNUMBER($J1141),INDIRECT("N"&amp;($J1141+4)),"")</f>
        <v/>
      </c>
      <c r="D1141" s="291" t="str">
        <f aca="true">IF(ISNUMBER($J1141),INDIRECT("O"&amp;($J1141+4)),"")</f>
        <v/>
      </c>
      <c r="E1141" s="291" t="str">
        <f aca="true">IF(ISNUMBER($J1141),INDIRECT("P"&amp;($J1141+4)),"")</f>
        <v/>
      </c>
      <c r="F1141" s="300" t="str">
        <f aca="true">IF(ISNUMBER($J1141),INDIRECT("Q"&amp;($J1141+4)),"")</f>
        <v/>
      </c>
      <c r="G1141" s="298" t="str">
        <f aca="true">IF(ISNUMBER($J1141),INDIRECT("R"&amp;($J1141+4)),"")</f>
        <v/>
      </c>
      <c r="H1141" s="298" t="str">
        <f aca="true">IF(ISNUMBER($J1141),INDIRECT("S"&amp;($J1141+4)),"")</f>
        <v/>
      </c>
      <c r="J1141" s="292" t="str">
        <f aca="true">IF(1137&lt;=$K$1,MATCH(1136.5,INDIRECT("$K$4:$K$1374"),1),"")</f>
        <v/>
      </c>
      <c r="K1141" s="292" t="n">
        <f aca="false">$K$1028+COUNTIF($Q$1029:Q1141,"&gt;0")</f>
        <v>0</v>
      </c>
      <c r="L1141" s="292" t="str">
        <f aca="false">"Стёкла серии Elephant"&amp;" · "&amp;'Стёкла серии Elephant'!$N$277</f>
        <v>Стёкла серии Elephant · Elephant</v>
      </c>
      <c r="M1141" s="292" t="str">
        <f aca="false">IF(ISBLANK('Стёкла серии Elephant'!$O$277),"",'Стёкла серии Elephant'!$O$277)</f>
        <v>Mi A3 Pro</v>
      </c>
      <c r="N1141" s="292" t="str">
        <f aca="false">""</f>
        <v/>
      </c>
      <c r="O1141" s="292" t="str">
        <f aca="false">""</f>
        <v/>
      </c>
      <c r="P1141" s="292" t="str">
        <f aca="false">IF(ISBLANK('Стёкла серии Elephant'!$P$277),"",'Стёкла серии Elephant'!$P$277)</f>
        <v>шт.</v>
      </c>
      <c r="Q1141" s="292" t="n">
        <f aca="false">N('Стёкла серии Elephant'!$R$277)</f>
        <v>0</v>
      </c>
      <c r="R1141" s="299" t="n">
        <f aca="false">IF(ISBLANK('Стёкла серии Elephant'!$Q$277),"",'Стёкла серии Elephant'!$Q$277)</f>
        <v>122.32</v>
      </c>
      <c r="S1141" s="292" t="str">
        <f aca="false">IF(ISBLANK('Стёкла серии Elephant'!$S$277),"",'Стёкла серии Elephant'!$S$277)</f>
        <v/>
      </c>
    </row>
    <row r="1142" customFormat="false" ht="66" hidden="false" customHeight="true" outlineLevel="0" collapsed="false">
      <c r="A1142" s="291" t="str">
        <f aca="true">IF(ISNUMBER($J1142),INDIRECT("L"&amp;($J1142+4)),"")</f>
        <v/>
      </c>
      <c r="B1142" s="291" t="str">
        <f aca="true">IF(ISNUMBER($J1142),INDIRECT("M"&amp;($J1142+4)),"")</f>
        <v/>
      </c>
      <c r="C1142" s="296" t="str">
        <f aca="true">IF(ISNUMBER($J1142),INDIRECT("N"&amp;($J1142+4)),"")</f>
        <v/>
      </c>
      <c r="D1142" s="291" t="str">
        <f aca="true">IF(ISNUMBER($J1142),INDIRECT("O"&amp;($J1142+4)),"")</f>
        <v/>
      </c>
      <c r="E1142" s="291" t="str">
        <f aca="true">IF(ISNUMBER($J1142),INDIRECT("P"&amp;($J1142+4)),"")</f>
        <v/>
      </c>
      <c r="F1142" s="300" t="str">
        <f aca="true">IF(ISNUMBER($J1142),INDIRECT("Q"&amp;($J1142+4)),"")</f>
        <v/>
      </c>
      <c r="G1142" s="298" t="str">
        <f aca="true">IF(ISNUMBER($J1142),INDIRECT("R"&amp;($J1142+4)),"")</f>
        <v/>
      </c>
      <c r="H1142" s="298" t="str">
        <f aca="true">IF(ISNUMBER($J1142),INDIRECT("S"&amp;($J1142+4)),"")</f>
        <v/>
      </c>
      <c r="J1142" s="292" t="str">
        <f aca="true">IF(1138&lt;=$K$1,MATCH(1137.5,INDIRECT("$K$4:$K$1374"),1),"")</f>
        <v/>
      </c>
      <c r="K1142" s="292" t="n">
        <f aca="false">$K$1028+COUNTIF($Q$1029:Q1142,"&gt;0")</f>
        <v>0</v>
      </c>
      <c r="L1142" s="292" t="str">
        <f aca="false">"Стёкла серии Elephant"&amp;" · "&amp;'Стёкла серии Elephant'!$N$278</f>
        <v>Стёкла серии Elephant · Elephant</v>
      </c>
      <c r="M1142" s="292" t="str">
        <f aca="false">IF(ISBLANK('Стёкла серии Elephant'!$O$278),"",'Стёкла серии Elephant'!$O$278)</f>
        <v>MI POCO M3 PRO</v>
      </c>
      <c r="N1142" s="292" t="str">
        <f aca="false">""</f>
        <v/>
      </c>
      <c r="O1142" s="292" t="str">
        <f aca="false">""</f>
        <v/>
      </c>
      <c r="P1142" s="292" t="str">
        <f aca="false">IF(ISBLANK('Стёкла серии Elephant'!$P$278),"",'Стёкла серии Elephant'!$P$278)</f>
        <v>шт.</v>
      </c>
      <c r="Q1142" s="292" t="n">
        <f aca="false">N('Стёкла серии Elephant'!$R$278)</f>
        <v>0</v>
      </c>
      <c r="R1142" s="299" t="n">
        <f aca="false">IF(ISBLANK('Стёкла серии Elephant'!$Q$278),"",'Стёкла серии Elephant'!$Q$278)</f>
        <v>122.32</v>
      </c>
      <c r="S1142" s="292" t="str">
        <f aca="false">IF(ISBLANK('Стёкла серии Elephant'!$S$278),"",'Стёкла серии Elephant'!$S$278)</f>
        <v/>
      </c>
    </row>
    <row r="1143" customFormat="false" ht="66" hidden="false" customHeight="true" outlineLevel="0" collapsed="false">
      <c r="A1143" s="291" t="str">
        <f aca="true">IF(ISNUMBER($J1143),INDIRECT("L"&amp;($J1143+4)),"")</f>
        <v/>
      </c>
      <c r="B1143" s="291" t="str">
        <f aca="true">IF(ISNUMBER($J1143),INDIRECT("M"&amp;($J1143+4)),"")</f>
        <v/>
      </c>
      <c r="C1143" s="296" t="str">
        <f aca="true">IF(ISNUMBER($J1143),INDIRECT("N"&amp;($J1143+4)),"")</f>
        <v/>
      </c>
      <c r="D1143" s="291" t="str">
        <f aca="true">IF(ISNUMBER($J1143),INDIRECT("O"&amp;($J1143+4)),"")</f>
        <v/>
      </c>
      <c r="E1143" s="291" t="str">
        <f aca="true">IF(ISNUMBER($J1143),INDIRECT("P"&amp;($J1143+4)),"")</f>
        <v/>
      </c>
      <c r="F1143" s="300" t="str">
        <f aca="true">IF(ISNUMBER($J1143),INDIRECT("Q"&amp;($J1143+4)),"")</f>
        <v/>
      </c>
      <c r="G1143" s="298" t="str">
        <f aca="true">IF(ISNUMBER($J1143),INDIRECT("R"&amp;($J1143+4)),"")</f>
        <v/>
      </c>
      <c r="H1143" s="298" t="str">
        <f aca="true">IF(ISNUMBER($J1143),INDIRECT("S"&amp;($J1143+4)),"")</f>
        <v/>
      </c>
      <c r="J1143" s="292" t="str">
        <f aca="true">IF(1139&lt;=$K$1,MATCH(1138.5,INDIRECT("$K$4:$K$1374"),1),"")</f>
        <v/>
      </c>
      <c r="K1143" s="292" t="n">
        <f aca="false">$K$1028+COUNTIF($Q$1029:Q1143,"&gt;0")</f>
        <v>0</v>
      </c>
      <c r="L1143" s="292" t="str">
        <f aca="false">"Стёкла серии Elephant"&amp;" · "&amp;'Стёкла серии Elephant'!$N$279</f>
        <v>Стёкла серии Elephant · Elephant</v>
      </c>
      <c r="M1143" s="292" t="str">
        <f aca="false">IF(ISBLANK('Стёкла серии Elephant'!$O$279),"",'Стёкла серии Elephant'!$O$279)</f>
        <v>A10E</v>
      </c>
      <c r="N1143" s="292" t="str">
        <f aca="false">""</f>
        <v/>
      </c>
      <c r="O1143" s="292" t="str">
        <f aca="false">""</f>
        <v/>
      </c>
      <c r="P1143" s="292" t="str">
        <f aca="false">IF(ISBLANK('Стёкла серии Elephant'!$P$279),"",'Стёкла серии Elephant'!$P$279)</f>
        <v>шт.</v>
      </c>
      <c r="Q1143" s="292" t="n">
        <f aca="false">N('Стёкла серии Elephant'!$R$279)</f>
        <v>0</v>
      </c>
      <c r="R1143" s="299" t="n">
        <f aca="false">IF(ISBLANK('Стёкла серии Elephant'!$Q$279),"",'Стёкла серии Elephant'!$Q$279)</f>
        <v>122.32</v>
      </c>
      <c r="S1143" s="292" t="str">
        <f aca="false">IF(ISBLANK('Стёкла серии Elephant'!$S$279),"",'Стёкла серии Elephant'!$S$279)</f>
        <v/>
      </c>
    </row>
    <row r="1144" customFormat="false" ht="66" hidden="false" customHeight="true" outlineLevel="0" collapsed="false">
      <c r="A1144" s="291" t="str">
        <f aca="true">IF(ISNUMBER($J1144),INDIRECT("L"&amp;($J1144+4)),"")</f>
        <v/>
      </c>
      <c r="B1144" s="291" t="str">
        <f aca="true">IF(ISNUMBER($J1144),INDIRECT("M"&amp;($J1144+4)),"")</f>
        <v/>
      </c>
      <c r="C1144" s="296" t="str">
        <f aca="true">IF(ISNUMBER($J1144),INDIRECT("N"&amp;($J1144+4)),"")</f>
        <v/>
      </c>
      <c r="D1144" s="291" t="str">
        <f aca="true">IF(ISNUMBER($J1144),INDIRECT("O"&amp;($J1144+4)),"")</f>
        <v/>
      </c>
      <c r="E1144" s="291" t="str">
        <f aca="true">IF(ISNUMBER($J1144),INDIRECT("P"&amp;($J1144+4)),"")</f>
        <v/>
      </c>
      <c r="F1144" s="300" t="str">
        <f aca="true">IF(ISNUMBER($J1144),INDIRECT("Q"&amp;($J1144+4)),"")</f>
        <v/>
      </c>
      <c r="G1144" s="298" t="str">
        <f aca="true">IF(ISNUMBER($J1144),INDIRECT("R"&amp;($J1144+4)),"")</f>
        <v/>
      </c>
      <c r="H1144" s="298" t="str">
        <f aca="true">IF(ISNUMBER($J1144),INDIRECT("S"&amp;($J1144+4)),"")</f>
        <v/>
      </c>
      <c r="J1144" s="292" t="str">
        <f aca="true">IF(1140&lt;=$K$1,MATCH(1139.5,INDIRECT("$K$4:$K$1374"),1),"")</f>
        <v/>
      </c>
      <c r="K1144" s="292" t="n">
        <f aca="false">$K$1028+COUNTIF($Q$1029:Q1144,"&gt;0")</f>
        <v>0</v>
      </c>
      <c r="L1144" s="292" t="str">
        <f aca="false">"Стёкла серии Elephant"&amp;" · "&amp;'Стёкла серии Elephant'!$N$280</f>
        <v>Стёкла серии Elephant · Elephant</v>
      </c>
      <c r="M1144" s="292" t="str">
        <f aca="false">IF(ISBLANK('Стёкла серии Elephant'!$O$280),"",'Стёкла серии Elephant'!$O$280)</f>
        <v>Realme 3i</v>
      </c>
      <c r="N1144" s="292" t="str">
        <f aca="false">""</f>
        <v/>
      </c>
      <c r="O1144" s="292" t="str">
        <f aca="false">""</f>
        <v/>
      </c>
      <c r="P1144" s="292" t="str">
        <f aca="false">IF(ISBLANK('Стёкла серии Elephant'!$P$280),"",'Стёкла серии Elephant'!$P$280)</f>
        <v>шт.</v>
      </c>
      <c r="Q1144" s="292" t="n">
        <f aca="false">N('Стёкла серии Elephant'!$R$280)</f>
        <v>0</v>
      </c>
      <c r="R1144" s="299" t="n">
        <f aca="false">IF(ISBLANK('Стёкла серии Elephant'!$Q$280),"",'Стёкла серии Elephant'!$Q$280)</f>
        <v>122.32</v>
      </c>
      <c r="S1144" s="292" t="str">
        <f aca="false">IF(ISBLANK('Стёкла серии Elephant'!$S$280),"",'Стёкла серии Elephant'!$S$280)</f>
        <v/>
      </c>
    </row>
    <row r="1145" customFormat="false" ht="66" hidden="false" customHeight="true" outlineLevel="0" collapsed="false">
      <c r="A1145" s="291" t="str">
        <f aca="true">IF(ISNUMBER($J1145),INDIRECT("L"&amp;($J1145+4)),"")</f>
        <v/>
      </c>
      <c r="B1145" s="291" t="str">
        <f aca="true">IF(ISNUMBER($J1145),INDIRECT("M"&amp;($J1145+4)),"")</f>
        <v/>
      </c>
      <c r="C1145" s="296" t="str">
        <f aca="true">IF(ISNUMBER($J1145),INDIRECT("N"&amp;($J1145+4)),"")</f>
        <v/>
      </c>
      <c r="D1145" s="291" t="str">
        <f aca="true">IF(ISNUMBER($J1145),INDIRECT("O"&amp;($J1145+4)),"")</f>
        <v/>
      </c>
      <c r="E1145" s="291" t="str">
        <f aca="true">IF(ISNUMBER($J1145),INDIRECT("P"&amp;($J1145+4)),"")</f>
        <v/>
      </c>
      <c r="F1145" s="300" t="str">
        <f aca="true">IF(ISNUMBER($J1145),INDIRECT("Q"&amp;($J1145+4)),"")</f>
        <v/>
      </c>
      <c r="G1145" s="298" t="str">
        <f aca="true">IF(ISNUMBER($J1145),INDIRECT("R"&amp;($J1145+4)),"")</f>
        <v/>
      </c>
      <c r="H1145" s="298" t="str">
        <f aca="true">IF(ISNUMBER($J1145),INDIRECT("S"&amp;($J1145+4)),"")</f>
        <v/>
      </c>
      <c r="J1145" s="292" t="str">
        <f aca="true">IF(1141&lt;=$K$1,MATCH(1140.5,INDIRECT("$K$4:$K$1374"),1),"")</f>
        <v/>
      </c>
      <c r="K1145" s="292" t="n">
        <f aca="false">$K$1028+COUNTIF($Q$1029:Q1145,"&gt;0")</f>
        <v>0</v>
      </c>
      <c r="L1145" s="292" t="str">
        <f aca="false">"Стёкла серии Elephant"&amp;" · "&amp;'Стёкла серии Elephant'!$N$281</f>
        <v>Стёкла серии Elephant · Elephant</v>
      </c>
      <c r="M1145" s="292" t="str">
        <f aca="false">IF(ISBLANK('Стёкла серии Elephant'!$O$281),"",'Стёкла серии Elephant'!$O$281)</f>
        <v>RENO 4SE</v>
      </c>
      <c r="N1145" s="292" t="str">
        <f aca="false">""</f>
        <v/>
      </c>
      <c r="O1145" s="292" t="str">
        <f aca="false">""</f>
        <v/>
      </c>
      <c r="P1145" s="292" t="str">
        <f aca="false">IF(ISBLANK('Стёкла серии Elephant'!$P$281),"",'Стёкла серии Elephant'!$P$281)</f>
        <v>шт.</v>
      </c>
      <c r="Q1145" s="292" t="n">
        <f aca="false">N('Стёкла серии Elephant'!$R$281)</f>
        <v>0</v>
      </c>
      <c r="R1145" s="299" t="n">
        <f aca="false">IF(ISBLANK('Стёкла серии Elephant'!$Q$281),"",'Стёкла серии Elephant'!$Q$281)</f>
        <v>122.32</v>
      </c>
      <c r="S1145" s="292" t="str">
        <f aca="false">IF(ISBLANK('Стёкла серии Elephant'!$S$281),"",'Стёкла серии Elephant'!$S$281)</f>
        <v/>
      </c>
    </row>
    <row r="1146" customFormat="false" ht="66" hidden="false" customHeight="true" outlineLevel="0" collapsed="false">
      <c r="A1146" s="291" t="str">
        <f aca="true">IF(ISNUMBER($J1146),INDIRECT("L"&amp;($J1146+4)),"")</f>
        <v/>
      </c>
      <c r="B1146" s="291" t="str">
        <f aca="true">IF(ISNUMBER($J1146),INDIRECT("M"&amp;($J1146+4)),"")</f>
        <v/>
      </c>
      <c r="C1146" s="296" t="str">
        <f aca="true">IF(ISNUMBER($J1146),INDIRECT("N"&amp;($J1146+4)),"")</f>
        <v/>
      </c>
      <c r="D1146" s="291" t="str">
        <f aca="true">IF(ISNUMBER($J1146),INDIRECT("O"&amp;($J1146+4)),"")</f>
        <v/>
      </c>
      <c r="E1146" s="291" t="str">
        <f aca="true">IF(ISNUMBER($J1146),INDIRECT("P"&amp;($J1146+4)),"")</f>
        <v/>
      </c>
      <c r="F1146" s="300" t="str">
        <f aca="true">IF(ISNUMBER($J1146),INDIRECT("Q"&amp;($J1146+4)),"")</f>
        <v/>
      </c>
      <c r="G1146" s="298" t="str">
        <f aca="true">IF(ISNUMBER($J1146),INDIRECT("R"&amp;($J1146+4)),"")</f>
        <v/>
      </c>
      <c r="H1146" s="298" t="str">
        <f aca="true">IF(ISNUMBER($J1146),INDIRECT("S"&amp;($J1146+4)),"")</f>
        <v/>
      </c>
      <c r="J1146" s="292" t="str">
        <f aca="true">IF(1142&lt;=$K$1,MATCH(1141.5,INDIRECT("$K$4:$K$1374"),1),"")</f>
        <v/>
      </c>
      <c r="K1146" s="292" t="n">
        <f aca="false">$K$1028+COUNTIF($Q$1029:Q1146,"&gt;0")</f>
        <v>0</v>
      </c>
      <c r="L1146" s="292" t="str">
        <f aca="false">"Стёкла серии Elephant"&amp;" · "&amp;'Стёкла серии Elephant'!$N$282</f>
        <v>Стёкла серии Elephant · Elephant</v>
      </c>
      <c r="M1146" s="292" t="str">
        <f aca="false">IF(ISBLANK('Стёкла серии Elephant'!$O$282),"",'Стёкла серии Elephant'!$O$282)</f>
        <v>Z5/Z1X</v>
      </c>
      <c r="N1146" s="292" t="str">
        <f aca="false">""</f>
        <v/>
      </c>
      <c r="O1146" s="292" t="str">
        <f aca="false">""</f>
        <v/>
      </c>
      <c r="P1146" s="292" t="str">
        <f aca="false">IF(ISBLANK('Стёкла серии Elephant'!$P$282),"",'Стёкла серии Elephant'!$P$282)</f>
        <v>шт.</v>
      </c>
      <c r="Q1146" s="292" t="n">
        <f aca="false">N('Стёкла серии Elephant'!$R$282)</f>
        <v>0</v>
      </c>
      <c r="R1146" s="299" t="n">
        <f aca="false">IF(ISBLANK('Стёкла серии Elephant'!$Q$282),"",'Стёкла серии Elephant'!$Q$282)</f>
        <v>122.32</v>
      </c>
      <c r="S1146" s="292" t="str">
        <f aca="false">IF(ISBLANK('Стёкла серии Elephant'!$S$282),"",'Стёкла серии Elephant'!$S$282)</f>
        <v/>
      </c>
    </row>
    <row r="1147" customFormat="false" ht="66" hidden="false" customHeight="true" outlineLevel="0" collapsed="false">
      <c r="A1147" s="291" t="str">
        <f aca="true">IF(ISNUMBER($J1147),INDIRECT("L"&amp;($J1147+4)),"")</f>
        <v/>
      </c>
      <c r="B1147" s="291" t="str">
        <f aca="true">IF(ISNUMBER($J1147),INDIRECT("M"&amp;($J1147+4)),"")</f>
        <v/>
      </c>
      <c r="C1147" s="296" t="str">
        <f aca="true">IF(ISNUMBER($J1147),INDIRECT("N"&amp;($J1147+4)),"")</f>
        <v/>
      </c>
      <c r="D1147" s="291" t="str">
        <f aca="true">IF(ISNUMBER($J1147),INDIRECT("O"&amp;($J1147+4)),"")</f>
        <v/>
      </c>
      <c r="E1147" s="291" t="str">
        <f aca="true">IF(ISNUMBER($J1147),INDIRECT("P"&amp;($J1147+4)),"")</f>
        <v/>
      </c>
      <c r="F1147" s="300" t="str">
        <f aca="true">IF(ISNUMBER($J1147),INDIRECT("Q"&amp;($J1147+4)),"")</f>
        <v/>
      </c>
      <c r="G1147" s="298" t="str">
        <f aca="true">IF(ISNUMBER($J1147),INDIRECT("R"&amp;($J1147+4)),"")</f>
        <v/>
      </c>
      <c r="H1147" s="298" t="str">
        <f aca="true">IF(ISNUMBER($J1147),INDIRECT("S"&amp;($J1147+4)),"")</f>
        <v/>
      </c>
      <c r="J1147" s="292" t="str">
        <f aca="true">IF(1143&lt;=$K$1,MATCH(1142.5,INDIRECT("$K$4:$K$1374"),1),"")</f>
        <v/>
      </c>
      <c r="K1147" s="292" t="n">
        <f aca="false">$K$1028+COUNTIF($Q$1029:Q1147,"&gt;0")</f>
        <v>0</v>
      </c>
      <c r="L1147" s="292" t="str">
        <f aca="false">"Стёкла серии Elephant"&amp;" · "&amp;'Стёкла серии Elephant'!$N$283</f>
        <v>Стёкла серии Elephant · Elephant</v>
      </c>
      <c r="M1147" s="292" t="str">
        <f aca="false">IF(ISBLANK('Стёкла серии Elephant'!$O$283),"",'Стёкла серии Elephant'!$O$283)</f>
        <v>Nova5T</v>
      </c>
      <c r="N1147" s="292" t="str">
        <f aca="false">""</f>
        <v/>
      </c>
      <c r="O1147" s="292" t="str">
        <f aca="false">""</f>
        <v/>
      </c>
      <c r="P1147" s="292" t="str">
        <f aca="false">IF(ISBLANK('Стёкла серии Elephant'!$P$283),"",'Стёкла серии Elephant'!$P$283)</f>
        <v>шт.</v>
      </c>
      <c r="Q1147" s="292" t="n">
        <f aca="false">N('Стёкла серии Elephant'!$R$283)</f>
        <v>0</v>
      </c>
      <c r="R1147" s="299" t="n">
        <f aca="false">IF(ISBLANK('Стёкла серии Elephant'!$Q$283),"",'Стёкла серии Elephant'!$Q$283)</f>
        <v>122.32</v>
      </c>
      <c r="S1147" s="292" t="str">
        <f aca="false">IF(ISBLANK('Стёкла серии Elephant'!$S$283),"",'Стёкла серии Elephant'!$S$283)</f>
        <v/>
      </c>
    </row>
    <row r="1148" customFormat="false" ht="66" hidden="false" customHeight="true" outlineLevel="0" collapsed="false">
      <c r="A1148" s="291" t="str">
        <f aca="true">IF(ISNUMBER($J1148),INDIRECT("L"&amp;($J1148+4)),"")</f>
        <v/>
      </c>
      <c r="B1148" s="291" t="str">
        <f aca="true">IF(ISNUMBER($J1148),INDIRECT("M"&amp;($J1148+4)),"")</f>
        <v/>
      </c>
      <c r="C1148" s="296" t="str">
        <f aca="true">IF(ISNUMBER($J1148),INDIRECT("N"&amp;($J1148+4)),"")</f>
        <v/>
      </c>
      <c r="D1148" s="291" t="str">
        <f aca="true">IF(ISNUMBER($J1148),INDIRECT("O"&amp;($J1148+4)),"")</f>
        <v/>
      </c>
      <c r="E1148" s="291" t="str">
        <f aca="true">IF(ISNUMBER($J1148),INDIRECT("P"&amp;($J1148+4)),"")</f>
        <v/>
      </c>
      <c r="F1148" s="300" t="str">
        <f aca="true">IF(ISNUMBER($J1148),INDIRECT("Q"&amp;($J1148+4)),"")</f>
        <v/>
      </c>
      <c r="G1148" s="298" t="str">
        <f aca="true">IF(ISNUMBER($J1148),INDIRECT("R"&amp;($J1148+4)),"")</f>
        <v/>
      </c>
      <c r="H1148" s="298" t="str">
        <f aca="true">IF(ISNUMBER($J1148),INDIRECT("S"&amp;($J1148+4)),"")</f>
        <v/>
      </c>
      <c r="J1148" s="292" t="str">
        <f aca="true">IF(1144&lt;=$K$1,MATCH(1143.5,INDIRECT("$K$4:$K$1374"),1),"")</f>
        <v/>
      </c>
      <c r="K1148" s="292" t="n">
        <f aca="false">$K$1028+COUNTIF($Q$1029:Q1148,"&gt;0")</f>
        <v>0</v>
      </c>
      <c r="L1148" s="292" t="str">
        <f aca="false">"Стёкла серии Elephant"&amp;" · "&amp;'Стёкла серии Elephant'!$N$284</f>
        <v>Стёкла серии Elephant · Elephant</v>
      </c>
      <c r="M1148" s="292" t="str">
        <f aca="false">IF(ISBLANK('Стёкла серии Elephant'!$O$284),"",'Стёкла серии Elephant'!$O$284)</f>
        <v>Honor Magic 2</v>
      </c>
      <c r="N1148" s="292" t="str">
        <f aca="false">""</f>
        <v/>
      </c>
      <c r="O1148" s="292" t="str">
        <f aca="false">""</f>
        <v/>
      </c>
      <c r="P1148" s="292" t="str">
        <f aca="false">IF(ISBLANK('Стёкла серии Elephant'!$P$284),"",'Стёкла серии Elephant'!$P$284)</f>
        <v>шт.</v>
      </c>
      <c r="Q1148" s="292" t="n">
        <f aca="false">N('Стёкла серии Elephant'!$R$284)</f>
        <v>0</v>
      </c>
      <c r="R1148" s="299" t="n">
        <f aca="false">IF(ISBLANK('Стёкла серии Elephant'!$Q$284),"",'Стёкла серии Elephant'!$Q$284)</f>
        <v>122.32</v>
      </c>
      <c r="S1148" s="292" t="str">
        <f aca="false">IF(ISBLANK('Стёкла серии Elephant'!$S$284),"",'Стёкла серии Elephant'!$S$284)</f>
        <v/>
      </c>
    </row>
    <row r="1149" customFormat="false" ht="66" hidden="false" customHeight="true" outlineLevel="0" collapsed="false">
      <c r="A1149" s="291" t="str">
        <f aca="true">IF(ISNUMBER($J1149),INDIRECT("L"&amp;($J1149+4)),"")</f>
        <v/>
      </c>
      <c r="B1149" s="291" t="str">
        <f aca="true">IF(ISNUMBER($J1149),INDIRECT("M"&amp;($J1149+4)),"")</f>
        <v/>
      </c>
      <c r="C1149" s="296" t="str">
        <f aca="true">IF(ISNUMBER($J1149),INDIRECT("N"&amp;($J1149+4)),"")</f>
        <v/>
      </c>
      <c r="D1149" s="291" t="str">
        <f aca="true">IF(ISNUMBER($J1149),INDIRECT("O"&amp;($J1149+4)),"")</f>
        <v/>
      </c>
      <c r="E1149" s="291" t="str">
        <f aca="true">IF(ISNUMBER($J1149),INDIRECT("P"&amp;($J1149+4)),"")</f>
        <v/>
      </c>
      <c r="F1149" s="300" t="str">
        <f aca="true">IF(ISNUMBER($J1149),INDIRECT("Q"&amp;($J1149+4)),"")</f>
        <v/>
      </c>
      <c r="G1149" s="298" t="str">
        <f aca="true">IF(ISNUMBER($J1149),INDIRECT("R"&amp;($J1149+4)),"")</f>
        <v/>
      </c>
      <c r="H1149" s="298" t="str">
        <f aca="true">IF(ISNUMBER($J1149),INDIRECT("S"&amp;($J1149+4)),"")</f>
        <v/>
      </c>
      <c r="J1149" s="292" t="str">
        <f aca="true">IF(1145&lt;=$K$1,MATCH(1144.5,INDIRECT("$K$4:$K$1374"),1),"")</f>
        <v/>
      </c>
      <c r="K1149" s="292" t="n">
        <f aca="false">$K$1028+COUNTIF($Q$1029:Q1149,"&gt;0")</f>
        <v>0</v>
      </c>
      <c r="L1149" s="292" t="str">
        <f aca="false">"Стёкла серии Elephant"&amp;" · "&amp;'Стёкла серии Elephant'!$N$285</f>
        <v>Стёкла серии Elephant · Elephant</v>
      </c>
      <c r="M1149" s="292" t="str">
        <f aca="false">IF(ISBLANK('Стёкла серии Elephant'!$O$285),"",'Стёкла серии Elephant'!$O$285)</f>
        <v>Mi 6X/A2</v>
      </c>
      <c r="N1149" s="292" t="str">
        <f aca="false">""</f>
        <v/>
      </c>
      <c r="O1149" s="292" t="str">
        <f aca="false">""</f>
        <v/>
      </c>
      <c r="P1149" s="292" t="str">
        <f aca="false">IF(ISBLANK('Стёкла серии Elephant'!$P$285),"",'Стёкла серии Elephant'!$P$285)</f>
        <v>шт.</v>
      </c>
      <c r="Q1149" s="292" t="n">
        <f aca="false">N('Стёкла серии Elephant'!$R$285)</f>
        <v>0</v>
      </c>
      <c r="R1149" s="299" t="n">
        <f aca="false">IF(ISBLANK('Стёкла серии Elephant'!$Q$285),"",'Стёкла серии Elephant'!$Q$285)</f>
        <v>122.32</v>
      </c>
      <c r="S1149" s="292" t="str">
        <f aca="false">IF(ISBLANK('Стёкла серии Elephant'!$S$285),"",'Стёкла серии Elephant'!$S$285)</f>
        <v/>
      </c>
    </row>
    <row r="1150" customFormat="false" ht="66" hidden="false" customHeight="true" outlineLevel="0" collapsed="false">
      <c r="A1150" s="291" t="str">
        <f aca="true">IF(ISNUMBER($J1150),INDIRECT("L"&amp;($J1150+4)),"")</f>
        <v/>
      </c>
      <c r="B1150" s="291" t="str">
        <f aca="true">IF(ISNUMBER($J1150),INDIRECT("M"&amp;($J1150+4)),"")</f>
        <v/>
      </c>
      <c r="C1150" s="296" t="str">
        <f aca="true">IF(ISNUMBER($J1150),INDIRECT("N"&amp;($J1150+4)),"")</f>
        <v/>
      </c>
      <c r="D1150" s="291" t="str">
        <f aca="true">IF(ISNUMBER($J1150),INDIRECT("O"&amp;($J1150+4)),"")</f>
        <v/>
      </c>
      <c r="E1150" s="291" t="str">
        <f aca="true">IF(ISNUMBER($J1150),INDIRECT("P"&amp;($J1150+4)),"")</f>
        <v/>
      </c>
      <c r="F1150" s="300" t="str">
        <f aca="true">IF(ISNUMBER($J1150),INDIRECT("Q"&amp;($J1150+4)),"")</f>
        <v/>
      </c>
      <c r="G1150" s="298" t="str">
        <f aca="true">IF(ISNUMBER($J1150),INDIRECT("R"&amp;($J1150+4)),"")</f>
        <v/>
      </c>
      <c r="H1150" s="298" t="str">
        <f aca="true">IF(ISNUMBER($J1150),INDIRECT("S"&amp;($J1150+4)),"")</f>
        <v/>
      </c>
      <c r="J1150" s="292" t="str">
        <f aca="true">IF(1146&lt;=$K$1,MATCH(1145.5,INDIRECT("$K$4:$K$1374"),1),"")</f>
        <v/>
      </c>
      <c r="K1150" s="292" t="n">
        <f aca="false">$K$1028+COUNTIF($Q$1029:Q1150,"&gt;0")</f>
        <v>0</v>
      </c>
      <c r="L1150" s="292" t="str">
        <f aca="false">"Стёкла серии Elephant"&amp;" · "&amp;'Стёкла серии Elephant'!$N$286</f>
        <v>Стёкла серии Elephant · Elephant</v>
      </c>
      <c r="M1150" s="292" t="str">
        <f aca="false">IF(ISBLANK('Стёкла серии Elephant'!$O$286),"",'Стёкла серии Elephant'!$O$286)</f>
        <v>MI 10T 5G/MI 10T LITE 5G/MI 10T PRO 5G</v>
      </c>
      <c r="N1150" s="292" t="str">
        <f aca="false">""</f>
        <v/>
      </c>
      <c r="O1150" s="292" t="str">
        <f aca="false">""</f>
        <v/>
      </c>
      <c r="P1150" s="292" t="str">
        <f aca="false">IF(ISBLANK('Стёкла серии Elephant'!$P$286),"",'Стёкла серии Elephant'!$P$286)</f>
        <v>шт.</v>
      </c>
      <c r="Q1150" s="292" t="n">
        <f aca="false">N('Стёкла серии Elephant'!$R$286)</f>
        <v>0</v>
      </c>
      <c r="R1150" s="299" t="n">
        <f aca="false">IF(ISBLANK('Стёкла серии Elephant'!$Q$286),"",'Стёкла серии Elephant'!$Q$286)</f>
        <v>122.32</v>
      </c>
      <c r="S1150" s="292" t="str">
        <f aca="false">IF(ISBLANK('Стёкла серии Elephant'!$S$286),"",'Стёкла серии Elephant'!$S$286)</f>
        <v/>
      </c>
    </row>
    <row r="1151" customFormat="false" ht="66" hidden="false" customHeight="true" outlineLevel="0" collapsed="false">
      <c r="A1151" s="291" t="str">
        <f aca="true">IF(ISNUMBER($J1151),INDIRECT("L"&amp;($J1151+4)),"")</f>
        <v/>
      </c>
      <c r="B1151" s="291" t="str">
        <f aca="true">IF(ISNUMBER($J1151),INDIRECT("M"&amp;($J1151+4)),"")</f>
        <v/>
      </c>
      <c r="C1151" s="296" t="str">
        <f aca="true">IF(ISNUMBER($J1151),INDIRECT("N"&amp;($J1151+4)),"")</f>
        <v/>
      </c>
      <c r="D1151" s="291" t="str">
        <f aca="true">IF(ISNUMBER($J1151),INDIRECT("O"&amp;($J1151+4)),"")</f>
        <v/>
      </c>
      <c r="E1151" s="291" t="str">
        <f aca="true">IF(ISNUMBER($J1151),INDIRECT("P"&amp;($J1151+4)),"")</f>
        <v/>
      </c>
      <c r="F1151" s="300" t="str">
        <f aca="true">IF(ISNUMBER($J1151),INDIRECT("Q"&amp;($J1151+4)),"")</f>
        <v/>
      </c>
      <c r="G1151" s="298" t="str">
        <f aca="true">IF(ISNUMBER($J1151),INDIRECT("R"&amp;($J1151+4)),"")</f>
        <v/>
      </c>
      <c r="H1151" s="298" t="str">
        <f aca="true">IF(ISNUMBER($J1151),INDIRECT("S"&amp;($J1151+4)),"")</f>
        <v/>
      </c>
      <c r="J1151" s="292" t="str">
        <f aca="true">IF(1147&lt;=$K$1,MATCH(1146.5,INDIRECT("$K$4:$K$1374"),1),"")</f>
        <v/>
      </c>
      <c r="K1151" s="292" t="n">
        <f aca="false">$K$1028+COUNTIF($Q$1029:Q1151,"&gt;0")</f>
        <v>0</v>
      </c>
      <c r="L1151" s="292" t="str">
        <f aca="false">"Стёкла серии Elephant"&amp;" · "&amp;'Стёкла серии Elephant'!$N$287</f>
        <v>Стёкла серии Elephant · Elephant</v>
      </c>
      <c r="M1151" s="292" t="str">
        <f aca="false">IF(ISBLANK('Стёкла серии Elephant'!$O$287),"",'Стёкла серии Elephant'!$O$287)</f>
        <v>A20E</v>
      </c>
      <c r="N1151" s="292" t="str">
        <f aca="false">""</f>
        <v/>
      </c>
      <c r="O1151" s="292" t="str">
        <f aca="false">""</f>
        <v/>
      </c>
      <c r="P1151" s="292" t="str">
        <f aca="false">IF(ISBLANK('Стёкла серии Elephant'!$P$287),"",'Стёкла серии Elephant'!$P$287)</f>
        <v>шт.</v>
      </c>
      <c r="Q1151" s="292" t="n">
        <f aca="false">N('Стёкла серии Elephant'!$R$287)</f>
        <v>0</v>
      </c>
      <c r="R1151" s="299" t="n">
        <f aca="false">IF(ISBLANK('Стёкла серии Elephant'!$Q$287),"",'Стёкла серии Elephant'!$Q$287)</f>
        <v>122.32</v>
      </c>
      <c r="S1151" s="292" t="str">
        <f aca="false">IF(ISBLANK('Стёкла серии Elephant'!$S$287),"",'Стёкла серии Elephant'!$S$287)</f>
        <v/>
      </c>
    </row>
    <row r="1152" customFormat="false" ht="66" hidden="false" customHeight="true" outlineLevel="0" collapsed="false">
      <c r="A1152" s="291" t="str">
        <f aca="true">IF(ISNUMBER($J1152),INDIRECT("L"&amp;($J1152+4)),"")</f>
        <v/>
      </c>
      <c r="B1152" s="291" t="str">
        <f aca="true">IF(ISNUMBER($J1152),INDIRECT("M"&amp;($J1152+4)),"")</f>
        <v/>
      </c>
      <c r="C1152" s="296" t="str">
        <f aca="true">IF(ISNUMBER($J1152),INDIRECT("N"&amp;($J1152+4)),"")</f>
        <v/>
      </c>
      <c r="D1152" s="291" t="str">
        <f aca="true">IF(ISNUMBER($J1152),INDIRECT("O"&amp;($J1152+4)),"")</f>
        <v/>
      </c>
      <c r="E1152" s="291" t="str">
        <f aca="true">IF(ISNUMBER($J1152),INDIRECT("P"&amp;($J1152+4)),"")</f>
        <v/>
      </c>
      <c r="F1152" s="300" t="str">
        <f aca="true">IF(ISNUMBER($J1152),INDIRECT("Q"&amp;($J1152+4)),"")</f>
        <v/>
      </c>
      <c r="G1152" s="298" t="str">
        <f aca="true">IF(ISNUMBER($J1152),INDIRECT("R"&amp;($J1152+4)),"")</f>
        <v/>
      </c>
      <c r="H1152" s="298" t="str">
        <f aca="true">IF(ISNUMBER($J1152),INDIRECT("S"&amp;($J1152+4)),"")</f>
        <v/>
      </c>
      <c r="J1152" s="292" t="str">
        <f aca="true">IF(1148&lt;=$K$1,MATCH(1147.5,INDIRECT("$K$4:$K$1374"),1),"")</f>
        <v/>
      </c>
      <c r="K1152" s="292" t="n">
        <f aca="false">$K$1028+COUNTIF($Q$1029:Q1152,"&gt;0")</f>
        <v>0</v>
      </c>
      <c r="L1152" s="292" t="str">
        <f aca="false">"Стёкла серии Elephant"&amp;" · "&amp;'Стёкла серии Elephant'!$N$288</f>
        <v>Стёкла серии Elephant · Elephant</v>
      </c>
      <c r="M1152" s="292" t="str">
        <f aca="false">IF(ISBLANK('Стёкла серии Elephant'!$O$288),"",'Стёкла серии Elephant'!$O$288)</f>
        <v>Realme 3</v>
      </c>
      <c r="N1152" s="292" t="str">
        <f aca="false">""</f>
        <v/>
      </c>
      <c r="O1152" s="292" t="str">
        <f aca="false">""</f>
        <v/>
      </c>
      <c r="P1152" s="292" t="str">
        <f aca="false">IF(ISBLANK('Стёкла серии Elephant'!$P$288),"",'Стёкла серии Elephant'!$P$288)</f>
        <v>шт.</v>
      </c>
      <c r="Q1152" s="292" t="n">
        <f aca="false">N('Стёкла серии Elephant'!$R$288)</f>
        <v>0</v>
      </c>
      <c r="R1152" s="299" t="n">
        <f aca="false">IF(ISBLANK('Стёкла серии Elephant'!$Q$288),"",'Стёкла серии Elephant'!$Q$288)</f>
        <v>122.32</v>
      </c>
      <c r="S1152" s="292" t="str">
        <f aca="false">IF(ISBLANK('Стёкла серии Elephant'!$S$288),"",'Стёкла серии Elephant'!$S$288)</f>
        <v/>
      </c>
    </row>
    <row r="1153" customFormat="false" ht="66" hidden="false" customHeight="true" outlineLevel="0" collapsed="false">
      <c r="A1153" s="291" t="str">
        <f aca="true">IF(ISNUMBER($J1153),INDIRECT("L"&amp;($J1153+4)),"")</f>
        <v/>
      </c>
      <c r="B1153" s="291" t="str">
        <f aca="true">IF(ISNUMBER($J1153),INDIRECT("M"&amp;($J1153+4)),"")</f>
        <v/>
      </c>
      <c r="C1153" s="296" t="str">
        <f aca="true">IF(ISNUMBER($J1153),INDIRECT("N"&amp;($J1153+4)),"")</f>
        <v/>
      </c>
      <c r="D1153" s="291" t="str">
        <f aca="true">IF(ISNUMBER($J1153),INDIRECT("O"&amp;($J1153+4)),"")</f>
        <v/>
      </c>
      <c r="E1153" s="291" t="str">
        <f aca="true">IF(ISNUMBER($J1153),INDIRECT("P"&amp;($J1153+4)),"")</f>
        <v/>
      </c>
      <c r="F1153" s="300" t="str">
        <f aca="true">IF(ISNUMBER($J1153),INDIRECT("Q"&amp;($J1153+4)),"")</f>
        <v/>
      </c>
      <c r="G1153" s="298" t="str">
        <f aca="true">IF(ISNUMBER($J1153),INDIRECT("R"&amp;($J1153+4)),"")</f>
        <v/>
      </c>
      <c r="H1153" s="298" t="str">
        <f aca="true">IF(ISNUMBER($J1153),INDIRECT("S"&amp;($J1153+4)),"")</f>
        <v/>
      </c>
      <c r="J1153" s="292" t="str">
        <f aca="true">IF(1149&lt;=$K$1,MATCH(1148.5,INDIRECT("$K$4:$K$1374"),1),"")</f>
        <v/>
      </c>
      <c r="K1153" s="292" t="n">
        <f aca="false">$K$1028+COUNTIF($Q$1029:Q1153,"&gt;0")</f>
        <v>0</v>
      </c>
      <c r="L1153" s="292" t="str">
        <f aca="false">"Стёкла серии Elephant"&amp;" · "&amp;'Стёкла серии Elephant'!$N$289</f>
        <v>Стёкла серии Elephant · Elephant</v>
      </c>
      <c r="M1153" s="292" t="str">
        <f aca="false">IF(ISBLANK('Стёкла серии Elephant'!$O$289),"",'Стёкла серии Elephant'!$O$289)</f>
        <v>RENO 4F</v>
      </c>
      <c r="N1153" s="292" t="str">
        <f aca="false">""</f>
        <v/>
      </c>
      <c r="O1153" s="292" t="str">
        <f aca="false">""</f>
        <v/>
      </c>
      <c r="P1153" s="292" t="str">
        <f aca="false">IF(ISBLANK('Стёкла серии Elephant'!$P$289),"",'Стёкла серии Elephant'!$P$289)</f>
        <v>шт.</v>
      </c>
      <c r="Q1153" s="292" t="n">
        <f aca="false">N('Стёкла серии Elephant'!$R$289)</f>
        <v>0</v>
      </c>
      <c r="R1153" s="299" t="n">
        <f aca="false">IF(ISBLANK('Стёкла серии Elephant'!$Q$289),"",'Стёкла серии Elephant'!$Q$289)</f>
        <v>122.32</v>
      </c>
      <c r="S1153" s="292" t="str">
        <f aca="false">IF(ISBLANK('Стёкла серии Elephant'!$S$289),"",'Стёкла серии Elephant'!$S$289)</f>
        <v/>
      </c>
    </row>
    <row r="1154" customFormat="false" ht="66" hidden="false" customHeight="true" outlineLevel="0" collapsed="false">
      <c r="A1154" s="291" t="str">
        <f aca="true">IF(ISNUMBER($J1154),INDIRECT("L"&amp;($J1154+4)),"")</f>
        <v/>
      </c>
      <c r="B1154" s="291" t="str">
        <f aca="true">IF(ISNUMBER($J1154),INDIRECT("M"&amp;($J1154+4)),"")</f>
        <v/>
      </c>
      <c r="C1154" s="296" t="str">
        <f aca="true">IF(ISNUMBER($J1154),INDIRECT("N"&amp;($J1154+4)),"")</f>
        <v/>
      </c>
      <c r="D1154" s="291" t="str">
        <f aca="true">IF(ISNUMBER($J1154),INDIRECT("O"&amp;($J1154+4)),"")</f>
        <v/>
      </c>
      <c r="E1154" s="291" t="str">
        <f aca="true">IF(ISNUMBER($J1154),INDIRECT("P"&amp;($J1154+4)),"")</f>
        <v/>
      </c>
      <c r="F1154" s="300" t="str">
        <f aca="true">IF(ISNUMBER($J1154),INDIRECT("Q"&amp;($J1154+4)),"")</f>
        <v/>
      </c>
      <c r="G1154" s="298" t="str">
        <f aca="true">IF(ISNUMBER($J1154),INDIRECT("R"&amp;($J1154+4)),"")</f>
        <v/>
      </c>
      <c r="H1154" s="298" t="str">
        <f aca="true">IF(ISNUMBER($J1154),INDIRECT("S"&amp;($J1154+4)),"")</f>
        <v/>
      </c>
      <c r="J1154" s="292" t="str">
        <f aca="true">IF(1150&lt;=$K$1,MATCH(1149.5,INDIRECT("$K$4:$K$1374"),1),"")</f>
        <v/>
      </c>
      <c r="K1154" s="292" t="n">
        <f aca="false">$K$1028+COUNTIF($Q$1029:Q1154,"&gt;0")</f>
        <v>0</v>
      </c>
      <c r="L1154" s="292" t="str">
        <f aca="false">"Стёкла серии Elephant"&amp;" · "&amp;'Стёкла серии Elephant'!$N$290</f>
        <v>Стёкла серии Elephant · Elephant</v>
      </c>
      <c r="M1154" s="292" t="str">
        <f aca="false">IF(ISBLANK('Стёкла серии Elephant'!$O$290),"",'Стёкла серии Elephant'!$O$290)</f>
        <v>Z5X/Z1 Pro</v>
      </c>
      <c r="N1154" s="292" t="str">
        <f aca="false">""</f>
        <v/>
      </c>
      <c r="O1154" s="292" t="str">
        <f aca="false">""</f>
        <v/>
      </c>
      <c r="P1154" s="292" t="str">
        <f aca="false">IF(ISBLANK('Стёкла серии Elephant'!$P$290),"",'Стёкла серии Elephant'!$P$290)</f>
        <v>шт.</v>
      </c>
      <c r="Q1154" s="292" t="n">
        <f aca="false">N('Стёкла серии Elephant'!$R$290)</f>
        <v>0</v>
      </c>
      <c r="R1154" s="299" t="n">
        <f aca="false">IF(ISBLANK('Стёкла серии Elephant'!$Q$290),"",'Стёкла серии Elephant'!$Q$290)</f>
        <v>122.32</v>
      </c>
      <c r="S1154" s="292" t="str">
        <f aca="false">IF(ISBLANK('Стёкла серии Elephant'!$S$290),"",'Стёкла серии Elephant'!$S$290)</f>
        <v/>
      </c>
    </row>
    <row r="1155" customFormat="false" ht="66" hidden="false" customHeight="true" outlineLevel="0" collapsed="false">
      <c r="A1155" s="291" t="str">
        <f aca="true">IF(ISNUMBER($J1155),INDIRECT("L"&amp;($J1155+4)),"")</f>
        <v/>
      </c>
      <c r="B1155" s="291" t="str">
        <f aca="true">IF(ISNUMBER($J1155),INDIRECT("M"&amp;($J1155+4)),"")</f>
        <v/>
      </c>
      <c r="C1155" s="296" t="str">
        <f aca="true">IF(ISNUMBER($J1155),INDIRECT("N"&amp;($J1155+4)),"")</f>
        <v/>
      </c>
      <c r="D1155" s="291" t="str">
        <f aca="true">IF(ISNUMBER($J1155),INDIRECT("O"&amp;($J1155+4)),"")</f>
        <v/>
      </c>
      <c r="E1155" s="291" t="str">
        <f aca="true">IF(ISNUMBER($J1155),INDIRECT("P"&amp;($J1155+4)),"")</f>
        <v/>
      </c>
      <c r="F1155" s="300" t="str">
        <f aca="true">IF(ISNUMBER($J1155),INDIRECT("Q"&amp;($J1155+4)),"")</f>
        <v/>
      </c>
      <c r="G1155" s="298" t="str">
        <f aca="true">IF(ISNUMBER($J1155),INDIRECT("R"&amp;($J1155+4)),"")</f>
        <v/>
      </c>
      <c r="H1155" s="298" t="str">
        <f aca="true">IF(ISNUMBER($J1155),INDIRECT("S"&amp;($J1155+4)),"")</f>
        <v/>
      </c>
      <c r="J1155" s="292" t="str">
        <f aca="true">IF(1151&lt;=$K$1,MATCH(1150.5,INDIRECT("$K$4:$K$1374"),1),"")</f>
        <v/>
      </c>
      <c r="K1155" s="292" t="n">
        <f aca="false">$K$1028+COUNTIF($Q$1029:Q1155,"&gt;0")</f>
        <v>0</v>
      </c>
      <c r="L1155" s="292" t="str">
        <f aca="false">"Стёкла серии Elephant"&amp;" · "&amp;'Стёкла серии Elephant'!$N$291</f>
        <v>Стёкла серии Elephant · Elephant</v>
      </c>
      <c r="M1155" s="292" t="str">
        <f aca="false">IF(ISBLANK('Стёкла серии Elephant'!$O$291),"",'Стёкла серии Elephant'!$O$291)</f>
        <v>Nova5i Pro</v>
      </c>
      <c r="N1155" s="292" t="str">
        <f aca="false">""</f>
        <v/>
      </c>
      <c r="O1155" s="292" t="str">
        <f aca="false">""</f>
        <v/>
      </c>
      <c r="P1155" s="292" t="str">
        <f aca="false">IF(ISBLANK('Стёкла серии Elephant'!$P$291),"",'Стёкла серии Elephant'!$P$291)</f>
        <v>шт.</v>
      </c>
      <c r="Q1155" s="292" t="n">
        <f aca="false">N('Стёкла серии Elephant'!$R$291)</f>
        <v>0</v>
      </c>
      <c r="R1155" s="299" t="n">
        <f aca="false">IF(ISBLANK('Стёкла серии Elephant'!$Q$291),"",'Стёкла серии Elephant'!$Q$291)</f>
        <v>122.32</v>
      </c>
      <c r="S1155" s="292" t="str">
        <f aca="false">IF(ISBLANK('Стёкла серии Elephant'!$S$291),"",'Стёкла серии Elephant'!$S$291)</f>
        <v/>
      </c>
    </row>
    <row r="1156" customFormat="false" ht="66" hidden="false" customHeight="true" outlineLevel="0" collapsed="false">
      <c r="A1156" s="291" t="str">
        <f aca="true">IF(ISNUMBER($J1156),INDIRECT("L"&amp;($J1156+4)),"")</f>
        <v/>
      </c>
      <c r="B1156" s="291" t="str">
        <f aca="true">IF(ISNUMBER($J1156),INDIRECT("M"&amp;($J1156+4)),"")</f>
        <v/>
      </c>
      <c r="C1156" s="296" t="str">
        <f aca="true">IF(ISNUMBER($J1156),INDIRECT("N"&amp;($J1156+4)),"")</f>
        <v/>
      </c>
      <c r="D1156" s="291" t="str">
        <f aca="true">IF(ISNUMBER($J1156),INDIRECT("O"&amp;($J1156+4)),"")</f>
        <v/>
      </c>
      <c r="E1156" s="291" t="str">
        <f aca="true">IF(ISNUMBER($J1156),INDIRECT("P"&amp;($J1156+4)),"")</f>
        <v/>
      </c>
      <c r="F1156" s="300" t="str">
        <f aca="true">IF(ISNUMBER($J1156),INDIRECT("Q"&amp;($J1156+4)),"")</f>
        <v/>
      </c>
      <c r="G1156" s="298" t="str">
        <f aca="true">IF(ISNUMBER($J1156),INDIRECT("R"&amp;($J1156+4)),"")</f>
        <v/>
      </c>
      <c r="H1156" s="298" t="str">
        <f aca="true">IF(ISNUMBER($J1156),INDIRECT("S"&amp;($J1156+4)),"")</f>
        <v/>
      </c>
      <c r="J1156" s="292" t="str">
        <f aca="true">IF(1152&lt;=$K$1,MATCH(1151.5,INDIRECT("$K$4:$K$1374"),1),"")</f>
        <v/>
      </c>
      <c r="K1156" s="292" t="n">
        <f aca="false">$K$1028+COUNTIF($Q$1029:Q1156,"&gt;0")</f>
        <v>0</v>
      </c>
      <c r="L1156" s="292" t="str">
        <f aca="false">"Стёкла серии Elephant"&amp;" · "&amp;'Стёкла серии Elephant'!$N$292</f>
        <v>Стёкла серии Elephant · Elephant</v>
      </c>
      <c r="M1156" s="292" t="str">
        <f aca="false">IF(ISBLANK('Стёкла серии Elephant'!$O$292),"",'Стёкла серии Elephant'!$O$292)</f>
        <v>Honor Play 4T</v>
      </c>
      <c r="N1156" s="292" t="str">
        <f aca="false">""</f>
        <v/>
      </c>
      <c r="O1156" s="292" t="str">
        <f aca="false">""</f>
        <v/>
      </c>
      <c r="P1156" s="292" t="str">
        <f aca="false">IF(ISBLANK('Стёкла серии Elephant'!$P$292),"",'Стёкла серии Elephant'!$P$292)</f>
        <v>шт.</v>
      </c>
      <c r="Q1156" s="292" t="n">
        <f aca="false">N('Стёкла серии Elephant'!$R$292)</f>
        <v>0</v>
      </c>
      <c r="R1156" s="299" t="n">
        <f aca="false">IF(ISBLANK('Стёкла серии Elephant'!$Q$292),"",'Стёкла серии Elephant'!$Q$292)</f>
        <v>122.32</v>
      </c>
      <c r="S1156" s="292" t="str">
        <f aca="false">IF(ISBLANK('Стёкла серии Elephant'!$S$292),"",'Стёкла серии Elephant'!$S$292)</f>
        <v/>
      </c>
    </row>
    <row r="1157" customFormat="false" ht="66" hidden="false" customHeight="true" outlineLevel="0" collapsed="false">
      <c r="A1157" s="291" t="str">
        <f aca="true">IF(ISNUMBER($J1157),INDIRECT("L"&amp;($J1157+4)),"")</f>
        <v/>
      </c>
      <c r="B1157" s="291" t="str">
        <f aca="true">IF(ISNUMBER($J1157),INDIRECT("M"&amp;($J1157+4)),"")</f>
        <v/>
      </c>
      <c r="C1157" s="296" t="str">
        <f aca="true">IF(ISNUMBER($J1157),INDIRECT("N"&amp;($J1157+4)),"")</f>
        <v/>
      </c>
      <c r="D1157" s="291" t="str">
        <f aca="true">IF(ISNUMBER($J1157),INDIRECT("O"&amp;($J1157+4)),"")</f>
        <v/>
      </c>
      <c r="E1157" s="291" t="str">
        <f aca="true">IF(ISNUMBER($J1157),INDIRECT("P"&amp;($J1157+4)),"")</f>
        <v/>
      </c>
      <c r="F1157" s="300" t="str">
        <f aca="true">IF(ISNUMBER($J1157),INDIRECT("Q"&amp;($J1157+4)),"")</f>
        <v/>
      </c>
      <c r="G1157" s="298" t="str">
        <f aca="true">IF(ISNUMBER($J1157),INDIRECT("R"&amp;($J1157+4)),"")</f>
        <v/>
      </c>
      <c r="H1157" s="298" t="str">
        <f aca="true">IF(ISNUMBER($J1157),INDIRECT("S"&amp;($J1157+4)),"")</f>
        <v/>
      </c>
      <c r="J1157" s="292" t="str">
        <f aca="true">IF(1153&lt;=$K$1,MATCH(1152.5,INDIRECT("$K$4:$K$1374"),1),"")</f>
        <v/>
      </c>
      <c r="K1157" s="292" t="n">
        <f aca="false">$K$1156+COUNTIF($Q$1157:Q1157,"&gt;0")</f>
        <v>0</v>
      </c>
      <c r="L1157" s="292" t="str">
        <f aca="false">"Стёкла серии Elephant"&amp;" · "&amp;'Стёкла серии Elephant'!$N$293</f>
        <v>Стёкла серии Elephant · Elephant</v>
      </c>
      <c r="M1157" s="292" t="str">
        <f aca="false">IF(ISBLANK('Стёкла серии Elephant'!$O$293),"",'Стёкла серии Elephant'!$O$293)</f>
        <v>Mi 5X/A1</v>
      </c>
      <c r="N1157" s="292" t="str">
        <f aca="false">""</f>
        <v/>
      </c>
      <c r="O1157" s="292" t="str">
        <f aca="false">""</f>
        <v/>
      </c>
      <c r="P1157" s="292" t="str">
        <f aca="false">IF(ISBLANK('Стёкла серии Elephant'!$P$293),"",'Стёкла серии Elephant'!$P$293)</f>
        <v>шт.</v>
      </c>
      <c r="Q1157" s="292" t="n">
        <f aca="false">N('Стёкла серии Elephant'!$R$293)</f>
        <v>0</v>
      </c>
      <c r="R1157" s="299" t="n">
        <f aca="false">IF(ISBLANK('Стёкла серии Elephant'!$Q$293),"",'Стёкла серии Elephant'!$Q$293)</f>
        <v>122.32</v>
      </c>
      <c r="S1157" s="292" t="str">
        <f aca="false">IF(ISBLANK('Стёкла серии Elephant'!$S$293),"",'Стёкла серии Elephant'!$S$293)</f>
        <v/>
      </c>
    </row>
    <row r="1158" customFormat="false" ht="66" hidden="false" customHeight="true" outlineLevel="0" collapsed="false">
      <c r="A1158" s="291" t="str">
        <f aca="true">IF(ISNUMBER($J1158),INDIRECT("L"&amp;($J1158+4)),"")</f>
        <v/>
      </c>
      <c r="B1158" s="291" t="str">
        <f aca="true">IF(ISNUMBER($J1158),INDIRECT("M"&amp;($J1158+4)),"")</f>
        <v/>
      </c>
      <c r="C1158" s="296" t="str">
        <f aca="true">IF(ISNUMBER($J1158),INDIRECT("N"&amp;($J1158+4)),"")</f>
        <v/>
      </c>
      <c r="D1158" s="291" t="str">
        <f aca="true">IF(ISNUMBER($J1158),INDIRECT("O"&amp;($J1158+4)),"")</f>
        <v/>
      </c>
      <c r="E1158" s="291" t="str">
        <f aca="true">IF(ISNUMBER($J1158),INDIRECT("P"&amp;($J1158+4)),"")</f>
        <v/>
      </c>
      <c r="F1158" s="300" t="str">
        <f aca="true">IF(ISNUMBER($J1158),INDIRECT("Q"&amp;($J1158+4)),"")</f>
        <v/>
      </c>
      <c r="G1158" s="298" t="str">
        <f aca="true">IF(ISNUMBER($J1158),INDIRECT("R"&amp;($J1158+4)),"")</f>
        <v/>
      </c>
      <c r="H1158" s="298" t="str">
        <f aca="true">IF(ISNUMBER($J1158),INDIRECT("S"&amp;($J1158+4)),"")</f>
        <v/>
      </c>
      <c r="J1158" s="292" t="str">
        <f aca="true">IF(1154&lt;=$K$1,MATCH(1153.5,INDIRECT("$K$4:$K$1374"),1),"")</f>
        <v/>
      </c>
      <c r="K1158" s="292" t="n">
        <f aca="false">$K$1156+COUNTIF($Q$1157:Q1158,"&gt;0")</f>
        <v>0</v>
      </c>
      <c r="L1158" s="292" t="str">
        <f aca="false">"Стёкла серии Elephant"&amp;" · "&amp;'Стёкла серии Elephant'!$N$294</f>
        <v>Стёкла серии Elephant · Elephant</v>
      </c>
      <c r="M1158" s="292" t="str">
        <f aca="false">IF(ISBLANK('Стёкла серии Elephant'!$O$294),"",'Стёкла серии Elephant'!$O$294)</f>
        <v>MI 11 LITE</v>
      </c>
      <c r="N1158" s="292" t="str">
        <f aca="false">""</f>
        <v/>
      </c>
      <c r="O1158" s="292" t="str">
        <f aca="false">""</f>
        <v/>
      </c>
      <c r="P1158" s="292" t="str">
        <f aca="false">IF(ISBLANK('Стёкла серии Elephant'!$P$294),"",'Стёкла серии Elephant'!$P$294)</f>
        <v>шт.</v>
      </c>
      <c r="Q1158" s="292" t="n">
        <f aca="false">N('Стёкла серии Elephant'!$R$294)</f>
        <v>0</v>
      </c>
      <c r="R1158" s="299" t="n">
        <f aca="false">IF(ISBLANK('Стёкла серии Elephant'!$Q$294),"",'Стёкла серии Elephant'!$Q$294)</f>
        <v>122.32</v>
      </c>
      <c r="S1158" s="292" t="str">
        <f aca="false">IF(ISBLANK('Стёкла серии Elephant'!$S$294),"",'Стёкла серии Elephant'!$S$294)</f>
        <v/>
      </c>
    </row>
    <row r="1159" customFormat="false" ht="66" hidden="false" customHeight="true" outlineLevel="0" collapsed="false">
      <c r="A1159" s="291" t="str">
        <f aca="true">IF(ISNUMBER($J1159),INDIRECT("L"&amp;($J1159+4)),"")</f>
        <v/>
      </c>
      <c r="B1159" s="291" t="str">
        <f aca="true">IF(ISNUMBER($J1159),INDIRECT("M"&amp;($J1159+4)),"")</f>
        <v/>
      </c>
      <c r="C1159" s="296" t="str">
        <f aca="true">IF(ISNUMBER($J1159),INDIRECT("N"&amp;($J1159+4)),"")</f>
        <v/>
      </c>
      <c r="D1159" s="291" t="str">
        <f aca="true">IF(ISNUMBER($J1159),INDIRECT("O"&amp;($J1159+4)),"")</f>
        <v/>
      </c>
      <c r="E1159" s="291" t="str">
        <f aca="true">IF(ISNUMBER($J1159),INDIRECT("P"&amp;($J1159+4)),"")</f>
        <v/>
      </c>
      <c r="F1159" s="300" t="str">
        <f aca="true">IF(ISNUMBER($J1159),INDIRECT("Q"&amp;($J1159+4)),"")</f>
        <v/>
      </c>
      <c r="G1159" s="298" t="str">
        <f aca="true">IF(ISNUMBER($J1159),INDIRECT("R"&amp;($J1159+4)),"")</f>
        <v/>
      </c>
      <c r="H1159" s="298" t="str">
        <f aca="true">IF(ISNUMBER($J1159),INDIRECT("S"&amp;($J1159+4)),"")</f>
        <v/>
      </c>
      <c r="J1159" s="292" t="str">
        <f aca="true">IF(1155&lt;=$K$1,MATCH(1154.5,INDIRECT("$K$4:$K$1374"),1),"")</f>
        <v/>
      </c>
      <c r="K1159" s="292" t="n">
        <f aca="false">$K$1156+COUNTIF($Q$1157:Q1159,"&gt;0")</f>
        <v>0</v>
      </c>
      <c r="L1159" s="292" t="str">
        <f aca="false">"Стёкла серии Elephant"&amp;" · "&amp;'Стёкла серии Elephant'!$N$295</f>
        <v>Стёкла серии Elephant · Elephant</v>
      </c>
      <c r="M1159" s="292" t="str">
        <f aca="false">IF(ISBLANK('Стёкла серии Elephant'!$O$295),"",'Стёкла серии Elephant'!$O$295)</f>
        <v>A750/A7-2018</v>
      </c>
      <c r="N1159" s="292" t="str">
        <f aca="false">""</f>
        <v/>
      </c>
      <c r="O1159" s="292" t="str">
        <f aca="false">""</f>
        <v/>
      </c>
      <c r="P1159" s="292" t="str">
        <f aca="false">IF(ISBLANK('Стёкла серии Elephant'!$P$295),"",'Стёкла серии Elephant'!$P$295)</f>
        <v>шт.</v>
      </c>
      <c r="Q1159" s="292" t="n">
        <f aca="false">N('Стёкла серии Elephant'!$R$295)</f>
        <v>0</v>
      </c>
      <c r="R1159" s="299" t="n">
        <f aca="false">IF(ISBLANK('Стёкла серии Elephant'!$Q$295),"",'Стёкла серии Elephant'!$Q$295)</f>
        <v>122.32</v>
      </c>
      <c r="S1159" s="292" t="str">
        <f aca="false">IF(ISBLANK('Стёкла серии Elephant'!$S$295),"",'Стёкла серии Elephant'!$S$295)</f>
        <v/>
      </c>
    </row>
    <row r="1160" customFormat="false" ht="66" hidden="false" customHeight="true" outlineLevel="0" collapsed="false">
      <c r="A1160" s="291" t="str">
        <f aca="true">IF(ISNUMBER($J1160),INDIRECT("L"&amp;($J1160+4)),"")</f>
        <v/>
      </c>
      <c r="B1160" s="291" t="str">
        <f aca="true">IF(ISNUMBER($J1160),INDIRECT("M"&amp;($J1160+4)),"")</f>
        <v/>
      </c>
      <c r="C1160" s="296" t="str">
        <f aca="true">IF(ISNUMBER($J1160),INDIRECT("N"&amp;($J1160+4)),"")</f>
        <v/>
      </c>
      <c r="D1160" s="291" t="str">
        <f aca="true">IF(ISNUMBER($J1160),INDIRECT("O"&amp;($J1160+4)),"")</f>
        <v/>
      </c>
      <c r="E1160" s="291" t="str">
        <f aca="true">IF(ISNUMBER($J1160),INDIRECT("P"&amp;($J1160+4)),"")</f>
        <v/>
      </c>
      <c r="F1160" s="300" t="str">
        <f aca="true">IF(ISNUMBER($J1160),INDIRECT("Q"&amp;($J1160+4)),"")</f>
        <v/>
      </c>
      <c r="G1160" s="298" t="str">
        <f aca="true">IF(ISNUMBER($J1160),INDIRECT("R"&amp;($J1160+4)),"")</f>
        <v/>
      </c>
      <c r="H1160" s="298" t="str">
        <f aca="true">IF(ISNUMBER($J1160),INDIRECT("S"&amp;($J1160+4)),"")</f>
        <v/>
      </c>
      <c r="J1160" s="292" t="str">
        <f aca="true">IF(1156&lt;=$K$1,MATCH(1155.5,INDIRECT("$K$4:$K$1374"),1),"")</f>
        <v/>
      </c>
      <c r="K1160" s="292" t="n">
        <f aca="false">$K$1156+COUNTIF($Q$1157:Q1160,"&gt;0")</f>
        <v>0</v>
      </c>
      <c r="L1160" s="292" t="str">
        <f aca="false">"Стёкла серии Elephant"&amp;" · "&amp;'Стёкла серии Elephant'!$N$296</f>
        <v>Стёкла серии Elephant · Elephant</v>
      </c>
      <c r="M1160" s="292" t="str">
        <f aca="false">IF(ISBLANK('Стёкла серии Elephant'!$O$296),"",'Стёкла серии Elephant'!$O$296)</f>
        <v>Realme C2</v>
      </c>
      <c r="N1160" s="292" t="str">
        <f aca="false">""</f>
        <v/>
      </c>
      <c r="O1160" s="292" t="str">
        <f aca="false">""</f>
        <v/>
      </c>
      <c r="P1160" s="292" t="str">
        <f aca="false">IF(ISBLANK('Стёкла серии Elephant'!$P$296),"",'Стёкла серии Elephant'!$P$296)</f>
        <v>шт.</v>
      </c>
      <c r="Q1160" s="292" t="n">
        <f aca="false">N('Стёкла серии Elephant'!$R$296)</f>
        <v>0</v>
      </c>
      <c r="R1160" s="299" t="n">
        <f aca="false">IF(ISBLANK('Стёкла серии Elephant'!$Q$296),"",'Стёкла серии Elephant'!$Q$296)</f>
        <v>122.32</v>
      </c>
      <c r="S1160" s="292" t="str">
        <f aca="false">IF(ISBLANK('Стёкла серии Elephant'!$S$296),"",'Стёкла серии Elephant'!$S$296)</f>
        <v/>
      </c>
    </row>
    <row r="1161" customFormat="false" ht="66" hidden="false" customHeight="true" outlineLevel="0" collapsed="false">
      <c r="A1161" s="291" t="str">
        <f aca="true">IF(ISNUMBER($J1161),INDIRECT("L"&amp;($J1161+4)),"")</f>
        <v/>
      </c>
      <c r="B1161" s="291" t="str">
        <f aca="true">IF(ISNUMBER($J1161),INDIRECT("M"&amp;($J1161+4)),"")</f>
        <v/>
      </c>
      <c r="C1161" s="296" t="str">
        <f aca="true">IF(ISNUMBER($J1161),INDIRECT("N"&amp;($J1161+4)),"")</f>
        <v/>
      </c>
      <c r="D1161" s="291" t="str">
        <f aca="true">IF(ISNUMBER($J1161),INDIRECT("O"&amp;($J1161+4)),"")</f>
        <v/>
      </c>
      <c r="E1161" s="291" t="str">
        <f aca="true">IF(ISNUMBER($J1161),INDIRECT("P"&amp;($J1161+4)),"")</f>
        <v/>
      </c>
      <c r="F1161" s="300" t="str">
        <f aca="true">IF(ISNUMBER($J1161),INDIRECT("Q"&amp;($J1161+4)),"")</f>
        <v/>
      </c>
      <c r="G1161" s="298" t="str">
        <f aca="true">IF(ISNUMBER($J1161),INDIRECT("R"&amp;($J1161+4)),"")</f>
        <v/>
      </c>
      <c r="H1161" s="298" t="str">
        <f aca="true">IF(ISNUMBER($J1161),INDIRECT("S"&amp;($J1161+4)),"")</f>
        <v/>
      </c>
      <c r="J1161" s="292" t="str">
        <f aca="true">IF(1157&lt;=$K$1,MATCH(1156.5,INDIRECT("$K$4:$K$1374"),1),"")</f>
        <v/>
      </c>
      <c r="K1161" s="292" t="n">
        <f aca="false">$K$1156+COUNTIF($Q$1157:Q1161,"&gt;0")</f>
        <v>0</v>
      </c>
      <c r="L1161" s="292" t="str">
        <f aca="false">"Стёкла серии Elephant"&amp;" · "&amp;'Стёкла серии Elephant'!$N$297</f>
        <v>Стёкла серии Elephant · Elephant</v>
      </c>
      <c r="M1161" s="292" t="str">
        <f aca="false">IF(ISBLANK('Стёкла серии Elephant'!$O$297),"",'Стёкла серии Elephant'!$O$297)</f>
        <v>RENO 4 LITE</v>
      </c>
      <c r="N1161" s="292" t="str">
        <f aca="false">""</f>
        <v/>
      </c>
      <c r="O1161" s="292" t="str">
        <f aca="false">""</f>
        <v/>
      </c>
      <c r="P1161" s="292" t="str">
        <f aca="false">IF(ISBLANK('Стёкла серии Elephant'!$P$297),"",'Стёкла серии Elephant'!$P$297)</f>
        <v>шт.</v>
      </c>
      <c r="Q1161" s="292" t="n">
        <f aca="false">N('Стёкла серии Elephant'!$R$297)</f>
        <v>0</v>
      </c>
      <c r="R1161" s="299" t="n">
        <f aca="false">IF(ISBLANK('Стёкла серии Elephant'!$Q$297),"",'Стёкла серии Elephant'!$Q$297)</f>
        <v>122.32</v>
      </c>
      <c r="S1161" s="292" t="str">
        <f aca="false">IF(ISBLANK('Стёкла серии Elephant'!$S$297),"",'Стёкла серии Elephant'!$S$297)</f>
        <v/>
      </c>
    </row>
    <row r="1162" customFormat="false" ht="66" hidden="false" customHeight="true" outlineLevel="0" collapsed="false">
      <c r="A1162" s="291" t="str">
        <f aca="true">IF(ISNUMBER($J1162),INDIRECT("L"&amp;($J1162+4)),"")</f>
        <v/>
      </c>
      <c r="B1162" s="291" t="str">
        <f aca="true">IF(ISNUMBER($J1162),INDIRECT("M"&amp;($J1162+4)),"")</f>
        <v/>
      </c>
      <c r="C1162" s="296" t="str">
        <f aca="true">IF(ISNUMBER($J1162),INDIRECT("N"&amp;($J1162+4)),"")</f>
        <v/>
      </c>
      <c r="D1162" s="291" t="str">
        <f aca="true">IF(ISNUMBER($J1162),INDIRECT("O"&amp;($J1162+4)),"")</f>
        <v/>
      </c>
      <c r="E1162" s="291" t="str">
        <f aca="true">IF(ISNUMBER($J1162),INDIRECT("P"&amp;($J1162+4)),"")</f>
        <v/>
      </c>
      <c r="F1162" s="300" t="str">
        <f aca="true">IF(ISNUMBER($J1162),INDIRECT("Q"&amp;($J1162+4)),"")</f>
        <v/>
      </c>
      <c r="G1162" s="298" t="str">
        <f aca="true">IF(ISNUMBER($J1162),INDIRECT("R"&amp;($J1162+4)),"")</f>
        <v/>
      </c>
      <c r="H1162" s="298" t="str">
        <f aca="true">IF(ISNUMBER($J1162),INDIRECT("S"&amp;($J1162+4)),"")</f>
        <v/>
      </c>
      <c r="J1162" s="292" t="str">
        <f aca="true">IF(1158&lt;=$K$1,MATCH(1157.5,INDIRECT("$K$4:$K$1374"),1),"")</f>
        <v/>
      </c>
      <c r="K1162" s="292" t="n">
        <f aca="false">$K$1156+COUNTIF($Q$1157:Q1162,"&gt;0")</f>
        <v>0</v>
      </c>
      <c r="L1162" s="292" t="str">
        <f aca="false">"Стёкла серии Elephant"&amp;" · "&amp;'Стёкла серии Elephant'!$N$298</f>
        <v>Стёкла серии Elephant · Elephant</v>
      </c>
      <c r="M1162" s="292" t="str">
        <f aca="false">IF(ISBLANK('Стёкла серии Elephant'!$O$298),"",'Стёкла серии Elephant'!$O$298)</f>
        <v>Z3/Z3i</v>
      </c>
      <c r="N1162" s="292" t="str">
        <f aca="false">""</f>
        <v/>
      </c>
      <c r="O1162" s="292" t="str">
        <f aca="false">""</f>
        <v/>
      </c>
      <c r="P1162" s="292" t="str">
        <f aca="false">IF(ISBLANK('Стёкла серии Elephant'!$P$298),"",'Стёкла серии Elephant'!$P$298)</f>
        <v>шт.</v>
      </c>
      <c r="Q1162" s="292" t="n">
        <f aca="false">N('Стёкла серии Elephant'!$R$298)</f>
        <v>0</v>
      </c>
      <c r="R1162" s="299" t="n">
        <f aca="false">IF(ISBLANK('Стёкла серии Elephant'!$Q$298),"",'Стёкла серии Elephant'!$Q$298)</f>
        <v>122.32</v>
      </c>
      <c r="S1162" s="292" t="str">
        <f aca="false">IF(ISBLANK('Стёкла серии Elephant'!$S$298),"",'Стёкла серии Elephant'!$S$298)</f>
        <v/>
      </c>
    </row>
    <row r="1163" customFormat="false" ht="66" hidden="false" customHeight="true" outlineLevel="0" collapsed="false">
      <c r="A1163" s="291" t="str">
        <f aca="true">IF(ISNUMBER($J1163),INDIRECT("L"&amp;($J1163+4)),"")</f>
        <v/>
      </c>
      <c r="B1163" s="291" t="str">
        <f aca="true">IF(ISNUMBER($J1163),INDIRECT("M"&amp;($J1163+4)),"")</f>
        <v/>
      </c>
      <c r="C1163" s="296" t="str">
        <f aca="true">IF(ISNUMBER($J1163),INDIRECT("N"&amp;($J1163+4)),"")</f>
        <v/>
      </c>
      <c r="D1163" s="291" t="str">
        <f aca="true">IF(ISNUMBER($J1163),INDIRECT("O"&amp;($J1163+4)),"")</f>
        <v/>
      </c>
      <c r="E1163" s="291" t="str">
        <f aca="true">IF(ISNUMBER($J1163),INDIRECT("P"&amp;($J1163+4)),"")</f>
        <v/>
      </c>
      <c r="F1163" s="300" t="str">
        <f aca="true">IF(ISNUMBER($J1163),INDIRECT("Q"&amp;($J1163+4)),"")</f>
        <v/>
      </c>
      <c r="G1163" s="298" t="str">
        <f aca="true">IF(ISNUMBER($J1163),INDIRECT("R"&amp;($J1163+4)),"")</f>
        <v/>
      </c>
      <c r="H1163" s="298" t="str">
        <f aca="true">IF(ISNUMBER($J1163),INDIRECT("S"&amp;($J1163+4)),"")</f>
        <v/>
      </c>
      <c r="J1163" s="292" t="str">
        <f aca="true">IF(1159&lt;=$K$1,MATCH(1158.5,INDIRECT("$K$4:$K$1374"),1),"")</f>
        <v/>
      </c>
      <c r="K1163" s="292" t="n">
        <f aca="false">$K$1156+COUNTIF($Q$1157:Q1163,"&gt;0")</f>
        <v>0</v>
      </c>
      <c r="L1163" s="292" t="str">
        <f aca="false">"Стёкла серии Elephant"&amp;" · "&amp;'Стёкла серии Elephant'!$N$299</f>
        <v>Стёкла серии Elephant · Elephant</v>
      </c>
      <c r="M1163" s="292" t="str">
        <f aca="false">IF(ISBLANK('Стёкла серии Elephant'!$O$299),"",'Стёкла серии Elephant'!$O$299)</f>
        <v>Nova5i</v>
      </c>
      <c r="N1163" s="292" t="str">
        <f aca="false">""</f>
        <v/>
      </c>
      <c r="O1163" s="292" t="str">
        <f aca="false">""</f>
        <v/>
      </c>
      <c r="P1163" s="292" t="str">
        <f aca="false">IF(ISBLANK('Стёкла серии Elephant'!$P$299),"",'Стёкла серии Elephant'!$P$299)</f>
        <v>шт.</v>
      </c>
      <c r="Q1163" s="292" t="n">
        <f aca="false">N('Стёкла серии Elephant'!$R$299)</f>
        <v>0</v>
      </c>
      <c r="R1163" s="299" t="n">
        <f aca="false">IF(ISBLANK('Стёкла серии Elephant'!$Q$299),"",'Стёкла серии Elephant'!$Q$299)</f>
        <v>122.32</v>
      </c>
      <c r="S1163" s="292" t="str">
        <f aca="false">IF(ISBLANK('Стёкла серии Elephant'!$S$299),"",'Стёкла серии Elephant'!$S$299)</f>
        <v/>
      </c>
    </row>
    <row r="1164" customFormat="false" ht="66" hidden="false" customHeight="true" outlineLevel="0" collapsed="false">
      <c r="A1164" s="291" t="str">
        <f aca="true">IF(ISNUMBER($J1164),INDIRECT("L"&amp;($J1164+4)),"")</f>
        <v/>
      </c>
      <c r="B1164" s="291" t="str">
        <f aca="true">IF(ISNUMBER($J1164),INDIRECT("M"&amp;($J1164+4)),"")</f>
        <v/>
      </c>
      <c r="C1164" s="296" t="str">
        <f aca="true">IF(ISNUMBER($J1164),INDIRECT("N"&amp;($J1164+4)),"")</f>
        <v/>
      </c>
      <c r="D1164" s="291" t="str">
        <f aca="true">IF(ISNUMBER($J1164),INDIRECT("O"&amp;($J1164+4)),"")</f>
        <v/>
      </c>
      <c r="E1164" s="291" t="str">
        <f aca="true">IF(ISNUMBER($J1164),INDIRECT("P"&amp;($J1164+4)),"")</f>
        <v/>
      </c>
      <c r="F1164" s="300" t="str">
        <f aca="true">IF(ISNUMBER($J1164),INDIRECT("Q"&amp;($J1164+4)),"")</f>
        <v/>
      </c>
      <c r="G1164" s="298" t="str">
        <f aca="true">IF(ISNUMBER($J1164),INDIRECT("R"&amp;($J1164+4)),"")</f>
        <v/>
      </c>
      <c r="H1164" s="298" t="str">
        <f aca="true">IF(ISNUMBER($J1164),INDIRECT("S"&amp;($J1164+4)),"")</f>
        <v/>
      </c>
      <c r="J1164" s="292" t="str">
        <f aca="true">IF(1160&lt;=$K$1,MATCH(1159.5,INDIRECT("$K$4:$K$1374"),1),"")</f>
        <v/>
      </c>
      <c r="K1164" s="292" t="n">
        <f aca="false">$K$1156+COUNTIF($Q$1157:Q1164,"&gt;0")</f>
        <v>0</v>
      </c>
      <c r="L1164" s="292" t="str">
        <f aca="false">"Стёкла серии Elephant"&amp;" · "&amp;'Стёкла серии Elephant'!$N$300</f>
        <v>Стёкла серии Elephant · Elephant</v>
      </c>
      <c r="M1164" s="292" t="str">
        <f aca="false">IF(ISBLANK('Стёкла серии Elephant'!$O$300),"",'Стёкла серии Elephant'!$O$300)</f>
        <v>Honor Play 4T pro</v>
      </c>
      <c r="N1164" s="292" t="str">
        <f aca="false">""</f>
        <v/>
      </c>
      <c r="O1164" s="292" t="str">
        <f aca="false">""</f>
        <v/>
      </c>
      <c r="P1164" s="292" t="str">
        <f aca="false">IF(ISBLANK('Стёкла серии Elephant'!$P$300),"",'Стёкла серии Elephant'!$P$300)</f>
        <v>шт.</v>
      </c>
      <c r="Q1164" s="292" t="n">
        <f aca="false">N('Стёкла серии Elephant'!$R$300)</f>
        <v>0</v>
      </c>
      <c r="R1164" s="299" t="n">
        <f aca="false">IF(ISBLANK('Стёкла серии Elephant'!$Q$300),"",'Стёкла серии Elephant'!$Q$300)</f>
        <v>122.32</v>
      </c>
      <c r="S1164" s="292" t="str">
        <f aca="false">IF(ISBLANK('Стёкла серии Elephant'!$S$300),"",'Стёкла серии Elephant'!$S$300)</f>
        <v/>
      </c>
    </row>
    <row r="1165" customFormat="false" ht="66" hidden="false" customHeight="true" outlineLevel="0" collapsed="false">
      <c r="A1165" s="291" t="str">
        <f aca="true">IF(ISNUMBER($J1165),INDIRECT("L"&amp;($J1165+4)),"")</f>
        <v/>
      </c>
      <c r="B1165" s="291" t="str">
        <f aca="true">IF(ISNUMBER($J1165),INDIRECT("M"&amp;($J1165+4)),"")</f>
        <v/>
      </c>
      <c r="C1165" s="296" t="str">
        <f aca="true">IF(ISNUMBER($J1165),INDIRECT("N"&amp;($J1165+4)),"")</f>
        <v/>
      </c>
      <c r="D1165" s="291" t="str">
        <f aca="true">IF(ISNUMBER($J1165),INDIRECT("O"&amp;($J1165+4)),"")</f>
        <v/>
      </c>
      <c r="E1165" s="291" t="str">
        <f aca="true">IF(ISNUMBER($J1165),INDIRECT("P"&amp;($J1165+4)),"")</f>
        <v/>
      </c>
      <c r="F1165" s="300" t="str">
        <f aca="true">IF(ISNUMBER($J1165),INDIRECT("Q"&amp;($J1165+4)),"")</f>
        <v/>
      </c>
      <c r="G1165" s="298" t="str">
        <f aca="true">IF(ISNUMBER($J1165),INDIRECT("R"&amp;($J1165+4)),"")</f>
        <v/>
      </c>
      <c r="H1165" s="298" t="str">
        <f aca="true">IF(ISNUMBER($J1165),INDIRECT("S"&amp;($J1165+4)),"")</f>
        <v/>
      </c>
      <c r="J1165" s="292" t="str">
        <f aca="true">IF(1161&lt;=$K$1,MATCH(1160.5,INDIRECT("$K$4:$K$1374"),1),"")</f>
        <v/>
      </c>
      <c r="K1165" s="292" t="n">
        <f aca="false">$K$1156+COUNTIF($Q$1157:Q1165,"&gt;0")</f>
        <v>0</v>
      </c>
      <c r="L1165" s="292" t="str">
        <f aca="false">"Стёкла серии Elephant"&amp;" · "&amp;'Стёкла серии Elephant'!$N$301</f>
        <v>Стёкла серии Elephant · Elephant</v>
      </c>
      <c r="M1165" s="292" t="str">
        <f aca="false">IF(ISBLANK('Стёкла серии Elephant'!$O$301),"",'Стёкла серии Elephant'!$O$301)</f>
        <v>Mi Poco X2</v>
      </c>
      <c r="N1165" s="292" t="str">
        <f aca="false">""</f>
        <v/>
      </c>
      <c r="O1165" s="292" t="str">
        <f aca="false">""</f>
        <v/>
      </c>
      <c r="P1165" s="292" t="str">
        <f aca="false">IF(ISBLANK('Стёкла серии Elephant'!$P$301),"",'Стёкла серии Elephant'!$P$301)</f>
        <v>шт.</v>
      </c>
      <c r="Q1165" s="292" t="n">
        <f aca="false">N('Стёкла серии Elephant'!$R$301)</f>
        <v>0</v>
      </c>
      <c r="R1165" s="299" t="n">
        <f aca="false">IF(ISBLANK('Стёкла серии Elephant'!$Q$301),"",'Стёкла серии Elephant'!$Q$301)</f>
        <v>122.32</v>
      </c>
      <c r="S1165" s="292" t="str">
        <f aca="false">IF(ISBLANK('Стёкла серии Elephant'!$S$301),"",'Стёкла серии Elephant'!$S$301)</f>
        <v/>
      </c>
    </row>
    <row r="1166" customFormat="false" ht="66" hidden="false" customHeight="true" outlineLevel="0" collapsed="false">
      <c r="A1166" s="291" t="str">
        <f aca="true">IF(ISNUMBER($J1166),INDIRECT("L"&amp;($J1166+4)),"")</f>
        <v/>
      </c>
      <c r="B1166" s="291" t="str">
        <f aca="true">IF(ISNUMBER($J1166),INDIRECT("M"&amp;($J1166+4)),"")</f>
        <v/>
      </c>
      <c r="C1166" s="296" t="str">
        <f aca="true">IF(ISNUMBER($J1166),INDIRECT("N"&amp;($J1166+4)),"")</f>
        <v/>
      </c>
      <c r="D1166" s="291" t="str">
        <f aca="true">IF(ISNUMBER($J1166),INDIRECT("O"&amp;($J1166+4)),"")</f>
        <v/>
      </c>
      <c r="E1166" s="291" t="str">
        <f aca="true">IF(ISNUMBER($J1166),INDIRECT("P"&amp;($J1166+4)),"")</f>
        <v/>
      </c>
      <c r="F1166" s="300" t="str">
        <f aca="true">IF(ISNUMBER($J1166),INDIRECT("Q"&amp;($J1166+4)),"")</f>
        <v/>
      </c>
      <c r="G1166" s="298" t="str">
        <f aca="true">IF(ISNUMBER($J1166),INDIRECT("R"&amp;($J1166+4)),"")</f>
        <v/>
      </c>
      <c r="H1166" s="298" t="str">
        <f aca="true">IF(ISNUMBER($J1166),INDIRECT("S"&amp;($J1166+4)),"")</f>
        <v/>
      </c>
      <c r="J1166" s="292" t="str">
        <f aca="true">IF(1162&lt;=$K$1,MATCH(1161.5,INDIRECT("$K$4:$K$1374"),1),"")</f>
        <v/>
      </c>
      <c r="K1166" s="292" t="n">
        <f aca="false">$K$1156+COUNTIF($Q$1157:Q1166,"&gt;0")</f>
        <v>0</v>
      </c>
      <c r="L1166" s="292" t="str">
        <f aca="false">"Стёкла серии Elephant"&amp;" · "&amp;'Стёкла серии Elephant'!$N$302</f>
        <v>Стёкла серии Elephant · Elephant</v>
      </c>
      <c r="M1166" s="292" t="str">
        <f aca="false">IF(ISBLANK('Стёкла серии Elephant'!$O$302),"",'Стёкла серии Elephant'!$O$302)</f>
        <v>MI 11X/11i/11X PRO</v>
      </c>
      <c r="N1166" s="292" t="str">
        <f aca="false">""</f>
        <v/>
      </c>
      <c r="O1166" s="292" t="str">
        <f aca="false">""</f>
        <v/>
      </c>
      <c r="P1166" s="292" t="str">
        <f aca="false">IF(ISBLANK('Стёкла серии Elephant'!$P$302),"",'Стёкла серии Elephant'!$P$302)</f>
        <v>шт.</v>
      </c>
      <c r="Q1166" s="292" t="n">
        <f aca="false">N('Стёкла серии Elephant'!$R$302)</f>
        <v>0</v>
      </c>
      <c r="R1166" s="299" t="n">
        <f aca="false">IF(ISBLANK('Стёкла серии Elephant'!$Q$302),"",'Стёкла серии Elephant'!$Q$302)</f>
        <v>122.32</v>
      </c>
      <c r="S1166" s="292" t="str">
        <f aca="false">IF(ISBLANK('Стёкла серии Elephant'!$S$302),"",'Стёкла серии Elephant'!$S$302)</f>
        <v/>
      </c>
    </row>
    <row r="1167" customFormat="false" ht="66" hidden="false" customHeight="true" outlineLevel="0" collapsed="false">
      <c r="A1167" s="291" t="str">
        <f aca="true">IF(ISNUMBER($J1167),INDIRECT("L"&amp;($J1167+4)),"")</f>
        <v/>
      </c>
      <c r="B1167" s="291" t="str">
        <f aca="true">IF(ISNUMBER($J1167),INDIRECT("M"&amp;($J1167+4)),"")</f>
        <v/>
      </c>
      <c r="C1167" s="296" t="str">
        <f aca="true">IF(ISNUMBER($J1167),INDIRECT("N"&amp;($J1167+4)),"")</f>
        <v/>
      </c>
      <c r="D1167" s="291" t="str">
        <f aca="true">IF(ISNUMBER($J1167),INDIRECT("O"&amp;($J1167+4)),"")</f>
        <v/>
      </c>
      <c r="E1167" s="291" t="str">
        <f aca="true">IF(ISNUMBER($J1167),INDIRECT("P"&amp;($J1167+4)),"")</f>
        <v/>
      </c>
      <c r="F1167" s="300" t="str">
        <f aca="true">IF(ISNUMBER($J1167),INDIRECT("Q"&amp;($J1167+4)),"")</f>
        <v/>
      </c>
      <c r="G1167" s="298" t="str">
        <f aca="true">IF(ISNUMBER($J1167),INDIRECT("R"&amp;($J1167+4)),"")</f>
        <v/>
      </c>
      <c r="H1167" s="298" t="str">
        <f aca="true">IF(ISNUMBER($J1167),INDIRECT("S"&amp;($J1167+4)),"")</f>
        <v/>
      </c>
      <c r="J1167" s="292" t="str">
        <f aca="true">IF(1163&lt;=$K$1,MATCH(1162.5,INDIRECT("$K$4:$K$1374"),1),"")</f>
        <v/>
      </c>
      <c r="K1167" s="292" t="n">
        <f aca="false">$K$1156+COUNTIF($Q$1157:Q1167,"&gt;0")</f>
        <v>0</v>
      </c>
      <c r="L1167" s="292" t="str">
        <f aca="false">"Стёкла серии Elephant"&amp;" · "&amp;'Стёкла серии Elephant'!$N$303</f>
        <v>Стёкла серии Elephant · Elephant</v>
      </c>
      <c r="M1167" s="292" t="str">
        <f aca="false">IF(ISBLANK('Стёкла серии Elephant'!$O$303),"",'Стёкла серии Elephant'!$O$303)</f>
        <v>A530/A8-2018</v>
      </c>
      <c r="N1167" s="292" t="str">
        <f aca="false">""</f>
        <v/>
      </c>
      <c r="O1167" s="292" t="str">
        <f aca="false">""</f>
        <v/>
      </c>
      <c r="P1167" s="292" t="str">
        <f aca="false">IF(ISBLANK('Стёкла серии Elephant'!$P$303),"",'Стёкла серии Elephant'!$P$303)</f>
        <v>шт.</v>
      </c>
      <c r="Q1167" s="292" t="n">
        <f aca="false">N('Стёкла серии Elephant'!$R$303)</f>
        <v>0</v>
      </c>
      <c r="R1167" s="299" t="n">
        <f aca="false">IF(ISBLANK('Стёкла серии Elephant'!$Q$303),"",'Стёкла серии Elephant'!$Q$303)</f>
        <v>122.32</v>
      </c>
      <c r="S1167" s="292" t="str">
        <f aca="false">IF(ISBLANK('Стёкла серии Elephant'!$S$303),"",'Стёкла серии Elephant'!$S$303)</f>
        <v/>
      </c>
    </row>
    <row r="1168" customFormat="false" ht="66" hidden="false" customHeight="true" outlineLevel="0" collapsed="false">
      <c r="A1168" s="291" t="str">
        <f aca="true">IF(ISNUMBER($J1168),INDIRECT("L"&amp;($J1168+4)),"")</f>
        <v/>
      </c>
      <c r="B1168" s="291" t="str">
        <f aca="true">IF(ISNUMBER($J1168),INDIRECT("M"&amp;($J1168+4)),"")</f>
        <v/>
      </c>
      <c r="C1168" s="296" t="str">
        <f aca="true">IF(ISNUMBER($J1168),INDIRECT("N"&amp;($J1168+4)),"")</f>
        <v/>
      </c>
      <c r="D1168" s="291" t="str">
        <f aca="true">IF(ISNUMBER($J1168),INDIRECT("O"&amp;($J1168+4)),"")</f>
        <v/>
      </c>
      <c r="E1168" s="291" t="str">
        <f aca="true">IF(ISNUMBER($J1168),INDIRECT("P"&amp;($J1168+4)),"")</f>
        <v/>
      </c>
      <c r="F1168" s="300" t="str">
        <f aca="true">IF(ISNUMBER($J1168),INDIRECT("Q"&amp;($J1168+4)),"")</f>
        <v/>
      </c>
      <c r="G1168" s="298" t="str">
        <f aca="true">IF(ISNUMBER($J1168),INDIRECT("R"&amp;($J1168+4)),"")</f>
        <v/>
      </c>
      <c r="H1168" s="298" t="str">
        <f aca="true">IF(ISNUMBER($J1168),INDIRECT("S"&amp;($J1168+4)),"")</f>
        <v/>
      </c>
      <c r="J1168" s="292" t="str">
        <f aca="true">IF(1164&lt;=$K$1,MATCH(1163.5,INDIRECT("$K$4:$K$1374"),1),"")</f>
        <v/>
      </c>
      <c r="K1168" s="292" t="n">
        <f aca="false">$K$1156+COUNTIF($Q$1157:Q1168,"&gt;0")</f>
        <v>0</v>
      </c>
      <c r="L1168" s="292" t="str">
        <f aca="false">"Стёкла серии Elephant"&amp;" · "&amp;'Стёкла серии Elephant'!$N$304</f>
        <v>Стёкла серии Elephant · Elephant</v>
      </c>
      <c r="M1168" s="292" t="str">
        <f aca="false">IF(ISBLANK('Стёкла серии Elephant'!$O$304),"",'Стёкла серии Elephant'!$O$304)</f>
        <v>Realme C3(I)</v>
      </c>
      <c r="N1168" s="292" t="str">
        <f aca="false">""</f>
        <v/>
      </c>
      <c r="O1168" s="292" t="str">
        <f aca="false">""</f>
        <v/>
      </c>
      <c r="P1168" s="292" t="str">
        <f aca="false">IF(ISBLANK('Стёкла серии Elephant'!$P$304),"",'Стёкла серии Elephant'!$P$304)</f>
        <v>шт.</v>
      </c>
      <c r="Q1168" s="292" t="n">
        <f aca="false">N('Стёкла серии Elephant'!$R$304)</f>
        <v>0</v>
      </c>
      <c r="R1168" s="299" t="n">
        <f aca="false">IF(ISBLANK('Стёкла серии Elephant'!$Q$304),"",'Стёкла серии Elephant'!$Q$304)</f>
        <v>122.32</v>
      </c>
      <c r="S1168" s="292" t="str">
        <f aca="false">IF(ISBLANK('Стёкла серии Elephant'!$S$304),"",'Стёкла серии Elephant'!$S$304)</f>
        <v/>
      </c>
    </row>
    <row r="1169" customFormat="false" ht="66" hidden="false" customHeight="true" outlineLevel="0" collapsed="false">
      <c r="A1169" s="291" t="str">
        <f aca="true">IF(ISNUMBER($J1169),INDIRECT("L"&amp;($J1169+4)),"")</f>
        <v/>
      </c>
      <c r="B1169" s="291" t="str">
        <f aca="true">IF(ISNUMBER($J1169),INDIRECT("M"&amp;($J1169+4)),"")</f>
        <v/>
      </c>
      <c r="C1169" s="296" t="str">
        <f aca="true">IF(ISNUMBER($J1169),INDIRECT("N"&amp;($J1169+4)),"")</f>
        <v/>
      </c>
      <c r="D1169" s="291" t="str">
        <f aca="true">IF(ISNUMBER($J1169),INDIRECT("O"&amp;($J1169+4)),"")</f>
        <v/>
      </c>
      <c r="E1169" s="291" t="str">
        <f aca="true">IF(ISNUMBER($J1169),INDIRECT("P"&amp;($J1169+4)),"")</f>
        <v/>
      </c>
      <c r="F1169" s="300" t="str">
        <f aca="true">IF(ISNUMBER($J1169),INDIRECT("Q"&amp;($J1169+4)),"")</f>
        <v/>
      </c>
      <c r="G1169" s="298" t="str">
        <f aca="true">IF(ISNUMBER($J1169),INDIRECT("R"&amp;($J1169+4)),"")</f>
        <v/>
      </c>
      <c r="H1169" s="298" t="str">
        <f aca="true">IF(ISNUMBER($J1169),INDIRECT("S"&amp;($J1169+4)),"")</f>
        <v/>
      </c>
      <c r="J1169" s="292" t="str">
        <f aca="true">IF(1165&lt;=$K$1,MATCH(1164.5,INDIRECT("$K$4:$K$1374"),1),"")</f>
        <v/>
      </c>
      <c r="K1169" s="292" t="n">
        <f aca="false">$K$1156+COUNTIF($Q$1157:Q1169,"&gt;0")</f>
        <v>0</v>
      </c>
      <c r="L1169" s="292" t="str">
        <f aca="false">"Стёкла серии Elephant"&amp;" · "&amp;'Стёкла серии Elephant'!$N$305</f>
        <v>Стёкла серии Elephant · Elephant</v>
      </c>
      <c r="M1169" s="292" t="str">
        <f aca="false">IF(ISBLANK('Стёкла серии Elephant'!$O$305),"",'Стёкла серии Elephant'!$O$305)</f>
        <v>RENO5/5K</v>
      </c>
      <c r="N1169" s="292" t="str">
        <f aca="false">""</f>
        <v/>
      </c>
      <c r="O1169" s="292" t="str">
        <f aca="false">""</f>
        <v/>
      </c>
      <c r="P1169" s="292" t="str">
        <f aca="false">IF(ISBLANK('Стёкла серии Elephant'!$P$305),"",'Стёкла серии Elephant'!$P$305)</f>
        <v>шт.</v>
      </c>
      <c r="Q1169" s="292" t="n">
        <f aca="false">N('Стёкла серии Elephant'!$R$305)</f>
        <v>0</v>
      </c>
      <c r="R1169" s="299" t="n">
        <f aca="false">IF(ISBLANK('Стёкла серии Elephant'!$Q$305),"",'Стёкла серии Elephant'!$Q$305)</f>
        <v>122.32</v>
      </c>
      <c r="S1169" s="292" t="str">
        <f aca="false">IF(ISBLANK('Стёкла серии Elephant'!$S$305),"",'Стёкла серии Elephant'!$S$305)</f>
        <v/>
      </c>
    </row>
    <row r="1170" customFormat="false" ht="66" hidden="false" customHeight="true" outlineLevel="0" collapsed="false">
      <c r="A1170" s="291" t="str">
        <f aca="true">IF(ISNUMBER($J1170),INDIRECT("L"&amp;($J1170+4)),"")</f>
        <v/>
      </c>
      <c r="B1170" s="291" t="str">
        <f aca="true">IF(ISNUMBER($J1170),INDIRECT("M"&amp;($J1170+4)),"")</f>
        <v/>
      </c>
      <c r="C1170" s="296" t="str">
        <f aca="true">IF(ISNUMBER($J1170),INDIRECT("N"&amp;($J1170+4)),"")</f>
        <v/>
      </c>
      <c r="D1170" s="291" t="str">
        <f aca="true">IF(ISNUMBER($J1170),INDIRECT("O"&amp;($J1170+4)),"")</f>
        <v/>
      </c>
      <c r="E1170" s="291" t="str">
        <f aca="true">IF(ISNUMBER($J1170),INDIRECT("P"&amp;($J1170+4)),"")</f>
        <v/>
      </c>
      <c r="F1170" s="300" t="str">
        <f aca="true">IF(ISNUMBER($J1170),INDIRECT("Q"&amp;($J1170+4)),"")</f>
        <v/>
      </c>
      <c r="G1170" s="298" t="str">
        <f aca="true">IF(ISNUMBER($J1170),INDIRECT("R"&amp;($J1170+4)),"")</f>
        <v/>
      </c>
      <c r="H1170" s="298" t="str">
        <f aca="true">IF(ISNUMBER($J1170),INDIRECT("S"&amp;($J1170+4)),"")</f>
        <v/>
      </c>
      <c r="J1170" s="292" t="str">
        <f aca="true">IF(1166&lt;=$K$1,MATCH(1165.5,INDIRECT("$K$4:$K$1374"),1),"")</f>
        <v/>
      </c>
      <c r="K1170" s="292" t="n">
        <f aca="false">$K$1156+COUNTIF($Q$1157:Q1170,"&gt;0")</f>
        <v>0</v>
      </c>
      <c r="L1170" s="292" t="str">
        <f aca="false">"Стёкла серии Elephant"&amp;" · "&amp;'Стёкла серии Elephant'!$N$306</f>
        <v>Стёкла серии Elephant · Elephant</v>
      </c>
      <c r="M1170" s="292" t="str">
        <f aca="false">IF(ISBLANK('Стёкла серии Elephant'!$O$306),"",'Стёкла серии Elephant'!$O$306)</f>
        <v>Z1/Z1i/Z1 Lite/Z3X</v>
      </c>
      <c r="N1170" s="292" t="str">
        <f aca="false">""</f>
        <v/>
      </c>
      <c r="O1170" s="292" t="str">
        <f aca="false">""</f>
        <v/>
      </c>
      <c r="P1170" s="292" t="str">
        <f aca="false">IF(ISBLANK('Стёкла серии Elephant'!$P$306),"",'Стёкла серии Elephant'!$P$306)</f>
        <v>шт.</v>
      </c>
      <c r="Q1170" s="292" t="n">
        <f aca="false">N('Стёкла серии Elephant'!$R$306)</f>
        <v>0</v>
      </c>
      <c r="R1170" s="299" t="n">
        <f aca="false">IF(ISBLANK('Стёкла серии Elephant'!$Q$306),"",'Стёкла серии Elephant'!$Q$306)</f>
        <v>122.32</v>
      </c>
      <c r="S1170" s="292" t="str">
        <f aca="false">IF(ISBLANK('Стёкла серии Elephant'!$S$306),"",'Стёкла серии Elephant'!$S$306)</f>
        <v/>
      </c>
    </row>
    <row r="1171" customFormat="false" ht="66" hidden="false" customHeight="true" outlineLevel="0" collapsed="false">
      <c r="A1171" s="291" t="str">
        <f aca="true">IF(ISNUMBER($J1171),INDIRECT("L"&amp;($J1171+4)),"")</f>
        <v/>
      </c>
      <c r="B1171" s="291" t="str">
        <f aca="true">IF(ISNUMBER($J1171),INDIRECT("M"&amp;($J1171+4)),"")</f>
        <v/>
      </c>
      <c r="C1171" s="296" t="str">
        <f aca="true">IF(ISNUMBER($J1171),INDIRECT("N"&amp;($J1171+4)),"")</f>
        <v/>
      </c>
      <c r="D1171" s="291" t="str">
        <f aca="true">IF(ISNUMBER($J1171),INDIRECT("O"&amp;($J1171+4)),"")</f>
        <v/>
      </c>
      <c r="E1171" s="291" t="str">
        <f aca="true">IF(ISNUMBER($J1171),INDIRECT("P"&amp;($J1171+4)),"")</f>
        <v/>
      </c>
      <c r="F1171" s="300" t="str">
        <f aca="true">IF(ISNUMBER($J1171),INDIRECT("Q"&amp;($J1171+4)),"")</f>
        <v/>
      </c>
      <c r="G1171" s="298" t="str">
        <f aca="true">IF(ISNUMBER($J1171),INDIRECT("R"&amp;($J1171+4)),"")</f>
        <v/>
      </c>
      <c r="H1171" s="298" t="str">
        <f aca="true">IF(ISNUMBER($J1171),INDIRECT("S"&amp;($J1171+4)),"")</f>
        <v/>
      </c>
      <c r="J1171" s="292" t="str">
        <f aca="true">IF(1167&lt;=$K$1,MATCH(1166.5,INDIRECT("$K$4:$K$1374"),1),"")</f>
        <v/>
      </c>
      <c r="K1171" s="292" t="n">
        <f aca="false">$K$1156+COUNTIF($Q$1157:Q1171,"&gt;0")</f>
        <v>0</v>
      </c>
      <c r="L1171" s="292" t="str">
        <f aca="false">"Стёкла серии Elephant"&amp;" · "&amp;'Стёкла серии Elephant'!$N$307</f>
        <v>Стёкла серии Elephant · Elephant</v>
      </c>
      <c r="M1171" s="292" t="str">
        <f aca="false">IF(ISBLANK('Стёкла серии Elephant'!$O$307),"",'Стёкла серии Elephant'!$O$307)</f>
        <v>Nova4</v>
      </c>
      <c r="N1171" s="292" t="str">
        <f aca="false">""</f>
        <v/>
      </c>
      <c r="O1171" s="292" t="str">
        <f aca="false">""</f>
        <v/>
      </c>
      <c r="P1171" s="292" t="str">
        <f aca="false">IF(ISBLANK('Стёкла серии Elephant'!$P$307),"",'Стёкла серии Elephant'!$P$307)</f>
        <v>шт.</v>
      </c>
      <c r="Q1171" s="292" t="n">
        <f aca="false">N('Стёкла серии Elephant'!$R$307)</f>
        <v>0</v>
      </c>
      <c r="R1171" s="299" t="n">
        <f aca="false">IF(ISBLANK('Стёкла серии Elephant'!$Q$307),"",'Стёкла серии Elephant'!$Q$307)</f>
        <v>122.32</v>
      </c>
      <c r="S1171" s="292" t="str">
        <f aca="false">IF(ISBLANK('Стёкла серии Elephant'!$S$307),"",'Стёкла серии Elephant'!$S$307)</f>
        <v/>
      </c>
    </row>
    <row r="1172" customFormat="false" ht="66" hidden="false" customHeight="true" outlineLevel="0" collapsed="false">
      <c r="A1172" s="291" t="str">
        <f aca="true">IF(ISNUMBER($J1172),INDIRECT("L"&amp;($J1172+4)),"")</f>
        <v/>
      </c>
      <c r="B1172" s="291" t="str">
        <f aca="true">IF(ISNUMBER($J1172),INDIRECT("M"&amp;($J1172+4)),"")</f>
        <v/>
      </c>
      <c r="C1172" s="296" t="str">
        <f aca="true">IF(ISNUMBER($J1172),INDIRECT("N"&amp;($J1172+4)),"")</f>
        <v/>
      </c>
      <c r="D1172" s="291" t="str">
        <f aca="true">IF(ISNUMBER($J1172),INDIRECT("O"&amp;($J1172+4)),"")</f>
        <v/>
      </c>
      <c r="E1172" s="291" t="str">
        <f aca="true">IF(ISNUMBER($J1172),INDIRECT("P"&amp;($J1172+4)),"")</f>
        <v/>
      </c>
      <c r="F1172" s="300" t="str">
        <f aca="true">IF(ISNUMBER($J1172),INDIRECT("Q"&amp;($J1172+4)),"")</f>
        <v/>
      </c>
      <c r="G1172" s="298" t="str">
        <f aca="true">IF(ISNUMBER($J1172),INDIRECT("R"&amp;($J1172+4)),"")</f>
        <v/>
      </c>
      <c r="H1172" s="298" t="str">
        <f aca="true">IF(ISNUMBER($J1172),INDIRECT("S"&amp;($J1172+4)),"")</f>
        <v/>
      </c>
      <c r="J1172" s="292" t="str">
        <f aca="true">IF(1168&lt;=$K$1,MATCH(1167.5,INDIRECT("$K$4:$K$1374"),1),"")</f>
        <v/>
      </c>
      <c r="K1172" s="292" t="n">
        <f aca="false">$K$1156+COUNTIF($Q$1157:Q1172,"&gt;0")</f>
        <v>0</v>
      </c>
      <c r="L1172" s="292" t="str">
        <f aca="false">"Стёкла серии Elephant"&amp;" · "&amp;'Стёкла серии Elephant'!$N$308</f>
        <v>Стёкла серии Elephant · Elephant</v>
      </c>
      <c r="M1172" s="292" t="str">
        <f aca="false">IF(ISBLANK('Стёкла серии Elephant'!$O$308),"",'Стёкла серии Elephant'!$O$308)</f>
        <v>Honor Play 4 pro</v>
      </c>
      <c r="N1172" s="292" t="str">
        <f aca="false">""</f>
        <v/>
      </c>
      <c r="O1172" s="292" t="str">
        <f aca="false">""</f>
        <v/>
      </c>
      <c r="P1172" s="292" t="str">
        <f aca="false">IF(ISBLANK('Стёкла серии Elephant'!$P$308),"",'Стёкла серии Elephant'!$P$308)</f>
        <v>шт.</v>
      </c>
      <c r="Q1172" s="292" t="n">
        <f aca="false">N('Стёкла серии Elephant'!$R$308)</f>
        <v>0</v>
      </c>
      <c r="R1172" s="299" t="n">
        <f aca="false">IF(ISBLANK('Стёкла серии Elephant'!$Q$308),"",'Стёкла серии Elephant'!$Q$308)</f>
        <v>122.32</v>
      </c>
      <c r="S1172" s="292" t="str">
        <f aca="false">IF(ISBLANK('Стёкла серии Elephant'!$S$308),"",'Стёкла серии Elephant'!$S$308)</f>
        <v/>
      </c>
    </row>
    <row r="1173" customFormat="false" ht="66" hidden="false" customHeight="true" outlineLevel="0" collapsed="false">
      <c r="A1173" s="291" t="str">
        <f aca="true">IF(ISNUMBER($J1173),INDIRECT("L"&amp;($J1173+4)),"")</f>
        <v/>
      </c>
      <c r="B1173" s="291" t="str">
        <f aca="true">IF(ISNUMBER($J1173),INDIRECT("M"&amp;($J1173+4)),"")</f>
        <v/>
      </c>
      <c r="C1173" s="296" t="str">
        <f aca="true">IF(ISNUMBER($J1173),INDIRECT("N"&amp;($J1173+4)),"")</f>
        <v/>
      </c>
      <c r="D1173" s="291" t="str">
        <f aca="true">IF(ISNUMBER($J1173),INDIRECT("O"&amp;($J1173+4)),"")</f>
        <v/>
      </c>
      <c r="E1173" s="291" t="str">
        <f aca="true">IF(ISNUMBER($J1173),INDIRECT("P"&amp;($J1173+4)),"")</f>
        <v/>
      </c>
      <c r="F1173" s="300" t="str">
        <f aca="true">IF(ISNUMBER($J1173),INDIRECT("Q"&amp;($J1173+4)),"")</f>
        <v/>
      </c>
      <c r="G1173" s="298" t="str">
        <f aca="true">IF(ISNUMBER($J1173),INDIRECT("R"&amp;($J1173+4)),"")</f>
        <v/>
      </c>
      <c r="H1173" s="298" t="str">
        <f aca="true">IF(ISNUMBER($J1173),INDIRECT("S"&amp;($J1173+4)),"")</f>
        <v/>
      </c>
      <c r="J1173" s="292" t="str">
        <f aca="true">IF(1169&lt;=$K$1,MATCH(1168.5,INDIRECT("$K$4:$K$1374"),1),"")</f>
        <v/>
      </c>
      <c r="K1173" s="292" t="n">
        <f aca="false">$K$1156+COUNTIF($Q$1157:Q1173,"&gt;0")</f>
        <v>0</v>
      </c>
      <c r="L1173" s="292" t="str">
        <f aca="false">"Стёкла серии Elephant"&amp;" · "&amp;'Стёкла серии Elephant'!$N$309</f>
        <v>Стёкла серии Elephant · Elephant</v>
      </c>
      <c r="M1173" s="292" t="str">
        <f aca="false">IF(ISBLANK('Стёкла серии Elephant'!$O$309),"",'Стёкла серии Elephant'!$O$309)</f>
        <v>Mi Poco X3</v>
      </c>
      <c r="N1173" s="292" t="str">
        <f aca="false">""</f>
        <v/>
      </c>
      <c r="O1173" s="292" t="str">
        <f aca="false">""</f>
        <v/>
      </c>
      <c r="P1173" s="292" t="str">
        <f aca="false">IF(ISBLANK('Стёкла серии Elephant'!$P$309),"",'Стёкла серии Elephant'!$P$309)</f>
        <v>шт.</v>
      </c>
      <c r="Q1173" s="292" t="n">
        <f aca="false">N('Стёкла серии Elephant'!$R$309)</f>
        <v>0</v>
      </c>
      <c r="R1173" s="299" t="n">
        <f aca="false">IF(ISBLANK('Стёкла серии Elephant'!$Q$309),"",'Стёкла серии Elephant'!$Q$309)</f>
        <v>122.32</v>
      </c>
      <c r="S1173" s="292" t="str">
        <f aca="false">IF(ISBLANK('Стёкла серии Elephant'!$S$309),"",'Стёкла серии Elephant'!$S$309)</f>
        <v/>
      </c>
    </row>
    <row r="1174" customFormat="false" ht="66" hidden="false" customHeight="true" outlineLevel="0" collapsed="false">
      <c r="A1174" s="291" t="str">
        <f aca="true">IF(ISNUMBER($J1174),INDIRECT("L"&amp;($J1174+4)),"")</f>
        <v/>
      </c>
      <c r="B1174" s="291" t="str">
        <f aca="true">IF(ISNUMBER($J1174),INDIRECT("M"&amp;($J1174+4)),"")</f>
        <v/>
      </c>
      <c r="C1174" s="296" t="str">
        <f aca="true">IF(ISNUMBER($J1174),INDIRECT("N"&amp;($J1174+4)),"")</f>
        <v/>
      </c>
      <c r="D1174" s="291" t="str">
        <f aca="true">IF(ISNUMBER($J1174),INDIRECT("O"&amp;($J1174+4)),"")</f>
        <v/>
      </c>
      <c r="E1174" s="291" t="str">
        <f aca="true">IF(ISNUMBER($J1174),INDIRECT("P"&amp;($J1174+4)),"")</f>
        <v/>
      </c>
      <c r="F1174" s="300" t="str">
        <f aca="true">IF(ISNUMBER($J1174),INDIRECT("Q"&amp;($J1174+4)),"")</f>
        <v/>
      </c>
      <c r="G1174" s="298" t="str">
        <f aca="true">IF(ISNUMBER($J1174),INDIRECT("R"&amp;($J1174+4)),"")</f>
        <v/>
      </c>
      <c r="H1174" s="298" t="str">
        <f aca="true">IF(ISNUMBER($J1174),INDIRECT("S"&amp;($J1174+4)),"")</f>
        <v/>
      </c>
      <c r="J1174" s="292" t="str">
        <f aca="true">IF(1170&lt;=$K$1,MATCH(1169.5,INDIRECT("$K$4:$K$1374"),1),"")</f>
        <v/>
      </c>
      <c r="K1174" s="292" t="n">
        <f aca="false">$K$1156+COUNTIF($Q$1157:Q1174,"&gt;0")</f>
        <v>0</v>
      </c>
      <c r="L1174" s="292" t="str">
        <f aca="false">"Стёкла серии Elephant"&amp;" · "&amp;'Стёкла серии Elephant'!$N$310</f>
        <v>Стёкла серии Elephant · Elephant</v>
      </c>
      <c r="M1174" s="292" t="str">
        <f aca="false">IF(ISBLANK('Стёкла серии Elephant'!$O$310),"",'Стёкла серии Elephant'!$O$310)</f>
        <v>A730/A8 Plus-2018</v>
      </c>
      <c r="N1174" s="292" t="str">
        <f aca="false">""</f>
        <v/>
      </c>
      <c r="O1174" s="292" t="str">
        <f aca="false">""</f>
        <v/>
      </c>
      <c r="P1174" s="292" t="str">
        <f aca="false">IF(ISBLANK('Стёкла серии Elephant'!$P$310),"",'Стёкла серии Elephant'!$P$310)</f>
        <v>шт.</v>
      </c>
      <c r="Q1174" s="292" t="n">
        <f aca="false">N('Стёкла серии Elephant'!$R$310)</f>
        <v>0</v>
      </c>
      <c r="R1174" s="299" t="n">
        <f aca="false">IF(ISBLANK('Стёкла серии Elephant'!$Q$310),"",'Стёкла серии Elephant'!$Q$310)</f>
        <v>122.32</v>
      </c>
      <c r="S1174" s="292" t="str">
        <f aca="false">IF(ISBLANK('Стёкла серии Elephant'!$S$310),"",'Стёкла серии Elephant'!$S$310)</f>
        <v/>
      </c>
    </row>
    <row r="1175" customFormat="false" ht="66" hidden="false" customHeight="true" outlineLevel="0" collapsed="false">
      <c r="A1175" s="291" t="str">
        <f aca="true">IF(ISNUMBER($J1175),INDIRECT("L"&amp;($J1175+4)),"")</f>
        <v/>
      </c>
      <c r="B1175" s="291" t="str">
        <f aca="true">IF(ISNUMBER($J1175),INDIRECT("M"&amp;($J1175+4)),"")</f>
        <v/>
      </c>
      <c r="C1175" s="296" t="str">
        <f aca="true">IF(ISNUMBER($J1175),INDIRECT("N"&amp;($J1175+4)),"")</f>
        <v/>
      </c>
      <c r="D1175" s="291" t="str">
        <f aca="true">IF(ISNUMBER($J1175),INDIRECT("O"&amp;($J1175+4)),"")</f>
        <v/>
      </c>
      <c r="E1175" s="291" t="str">
        <f aca="true">IF(ISNUMBER($J1175),INDIRECT("P"&amp;($J1175+4)),"")</f>
        <v/>
      </c>
      <c r="F1175" s="300" t="str">
        <f aca="true">IF(ISNUMBER($J1175),INDIRECT("Q"&amp;($J1175+4)),"")</f>
        <v/>
      </c>
      <c r="G1175" s="298" t="str">
        <f aca="true">IF(ISNUMBER($J1175),INDIRECT("R"&amp;($J1175+4)),"")</f>
        <v/>
      </c>
      <c r="H1175" s="298" t="str">
        <f aca="true">IF(ISNUMBER($J1175),INDIRECT("S"&amp;($J1175+4)),"")</f>
        <v/>
      </c>
      <c r="J1175" s="292" t="str">
        <f aca="true">IF(1171&lt;=$K$1,MATCH(1170.5,INDIRECT("$K$4:$K$1374"),1),"")</f>
        <v/>
      </c>
      <c r="K1175" s="292" t="n">
        <f aca="false">$K$1156+COUNTIF($Q$1157:Q1175,"&gt;0")</f>
        <v>0</v>
      </c>
      <c r="L1175" s="292" t="str">
        <f aca="false">"Стёкла серии Elephant"&amp;" · "&amp;'Стёкла серии Elephant'!$N$311</f>
        <v>Стёкла серии Elephant · Elephant</v>
      </c>
      <c r="M1175" s="292" t="str">
        <f aca="false">IF(ISBLANK('Стёкла серии Elephant'!$O$311),"",'Стёкла серии Elephant'!$O$311)</f>
        <v>Realme 2 Pro</v>
      </c>
      <c r="N1175" s="292" t="str">
        <f aca="false">""</f>
        <v/>
      </c>
      <c r="O1175" s="292" t="str">
        <f aca="false">""</f>
        <v/>
      </c>
      <c r="P1175" s="292" t="str">
        <f aca="false">IF(ISBLANK('Стёкла серии Elephant'!$P$311),"",'Стёкла серии Elephant'!$P$311)</f>
        <v>шт.</v>
      </c>
      <c r="Q1175" s="292" t="n">
        <f aca="false">N('Стёкла серии Elephant'!$R$311)</f>
        <v>0</v>
      </c>
      <c r="R1175" s="299" t="n">
        <f aca="false">IF(ISBLANK('Стёкла серии Elephant'!$Q$311),"",'Стёкла серии Elephant'!$Q$311)</f>
        <v>122.32</v>
      </c>
      <c r="S1175" s="292" t="str">
        <f aca="false">IF(ISBLANK('Стёкла серии Elephant'!$S$311),"",'Стёкла серии Elephant'!$S$311)</f>
        <v/>
      </c>
    </row>
    <row r="1176" customFormat="false" ht="66" hidden="false" customHeight="true" outlineLevel="0" collapsed="false">
      <c r="A1176" s="291" t="str">
        <f aca="true">IF(ISNUMBER($J1176),INDIRECT("L"&amp;($J1176+4)),"")</f>
        <v/>
      </c>
      <c r="B1176" s="291" t="str">
        <f aca="true">IF(ISNUMBER($J1176),INDIRECT("M"&amp;($J1176+4)),"")</f>
        <v/>
      </c>
      <c r="C1176" s="296" t="str">
        <f aca="true">IF(ISNUMBER($J1176),INDIRECT("N"&amp;($J1176+4)),"")</f>
        <v/>
      </c>
      <c r="D1176" s="291" t="str">
        <f aca="true">IF(ISNUMBER($J1176),INDIRECT("O"&amp;($J1176+4)),"")</f>
        <v/>
      </c>
      <c r="E1176" s="291" t="str">
        <f aca="true">IF(ISNUMBER($J1176),INDIRECT("P"&amp;($J1176+4)),"")</f>
        <v/>
      </c>
      <c r="F1176" s="300" t="str">
        <f aca="true">IF(ISNUMBER($J1176),INDIRECT("Q"&amp;($J1176+4)),"")</f>
        <v/>
      </c>
      <c r="G1176" s="298" t="str">
        <f aca="true">IF(ISNUMBER($J1176),INDIRECT("R"&amp;($J1176+4)),"")</f>
        <v/>
      </c>
      <c r="H1176" s="298" t="str">
        <f aca="true">IF(ISNUMBER($J1176),INDIRECT("S"&amp;($J1176+4)),"")</f>
        <v/>
      </c>
      <c r="J1176" s="292" t="str">
        <f aca="true">IF(1172&lt;=$K$1,MATCH(1171.5,INDIRECT("$K$4:$K$1374"),1),"")</f>
        <v/>
      </c>
      <c r="K1176" s="292" t="n">
        <f aca="false">$K$1156+COUNTIF($Q$1157:Q1176,"&gt;0")</f>
        <v>0</v>
      </c>
      <c r="L1176" s="292" t="str">
        <f aca="false">"Стёкла серии Elephant"&amp;" · "&amp;'Стёкла серии Elephant'!$N$312</f>
        <v>Стёкла серии Elephant · Elephant</v>
      </c>
      <c r="M1176" s="292" t="str">
        <f aca="false">IF(ISBLANK('Стёкла серии Elephant'!$O$312),"",'Стёкла серии Elephant'!$O$312)</f>
        <v>RENO 5F</v>
      </c>
      <c r="N1176" s="292" t="str">
        <f aca="false">""</f>
        <v/>
      </c>
      <c r="O1176" s="292" t="str">
        <f aca="false">""</f>
        <v/>
      </c>
      <c r="P1176" s="292" t="str">
        <f aca="false">IF(ISBLANK('Стёкла серии Elephant'!$P$312),"",'Стёкла серии Elephant'!$P$312)</f>
        <v>шт.</v>
      </c>
      <c r="Q1176" s="292" t="n">
        <f aca="false">N('Стёкла серии Elephant'!$R$312)</f>
        <v>0</v>
      </c>
      <c r="R1176" s="299" t="n">
        <f aca="false">IF(ISBLANK('Стёкла серии Elephant'!$Q$312),"",'Стёкла серии Elephant'!$Q$312)</f>
        <v>122.32</v>
      </c>
      <c r="S1176" s="292" t="str">
        <f aca="false">IF(ISBLANK('Стёкла серии Elephant'!$S$312),"",'Стёкла серии Elephant'!$S$312)</f>
        <v/>
      </c>
    </row>
    <row r="1177" customFormat="false" ht="66" hidden="false" customHeight="true" outlineLevel="0" collapsed="false">
      <c r="A1177" s="291" t="str">
        <f aca="true">IF(ISNUMBER($J1177),INDIRECT("L"&amp;($J1177+4)),"")</f>
        <v/>
      </c>
      <c r="B1177" s="291" t="str">
        <f aca="true">IF(ISNUMBER($J1177),INDIRECT("M"&amp;($J1177+4)),"")</f>
        <v/>
      </c>
      <c r="C1177" s="296" t="str">
        <f aca="true">IF(ISNUMBER($J1177),INDIRECT("N"&amp;($J1177+4)),"")</f>
        <v/>
      </c>
      <c r="D1177" s="291" t="str">
        <f aca="true">IF(ISNUMBER($J1177),INDIRECT("O"&amp;($J1177+4)),"")</f>
        <v/>
      </c>
      <c r="E1177" s="291" t="str">
        <f aca="true">IF(ISNUMBER($J1177),INDIRECT("P"&amp;($J1177+4)),"")</f>
        <v/>
      </c>
      <c r="F1177" s="300" t="str">
        <f aca="true">IF(ISNUMBER($J1177),INDIRECT("Q"&amp;($J1177+4)),"")</f>
        <v/>
      </c>
      <c r="G1177" s="298" t="str">
        <f aca="true">IF(ISNUMBER($J1177),INDIRECT("R"&amp;($J1177+4)),"")</f>
        <v/>
      </c>
      <c r="H1177" s="298" t="str">
        <f aca="true">IF(ISNUMBER($J1177),INDIRECT("S"&amp;($J1177+4)),"")</f>
        <v/>
      </c>
      <c r="J1177" s="292" t="str">
        <f aca="true">IF(1173&lt;=$K$1,MATCH(1172.5,INDIRECT("$K$4:$K$1374"),1),"")</f>
        <v/>
      </c>
      <c r="K1177" s="292" t="n">
        <f aca="false">$K$1156+COUNTIF($Q$1157:Q1177,"&gt;0")</f>
        <v>0</v>
      </c>
      <c r="L1177" s="292" t="str">
        <f aca="false">"Стёкла серии Elephant"&amp;" · "&amp;'Стёкла серии Elephant'!$N$313</f>
        <v>Стёкла серии Elephant · Elephant</v>
      </c>
      <c r="M1177" s="292" t="str">
        <f aca="false">IF(ISBLANK('Стёкла серии Elephant'!$O$313),"",'Стёкла серии Elephant'!$O$313)</f>
        <v>iQOO Pro</v>
      </c>
      <c r="N1177" s="292" t="str">
        <f aca="false">""</f>
        <v/>
      </c>
      <c r="O1177" s="292" t="str">
        <f aca="false">""</f>
        <v/>
      </c>
      <c r="P1177" s="292" t="str">
        <f aca="false">IF(ISBLANK('Стёкла серии Elephant'!$P$313),"",'Стёкла серии Elephant'!$P$313)</f>
        <v>шт.</v>
      </c>
      <c r="Q1177" s="292" t="n">
        <f aca="false">N('Стёкла серии Elephant'!$R$313)</f>
        <v>0</v>
      </c>
      <c r="R1177" s="299" t="n">
        <f aca="false">IF(ISBLANK('Стёкла серии Elephant'!$Q$313),"",'Стёкла серии Elephant'!$Q$313)</f>
        <v>122.32</v>
      </c>
      <c r="S1177" s="292" t="str">
        <f aca="false">IF(ISBLANK('Стёкла серии Elephant'!$S$313),"",'Стёкла серии Elephant'!$S$313)</f>
        <v/>
      </c>
    </row>
    <row r="1178" customFormat="false" ht="66" hidden="false" customHeight="true" outlineLevel="0" collapsed="false">
      <c r="A1178" s="291" t="str">
        <f aca="true">IF(ISNUMBER($J1178),INDIRECT("L"&amp;($J1178+4)),"")</f>
        <v/>
      </c>
      <c r="B1178" s="291" t="str">
        <f aca="true">IF(ISNUMBER($J1178),INDIRECT("M"&amp;($J1178+4)),"")</f>
        <v/>
      </c>
      <c r="C1178" s="296" t="str">
        <f aca="true">IF(ISNUMBER($J1178),INDIRECT("N"&amp;($J1178+4)),"")</f>
        <v/>
      </c>
      <c r="D1178" s="291" t="str">
        <f aca="true">IF(ISNUMBER($J1178),INDIRECT("O"&amp;($J1178+4)),"")</f>
        <v/>
      </c>
      <c r="E1178" s="291" t="str">
        <f aca="true">IF(ISNUMBER($J1178),INDIRECT("P"&amp;($J1178+4)),"")</f>
        <v/>
      </c>
      <c r="F1178" s="300" t="str">
        <f aca="true">IF(ISNUMBER($J1178),INDIRECT("Q"&amp;($J1178+4)),"")</f>
        <v/>
      </c>
      <c r="G1178" s="298" t="str">
        <f aca="true">IF(ISNUMBER($J1178),INDIRECT("R"&amp;($J1178+4)),"")</f>
        <v/>
      </c>
      <c r="H1178" s="298" t="str">
        <f aca="true">IF(ISNUMBER($J1178),INDIRECT("S"&amp;($J1178+4)),"")</f>
        <v/>
      </c>
      <c r="J1178" s="292" t="str">
        <f aca="true">IF(1174&lt;=$K$1,MATCH(1173.5,INDIRECT("$K$4:$K$1374"),1),"")</f>
        <v/>
      </c>
      <c r="K1178" s="292" t="n">
        <f aca="false">$K$1156+COUNTIF($Q$1157:Q1178,"&gt;0")</f>
        <v>0</v>
      </c>
      <c r="L1178" s="292" t="str">
        <f aca="false">"Стёкла серии Elephant"&amp;" · "&amp;'Стёкла серии Elephant'!$N$314</f>
        <v>Стёкла серии Elephant · Elephant</v>
      </c>
      <c r="M1178" s="292" t="str">
        <f aca="false">IF(ISBLANK('Стёкла серии Elephant'!$O$314),"",'Стёкла серии Elephant'!$O$314)</f>
        <v>Nova3/Nova3i/Mate20 Lite/Maimang7</v>
      </c>
      <c r="N1178" s="292" t="str">
        <f aca="false">""</f>
        <v/>
      </c>
      <c r="O1178" s="292" t="str">
        <f aca="false">""</f>
        <v/>
      </c>
      <c r="P1178" s="292" t="str">
        <f aca="false">IF(ISBLANK('Стёкла серии Elephant'!$P$314),"",'Стёкла серии Elephant'!$P$314)</f>
        <v>шт.</v>
      </c>
      <c r="Q1178" s="292" t="n">
        <f aca="false">N('Стёкла серии Elephant'!$R$314)</f>
        <v>0</v>
      </c>
      <c r="R1178" s="299" t="n">
        <f aca="false">IF(ISBLANK('Стёкла серии Elephant'!$Q$314),"",'Стёкла серии Elephant'!$Q$314)</f>
        <v>122.32</v>
      </c>
      <c r="S1178" s="292" t="str">
        <f aca="false">IF(ISBLANK('Стёкла серии Elephant'!$S$314),"",'Стёкла серии Elephant'!$S$314)</f>
        <v/>
      </c>
    </row>
    <row r="1179" customFormat="false" ht="66" hidden="false" customHeight="true" outlineLevel="0" collapsed="false">
      <c r="A1179" s="291" t="str">
        <f aca="true">IF(ISNUMBER($J1179),INDIRECT("L"&amp;($J1179+4)),"")</f>
        <v/>
      </c>
      <c r="B1179" s="291" t="str">
        <f aca="true">IF(ISNUMBER($J1179),INDIRECT("M"&amp;($J1179+4)),"")</f>
        <v/>
      </c>
      <c r="C1179" s="296" t="str">
        <f aca="true">IF(ISNUMBER($J1179),INDIRECT("N"&amp;($J1179+4)),"")</f>
        <v/>
      </c>
      <c r="D1179" s="291" t="str">
        <f aca="true">IF(ISNUMBER($J1179),INDIRECT("O"&amp;($J1179+4)),"")</f>
        <v/>
      </c>
      <c r="E1179" s="291" t="str">
        <f aca="true">IF(ISNUMBER($J1179),INDIRECT("P"&amp;($J1179+4)),"")</f>
        <v/>
      </c>
      <c r="F1179" s="300" t="str">
        <f aca="true">IF(ISNUMBER($J1179),INDIRECT("Q"&amp;($J1179+4)),"")</f>
        <v/>
      </c>
      <c r="G1179" s="298" t="str">
        <f aca="true">IF(ISNUMBER($J1179),INDIRECT("R"&amp;($J1179+4)),"")</f>
        <v/>
      </c>
      <c r="H1179" s="298" t="str">
        <f aca="true">IF(ISNUMBER($J1179),INDIRECT("S"&amp;($J1179+4)),"")</f>
        <v/>
      </c>
      <c r="J1179" s="292" t="str">
        <f aca="true">IF(1175&lt;=$K$1,MATCH(1174.5,INDIRECT("$K$4:$K$1374"),1),"")</f>
        <v/>
      </c>
      <c r="K1179" s="292" t="n">
        <f aca="false">$K$1156+COUNTIF($Q$1157:Q1179,"&gt;0")</f>
        <v>0</v>
      </c>
      <c r="L1179" s="292" t="str">
        <f aca="false">"Стёкла серии Elephant"&amp;" · "&amp;'Стёкла серии Elephant'!$N$315</f>
        <v>Стёкла серии Elephant · Elephant</v>
      </c>
      <c r="M1179" s="292" t="str">
        <f aca="false">IF(ISBLANK('Стёкла серии Elephant'!$O$315),"",'Стёкла серии Elephant'!$O$315)</f>
        <v>Honor play 4</v>
      </c>
      <c r="N1179" s="292" t="str">
        <f aca="false">""</f>
        <v/>
      </c>
      <c r="O1179" s="292" t="str">
        <f aca="false">""</f>
        <v/>
      </c>
      <c r="P1179" s="292" t="str">
        <f aca="false">IF(ISBLANK('Стёкла серии Elephant'!$P$315),"",'Стёкла серии Elephant'!$P$315)</f>
        <v>шт.</v>
      </c>
      <c r="Q1179" s="292" t="n">
        <f aca="false">N('Стёкла серии Elephant'!$R$315)</f>
        <v>0</v>
      </c>
      <c r="R1179" s="299" t="n">
        <f aca="false">IF(ISBLANK('Стёкла серии Elephant'!$Q$315),"",'Стёкла серии Elephant'!$Q$315)</f>
        <v>122.32</v>
      </c>
      <c r="S1179" s="292" t="str">
        <f aca="false">IF(ISBLANK('Стёкла серии Elephant'!$S$315),"",'Стёкла серии Elephant'!$S$315)</f>
        <v/>
      </c>
    </row>
    <row r="1180" customFormat="false" ht="66" hidden="false" customHeight="true" outlineLevel="0" collapsed="false">
      <c r="A1180" s="291" t="str">
        <f aca="true">IF(ISNUMBER($J1180),INDIRECT("L"&amp;($J1180+4)),"")</f>
        <v/>
      </c>
      <c r="B1180" s="291" t="str">
        <f aca="true">IF(ISNUMBER($J1180),INDIRECT("M"&amp;($J1180+4)),"")</f>
        <v/>
      </c>
      <c r="C1180" s="296" t="str">
        <f aca="true">IF(ISNUMBER($J1180),INDIRECT("N"&amp;($J1180+4)),"")</f>
        <v/>
      </c>
      <c r="D1180" s="291" t="str">
        <f aca="true">IF(ISNUMBER($J1180),INDIRECT("O"&amp;($J1180+4)),"")</f>
        <v/>
      </c>
      <c r="E1180" s="291" t="str">
        <f aca="true">IF(ISNUMBER($J1180),INDIRECT("P"&amp;($J1180+4)),"")</f>
        <v/>
      </c>
      <c r="F1180" s="300" t="str">
        <f aca="true">IF(ISNUMBER($J1180),INDIRECT("Q"&amp;($J1180+4)),"")</f>
        <v/>
      </c>
      <c r="G1180" s="298" t="str">
        <f aca="true">IF(ISNUMBER($J1180),INDIRECT("R"&amp;($J1180+4)),"")</f>
        <v/>
      </c>
      <c r="H1180" s="298" t="str">
        <f aca="true">IF(ISNUMBER($J1180),INDIRECT("S"&amp;($J1180+4)),"")</f>
        <v/>
      </c>
      <c r="J1180" s="292" t="str">
        <f aca="true">IF(1176&lt;=$K$1,MATCH(1175.5,INDIRECT("$K$4:$K$1374"),1),"")</f>
        <v/>
      </c>
      <c r="K1180" s="292" t="n">
        <f aca="false">$K$1156+COUNTIF($Q$1157:Q1180,"&gt;0")</f>
        <v>0</v>
      </c>
      <c r="L1180" s="292" t="str">
        <f aca="false">"Стёкла серии Elephant"&amp;" · "&amp;'Стёкла серии Elephant'!$N$316</f>
        <v>Стёкла серии Elephant · Elephant</v>
      </c>
      <c r="M1180" s="292" t="str">
        <f aca="false">IF(ISBLANK('Стёкла серии Elephant'!$O$316),"",'Стёкла серии Elephant'!$O$316)</f>
        <v>Mi Poco X3 NFC</v>
      </c>
      <c r="N1180" s="292" t="str">
        <f aca="false">""</f>
        <v/>
      </c>
      <c r="O1180" s="292" t="str">
        <f aca="false">""</f>
        <v/>
      </c>
      <c r="P1180" s="292" t="str">
        <f aca="false">IF(ISBLANK('Стёкла серии Elephant'!$P$316),"",'Стёкла серии Elephant'!$P$316)</f>
        <v>шт.</v>
      </c>
      <c r="Q1180" s="292" t="n">
        <f aca="false">N('Стёкла серии Elephant'!$R$316)</f>
        <v>0</v>
      </c>
      <c r="R1180" s="299" t="n">
        <f aca="false">IF(ISBLANK('Стёкла серии Elephant'!$Q$316),"",'Стёкла серии Elephant'!$Q$316)</f>
        <v>122.32</v>
      </c>
      <c r="S1180" s="292" t="str">
        <f aca="false">IF(ISBLANK('Стёкла серии Elephant'!$S$316),"",'Стёкла серии Elephant'!$S$316)</f>
        <v/>
      </c>
    </row>
    <row r="1181" customFormat="false" ht="66" hidden="false" customHeight="true" outlineLevel="0" collapsed="false">
      <c r="A1181" s="291" t="str">
        <f aca="true">IF(ISNUMBER($J1181),INDIRECT("L"&amp;($J1181+4)),"")</f>
        <v/>
      </c>
      <c r="B1181" s="291" t="str">
        <f aca="true">IF(ISNUMBER($J1181),INDIRECT("M"&amp;($J1181+4)),"")</f>
        <v/>
      </c>
      <c r="C1181" s="296" t="str">
        <f aca="true">IF(ISNUMBER($J1181),INDIRECT("N"&amp;($J1181+4)),"")</f>
        <v/>
      </c>
      <c r="D1181" s="291" t="str">
        <f aca="true">IF(ISNUMBER($J1181),INDIRECT("O"&amp;($J1181+4)),"")</f>
        <v/>
      </c>
      <c r="E1181" s="291" t="str">
        <f aca="true">IF(ISNUMBER($J1181),INDIRECT("P"&amp;($J1181+4)),"")</f>
        <v/>
      </c>
      <c r="F1181" s="300" t="str">
        <f aca="true">IF(ISNUMBER($J1181),INDIRECT("Q"&amp;($J1181+4)),"")</f>
        <v/>
      </c>
      <c r="G1181" s="298" t="str">
        <f aca="true">IF(ISNUMBER($J1181),INDIRECT("R"&amp;($J1181+4)),"")</f>
        <v/>
      </c>
      <c r="H1181" s="298" t="str">
        <f aca="true">IF(ISNUMBER($J1181),INDIRECT("S"&amp;($J1181+4)),"")</f>
        <v/>
      </c>
      <c r="J1181" s="292" t="str">
        <f aca="true">IF(1177&lt;=$K$1,MATCH(1176.5,INDIRECT("$K$4:$K$1374"),1),"")</f>
        <v/>
      </c>
      <c r="K1181" s="292" t="n">
        <f aca="false">$K$1156+COUNTIF($Q$1157:Q1181,"&gt;0")</f>
        <v>0</v>
      </c>
      <c r="L1181" s="292" t="str">
        <f aca="false">"Стёкла серии Elephant"&amp;" · "&amp;'Стёкла серии Elephant'!$N$317</f>
        <v>Стёкла серии Elephant · Elephant</v>
      </c>
      <c r="M1181" s="292" t="str">
        <f aca="false">IF(ISBLANK('Стёкла серии Elephant'!$O$317),"",'Стёкла серии Elephant'!$O$317)</f>
        <v>A6-2018</v>
      </c>
      <c r="N1181" s="292" t="str">
        <f aca="false">""</f>
        <v/>
      </c>
      <c r="O1181" s="292" t="str">
        <f aca="false">""</f>
        <v/>
      </c>
      <c r="P1181" s="292" t="str">
        <f aca="false">IF(ISBLANK('Стёкла серии Elephant'!$P$317),"",'Стёкла серии Elephant'!$P$317)</f>
        <v>шт.</v>
      </c>
      <c r="Q1181" s="292" t="n">
        <f aca="false">N('Стёкла серии Elephant'!$R$317)</f>
        <v>0</v>
      </c>
      <c r="R1181" s="299" t="n">
        <f aca="false">IF(ISBLANK('Стёкла серии Elephant'!$Q$317),"",'Стёкла серии Elephant'!$Q$317)</f>
        <v>122.32</v>
      </c>
      <c r="S1181" s="292" t="str">
        <f aca="false">IF(ISBLANK('Стёкла серии Elephant'!$S$317),"",'Стёкла серии Elephant'!$S$317)</f>
        <v/>
      </c>
    </row>
    <row r="1182" customFormat="false" ht="66" hidden="false" customHeight="true" outlineLevel="0" collapsed="false">
      <c r="A1182" s="291" t="str">
        <f aca="true">IF(ISNUMBER($J1182),INDIRECT("L"&amp;($J1182+4)),"")</f>
        <v/>
      </c>
      <c r="B1182" s="291" t="str">
        <f aca="true">IF(ISNUMBER($J1182),INDIRECT("M"&amp;($J1182+4)),"")</f>
        <v/>
      </c>
      <c r="C1182" s="296" t="str">
        <f aca="true">IF(ISNUMBER($J1182),INDIRECT("N"&amp;($J1182+4)),"")</f>
        <v/>
      </c>
      <c r="D1182" s="291" t="str">
        <f aca="true">IF(ISNUMBER($J1182),INDIRECT("O"&amp;($J1182+4)),"")</f>
        <v/>
      </c>
      <c r="E1182" s="291" t="str">
        <f aca="true">IF(ISNUMBER($J1182),INDIRECT("P"&amp;($J1182+4)),"")</f>
        <v/>
      </c>
      <c r="F1182" s="300" t="str">
        <f aca="true">IF(ISNUMBER($J1182),INDIRECT("Q"&amp;($J1182+4)),"")</f>
        <v/>
      </c>
      <c r="G1182" s="298" t="str">
        <f aca="true">IF(ISNUMBER($J1182),INDIRECT("R"&amp;($J1182+4)),"")</f>
        <v/>
      </c>
      <c r="H1182" s="298" t="str">
        <f aca="true">IF(ISNUMBER($J1182),INDIRECT("S"&amp;($J1182+4)),"")</f>
        <v/>
      </c>
      <c r="J1182" s="292" t="str">
        <f aca="true">IF(1178&lt;=$K$1,MATCH(1177.5,INDIRECT("$K$4:$K$1374"),1),"")</f>
        <v/>
      </c>
      <c r="K1182" s="292" t="n">
        <f aca="false">$K$1156+COUNTIF($Q$1157:Q1182,"&gt;0")</f>
        <v>0</v>
      </c>
      <c r="L1182" s="292" t="str">
        <f aca="false">"Стёкла серии Elephant"&amp;" · "&amp;'Стёкла серии Elephant'!$N$318</f>
        <v>Стёкла серии Elephant · Elephant</v>
      </c>
      <c r="M1182" s="292" t="str">
        <f aca="false">IF(ISBLANK('Стёкла серии Elephant'!$O$318),"",'Стёкла серии Elephant'!$O$318)</f>
        <v>Realme 2</v>
      </c>
      <c r="N1182" s="292" t="str">
        <f aca="false">""</f>
        <v/>
      </c>
      <c r="O1182" s="292" t="str">
        <f aca="false">""</f>
        <v/>
      </c>
      <c r="P1182" s="292" t="str">
        <f aca="false">IF(ISBLANK('Стёкла серии Elephant'!$P$318),"",'Стёкла серии Elephant'!$P$318)</f>
        <v>шт.</v>
      </c>
      <c r="Q1182" s="292" t="n">
        <f aca="false">N('Стёкла серии Elephant'!$R$318)</f>
        <v>0</v>
      </c>
      <c r="R1182" s="299" t="n">
        <f aca="false">IF(ISBLANK('Стёкла серии Elephant'!$Q$318),"",'Стёкла серии Elephant'!$Q$318)</f>
        <v>122.32</v>
      </c>
      <c r="S1182" s="292" t="str">
        <f aca="false">IF(ISBLANK('Стёкла серии Elephant'!$S$318),"",'Стёкла серии Elephant'!$S$318)</f>
        <v/>
      </c>
    </row>
    <row r="1183" customFormat="false" ht="66" hidden="false" customHeight="true" outlineLevel="0" collapsed="false">
      <c r="A1183" s="291" t="str">
        <f aca="true">IF(ISNUMBER($J1183),INDIRECT("L"&amp;($J1183+4)),"")</f>
        <v/>
      </c>
      <c r="B1183" s="291" t="str">
        <f aca="true">IF(ISNUMBER($J1183),INDIRECT("M"&amp;($J1183+4)),"")</f>
        <v/>
      </c>
      <c r="C1183" s="296" t="str">
        <f aca="true">IF(ISNUMBER($J1183),INDIRECT("N"&amp;($J1183+4)),"")</f>
        <v/>
      </c>
      <c r="D1183" s="291" t="str">
        <f aca="true">IF(ISNUMBER($J1183),INDIRECT("O"&amp;($J1183+4)),"")</f>
        <v/>
      </c>
      <c r="E1183" s="291" t="str">
        <f aca="true">IF(ISNUMBER($J1183),INDIRECT("P"&amp;($J1183+4)),"")</f>
        <v/>
      </c>
      <c r="F1183" s="300" t="str">
        <f aca="true">IF(ISNUMBER($J1183),INDIRECT("Q"&amp;($J1183+4)),"")</f>
        <v/>
      </c>
      <c r="G1183" s="298" t="str">
        <f aca="true">IF(ISNUMBER($J1183),INDIRECT("R"&amp;($J1183+4)),"")</f>
        <v/>
      </c>
      <c r="H1183" s="298" t="str">
        <f aca="true">IF(ISNUMBER($J1183),INDIRECT("S"&amp;($J1183+4)),"")</f>
        <v/>
      </c>
      <c r="J1183" s="292" t="str">
        <f aca="true">IF(1179&lt;=$K$1,MATCH(1178.5,INDIRECT("$K$4:$K$1374"),1),"")</f>
        <v/>
      </c>
      <c r="K1183" s="292" t="n">
        <f aca="false">$K$1156+COUNTIF($Q$1157:Q1183,"&gt;0")</f>
        <v>0</v>
      </c>
      <c r="L1183" s="292" t="str">
        <f aca="false">"Стёкла серии Elephant"&amp;" · "&amp;'Стёкла серии Elephant'!$N$319</f>
        <v>Стёкла серии Elephant · Elephant</v>
      </c>
      <c r="M1183" s="292" t="str">
        <f aca="false">IF(ISBLANK('Стёкла серии Elephant'!$O$319),"",'Стёкла серии Elephant'!$O$319)</f>
        <v>RENO 5Z 5G/F19 PRO+</v>
      </c>
      <c r="N1183" s="292" t="str">
        <f aca="false">""</f>
        <v/>
      </c>
      <c r="O1183" s="292" t="str">
        <f aca="false">""</f>
        <v/>
      </c>
      <c r="P1183" s="292" t="str">
        <f aca="false">IF(ISBLANK('Стёкла серии Elephant'!$P$319),"",'Стёкла серии Elephant'!$P$319)</f>
        <v>шт.</v>
      </c>
      <c r="Q1183" s="292" t="n">
        <f aca="false">N('Стёкла серии Elephant'!$R$319)</f>
        <v>0</v>
      </c>
      <c r="R1183" s="299" t="n">
        <f aca="false">IF(ISBLANK('Стёкла серии Elephant'!$Q$319),"",'Стёкла серии Elephant'!$Q$319)</f>
        <v>122.32</v>
      </c>
      <c r="S1183" s="292" t="str">
        <f aca="false">IF(ISBLANK('Стёкла серии Elephant'!$S$319),"",'Стёкла серии Elephant'!$S$319)</f>
        <v/>
      </c>
    </row>
    <row r="1184" customFormat="false" ht="66" hidden="false" customHeight="true" outlineLevel="0" collapsed="false">
      <c r="A1184" s="291" t="str">
        <f aca="true">IF(ISNUMBER($J1184),INDIRECT("L"&amp;($J1184+4)),"")</f>
        <v/>
      </c>
      <c r="B1184" s="291" t="str">
        <f aca="true">IF(ISNUMBER($J1184),INDIRECT("M"&amp;($J1184+4)),"")</f>
        <v/>
      </c>
      <c r="C1184" s="296" t="str">
        <f aca="true">IF(ISNUMBER($J1184),INDIRECT("N"&amp;($J1184+4)),"")</f>
        <v/>
      </c>
      <c r="D1184" s="291" t="str">
        <f aca="true">IF(ISNUMBER($J1184),INDIRECT("O"&amp;($J1184+4)),"")</f>
        <v/>
      </c>
      <c r="E1184" s="291" t="str">
        <f aca="true">IF(ISNUMBER($J1184),INDIRECT("P"&amp;($J1184+4)),"")</f>
        <v/>
      </c>
      <c r="F1184" s="300" t="str">
        <f aca="true">IF(ISNUMBER($J1184),INDIRECT("Q"&amp;($J1184+4)),"")</f>
        <v/>
      </c>
      <c r="G1184" s="298" t="str">
        <f aca="true">IF(ISNUMBER($J1184),INDIRECT("R"&amp;($J1184+4)),"")</f>
        <v/>
      </c>
      <c r="H1184" s="298" t="str">
        <f aca="true">IF(ISNUMBER($J1184),INDIRECT("S"&amp;($J1184+4)),"")</f>
        <v/>
      </c>
      <c r="J1184" s="292" t="str">
        <f aca="true">IF(1180&lt;=$K$1,MATCH(1179.5,INDIRECT("$K$4:$K$1374"),1),"")</f>
        <v/>
      </c>
      <c r="K1184" s="292" t="n">
        <f aca="false">$K$1156+COUNTIF($Q$1157:Q1184,"&gt;0")</f>
        <v>0</v>
      </c>
      <c r="L1184" s="292" t="str">
        <f aca="false">"Стёкла серии Elephant"&amp;" · "&amp;'Стёкла серии Elephant'!$N$320</f>
        <v>Стёкла серии Elephant · Elephant</v>
      </c>
      <c r="M1184" s="292" t="str">
        <f aca="false">IF(ISBLANK('Стёкла серии Elephant'!$O$320),"",'Стёкла серии Elephant'!$O$320)</f>
        <v>iQOO</v>
      </c>
      <c r="N1184" s="292" t="str">
        <f aca="false">""</f>
        <v/>
      </c>
      <c r="O1184" s="292" t="str">
        <f aca="false">""</f>
        <v/>
      </c>
      <c r="P1184" s="292" t="str">
        <f aca="false">IF(ISBLANK('Стёкла серии Elephant'!$P$320),"",'Стёкла серии Elephant'!$P$320)</f>
        <v>шт.</v>
      </c>
      <c r="Q1184" s="292" t="n">
        <f aca="false">N('Стёкла серии Elephant'!$R$320)</f>
        <v>0</v>
      </c>
      <c r="R1184" s="299" t="n">
        <f aca="false">IF(ISBLANK('Стёкла серии Elephant'!$Q$320),"",'Стёкла серии Elephant'!$Q$320)</f>
        <v>122.32</v>
      </c>
      <c r="S1184" s="292" t="str">
        <f aca="false">IF(ISBLANK('Стёкла серии Elephant'!$S$320),"",'Стёкла серии Elephant'!$S$320)</f>
        <v/>
      </c>
    </row>
    <row r="1185" customFormat="false" ht="66" hidden="false" customHeight="true" outlineLevel="0" collapsed="false">
      <c r="A1185" s="291" t="str">
        <f aca="true">IF(ISNUMBER($J1185),INDIRECT("L"&amp;($J1185+4)),"")</f>
        <v/>
      </c>
      <c r="B1185" s="291" t="str">
        <f aca="true">IF(ISNUMBER($J1185),INDIRECT("M"&amp;($J1185+4)),"")</f>
        <v/>
      </c>
      <c r="C1185" s="296" t="str">
        <f aca="true">IF(ISNUMBER($J1185),INDIRECT("N"&amp;($J1185+4)),"")</f>
        <v/>
      </c>
      <c r="D1185" s="291" t="str">
        <f aca="true">IF(ISNUMBER($J1185),INDIRECT("O"&amp;($J1185+4)),"")</f>
        <v/>
      </c>
      <c r="E1185" s="291" t="str">
        <f aca="true">IF(ISNUMBER($J1185),INDIRECT("P"&amp;($J1185+4)),"")</f>
        <v/>
      </c>
      <c r="F1185" s="300" t="str">
        <f aca="true">IF(ISNUMBER($J1185),INDIRECT("Q"&amp;($J1185+4)),"")</f>
        <v/>
      </c>
      <c r="G1185" s="298" t="str">
        <f aca="true">IF(ISNUMBER($J1185),INDIRECT("R"&amp;($J1185+4)),"")</f>
        <v/>
      </c>
      <c r="H1185" s="298" t="str">
        <f aca="true">IF(ISNUMBER($J1185),INDIRECT("S"&amp;($J1185+4)),"")</f>
        <v/>
      </c>
      <c r="J1185" s="292" t="str">
        <f aca="true">IF(1181&lt;=$K$1,MATCH(1180.5,INDIRECT("$K$4:$K$1374"),1),"")</f>
        <v/>
      </c>
      <c r="K1185" s="292" t="n">
        <f aca="false">$K$1156+COUNTIF($Q$1157:Q1185,"&gt;0")</f>
        <v>0</v>
      </c>
      <c r="L1185" s="292" t="str">
        <f aca="false">"Стёкла серии Elephant"&amp;" · "&amp;'Стёкла серии Elephant'!$N$321</f>
        <v>Стёкла серии Elephant · Elephant</v>
      </c>
      <c r="M1185" s="292" t="str">
        <f aca="false">IF(ISBLANK('Стёкла серии Elephant'!$O$321),"",'Стёкла серии Elephant'!$O$321)</f>
        <v>Nova2i/Mate10 Lite/Maimang6</v>
      </c>
      <c r="N1185" s="292" t="str">
        <f aca="false">""</f>
        <v/>
      </c>
      <c r="O1185" s="292" t="str">
        <f aca="false">""</f>
        <v/>
      </c>
      <c r="P1185" s="292" t="str">
        <f aca="false">IF(ISBLANK('Стёкла серии Elephant'!$P$321),"",'Стёкла серии Elephant'!$P$321)</f>
        <v>шт.</v>
      </c>
      <c r="Q1185" s="292" t="n">
        <f aca="false">N('Стёкла серии Elephant'!$R$321)</f>
        <v>0</v>
      </c>
      <c r="R1185" s="299" t="n">
        <f aca="false">IF(ISBLANK('Стёкла серии Elephant'!$Q$321),"",'Стёкла серии Elephant'!$Q$321)</f>
        <v>122.32</v>
      </c>
      <c r="S1185" s="292" t="str">
        <f aca="false">IF(ISBLANK('Стёкла серии Elephant'!$S$321),"",'Стёкла серии Elephant'!$S$321)</f>
        <v/>
      </c>
    </row>
    <row r="1186" customFormat="false" ht="66" hidden="false" customHeight="true" outlineLevel="0" collapsed="false">
      <c r="A1186" s="291" t="str">
        <f aca="true">IF(ISNUMBER($J1186),INDIRECT("L"&amp;($J1186+4)),"")</f>
        <v/>
      </c>
      <c r="B1186" s="291" t="str">
        <f aca="true">IF(ISNUMBER($J1186),INDIRECT("M"&amp;($J1186+4)),"")</f>
        <v/>
      </c>
      <c r="C1186" s="296" t="str">
        <f aca="true">IF(ISNUMBER($J1186),INDIRECT("N"&amp;($J1186+4)),"")</f>
        <v/>
      </c>
      <c r="D1186" s="291" t="str">
        <f aca="true">IF(ISNUMBER($J1186),INDIRECT("O"&amp;($J1186+4)),"")</f>
        <v/>
      </c>
      <c r="E1186" s="291" t="str">
        <f aca="true">IF(ISNUMBER($J1186),INDIRECT("P"&amp;($J1186+4)),"")</f>
        <v/>
      </c>
      <c r="F1186" s="300" t="str">
        <f aca="true">IF(ISNUMBER($J1186),INDIRECT("Q"&amp;($J1186+4)),"")</f>
        <v/>
      </c>
      <c r="G1186" s="298" t="str">
        <f aca="true">IF(ISNUMBER($J1186),INDIRECT("R"&amp;($J1186+4)),"")</f>
        <v/>
      </c>
      <c r="H1186" s="298" t="str">
        <f aca="true">IF(ISNUMBER($J1186),INDIRECT("S"&amp;($J1186+4)),"")</f>
        <v/>
      </c>
      <c r="J1186" s="292" t="str">
        <f aca="true">IF(1182&lt;=$K$1,MATCH(1181.5,INDIRECT("$K$4:$K$1374"),1),"")</f>
        <v/>
      </c>
      <c r="K1186" s="292" t="n">
        <f aca="false">$K$1156+COUNTIF($Q$1157:Q1186,"&gt;0")</f>
        <v>0</v>
      </c>
      <c r="L1186" s="292" t="str">
        <f aca="false">"Стёкла серии Elephant"&amp;" · "&amp;'Стёкла серии Elephant'!$N$322</f>
        <v>Стёкла серии Elephant · Elephant</v>
      </c>
      <c r="M1186" s="292" t="str">
        <f aca="false">IF(ISBLANK('Стёкла серии Elephant'!$O$322),"",'Стёкла серии Elephant'!$O$322)</f>
        <v>Honor Y5P</v>
      </c>
      <c r="N1186" s="292" t="str">
        <f aca="false">""</f>
        <v/>
      </c>
      <c r="O1186" s="292" t="str">
        <f aca="false">""</f>
        <v/>
      </c>
      <c r="P1186" s="292" t="str">
        <f aca="false">IF(ISBLANK('Стёкла серии Elephant'!$P$322),"",'Стёкла серии Elephant'!$P$322)</f>
        <v>шт.</v>
      </c>
      <c r="Q1186" s="292" t="n">
        <f aca="false">N('Стёкла серии Elephant'!$R$322)</f>
        <v>0</v>
      </c>
      <c r="R1186" s="299" t="n">
        <f aca="false">IF(ISBLANK('Стёкла серии Elephant'!$Q$322),"",'Стёкла серии Elephant'!$Q$322)</f>
        <v>122.32</v>
      </c>
      <c r="S1186" s="292" t="str">
        <f aca="false">IF(ISBLANK('Стёкла серии Elephant'!$S$322),"",'Стёкла серии Elephant'!$S$322)</f>
        <v/>
      </c>
    </row>
    <row r="1187" customFormat="false" ht="66" hidden="false" customHeight="true" outlineLevel="0" collapsed="false">
      <c r="A1187" s="291" t="str">
        <f aca="true">IF(ISNUMBER($J1187),INDIRECT("L"&amp;($J1187+4)),"")</f>
        <v/>
      </c>
      <c r="B1187" s="291" t="str">
        <f aca="true">IF(ISNUMBER($J1187),INDIRECT("M"&amp;($J1187+4)),"")</f>
        <v/>
      </c>
      <c r="C1187" s="296" t="str">
        <f aca="true">IF(ISNUMBER($J1187),INDIRECT("N"&amp;($J1187+4)),"")</f>
        <v/>
      </c>
      <c r="D1187" s="291" t="str">
        <f aca="true">IF(ISNUMBER($J1187),INDIRECT("O"&amp;($J1187+4)),"")</f>
        <v/>
      </c>
      <c r="E1187" s="291" t="str">
        <f aca="true">IF(ISNUMBER($J1187),INDIRECT("P"&amp;($J1187+4)),"")</f>
        <v/>
      </c>
      <c r="F1187" s="300" t="str">
        <f aca="true">IF(ISNUMBER($J1187),INDIRECT("Q"&amp;($J1187+4)),"")</f>
        <v/>
      </c>
      <c r="G1187" s="298" t="str">
        <f aca="true">IF(ISNUMBER($J1187),INDIRECT("R"&amp;($J1187+4)),"")</f>
        <v/>
      </c>
      <c r="H1187" s="298" t="str">
        <f aca="true">IF(ISNUMBER($J1187),INDIRECT("S"&amp;($J1187+4)),"")</f>
        <v/>
      </c>
      <c r="J1187" s="292" t="str">
        <f aca="true">IF(1183&lt;=$K$1,MATCH(1182.5,INDIRECT("$K$4:$K$1374"),1),"")</f>
        <v/>
      </c>
      <c r="K1187" s="292" t="n">
        <f aca="false">$K$1156+COUNTIF($Q$1157:Q1187,"&gt;0")</f>
        <v>0</v>
      </c>
      <c r="L1187" s="292" t="str">
        <f aca="false">"Стёкла серии Elephant"&amp;" · "&amp;'Стёкла серии Elephant'!$N$323</f>
        <v>Стёкла серии Elephant · Elephant</v>
      </c>
      <c r="M1187" s="292" t="str">
        <f aca="false">IF(ISBLANK('Стёкла серии Elephant'!$O$323),"",'Стёкла серии Elephant'!$O$323)</f>
        <v>MI Poco F2</v>
      </c>
      <c r="N1187" s="292" t="str">
        <f aca="false">""</f>
        <v/>
      </c>
      <c r="O1187" s="292" t="str">
        <f aca="false">""</f>
        <v/>
      </c>
      <c r="P1187" s="292" t="str">
        <f aca="false">IF(ISBLANK('Стёкла серии Elephant'!$P$323),"",'Стёкла серии Elephant'!$P$323)</f>
        <v>шт.</v>
      </c>
      <c r="Q1187" s="292" t="n">
        <f aca="false">N('Стёкла серии Elephant'!$R$323)</f>
        <v>0</v>
      </c>
      <c r="R1187" s="299" t="n">
        <f aca="false">IF(ISBLANK('Стёкла серии Elephant'!$Q$323),"",'Стёкла серии Elephant'!$Q$323)</f>
        <v>122.32</v>
      </c>
      <c r="S1187" s="292" t="str">
        <f aca="false">IF(ISBLANK('Стёкла серии Elephant'!$S$323),"",'Стёкла серии Elephant'!$S$323)</f>
        <v/>
      </c>
    </row>
    <row r="1188" customFormat="false" ht="66" hidden="false" customHeight="true" outlineLevel="0" collapsed="false">
      <c r="A1188" s="291" t="str">
        <f aca="true">IF(ISNUMBER($J1188),INDIRECT("L"&amp;($J1188+4)),"")</f>
        <v/>
      </c>
      <c r="B1188" s="291" t="str">
        <f aca="true">IF(ISNUMBER($J1188),INDIRECT("M"&amp;($J1188+4)),"")</f>
        <v/>
      </c>
      <c r="C1188" s="296" t="str">
        <f aca="true">IF(ISNUMBER($J1188),INDIRECT("N"&amp;($J1188+4)),"")</f>
        <v/>
      </c>
      <c r="D1188" s="291" t="str">
        <f aca="true">IF(ISNUMBER($J1188),INDIRECT("O"&amp;($J1188+4)),"")</f>
        <v/>
      </c>
      <c r="E1188" s="291" t="str">
        <f aca="true">IF(ISNUMBER($J1188),INDIRECT("P"&amp;($J1188+4)),"")</f>
        <v/>
      </c>
      <c r="F1188" s="300" t="str">
        <f aca="true">IF(ISNUMBER($J1188),INDIRECT("Q"&amp;($J1188+4)),"")</f>
        <v/>
      </c>
      <c r="G1188" s="298" t="str">
        <f aca="true">IF(ISNUMBER($J1188),INDIRECT("R"&amp;($J1188+4)),"")</f>
        <v/>
      </c>
      <c r="H1188" s="298" t="str">
        <f aca="true">IF(ISNUMBER($J1188),INDIRECT("S"&amp;($J1188+4)),"")</f>
        <v/>
      </c>
      <c r="J1188" s="292" t="str">
        <f aca="true">IF(1184&lt;=$K$1,MATCH(1183.5,INDIRECT("$K$4:$K$1374"),1),"")</f>
        <v/>
      </c>
      <c r="K1188" s="292" t="n">
        <f aca="false">$K$1156+COUNTIF($Q$1157:Q1188,"&gt;0")</f>
        <v>0</v>
      </c>
      <c r="L1188" s="292" t="str">
        <f aca="false">"Стёкла серии Elephant"&amp;" · "&amp;'Стёкла серии Elephant'!$N$324</f>
        <v>Стёкла серии Elephant · Elephant</v>
      </c>
      <c r="M1188" s="292" t="str">
        <f aca="false">IF(ISBLANK('Стёкла серии Elephant'!$O$324),"",'Стёкла серии Elephant'!$O$324)</f>
        <v>A6 Plus-2018/A9 Star Lite</v>
      </c>
      <c r="N1188" s="292" t="str">
        <f aca="false">""</f>
        <v/>
      </c>
      <c r="O1188" s="292" t="str">
        <f aca="false">""</f>
        <v/>
      </c>
      <c r="P1188" s="292" t="str">
        <f aca="false">IF(ISBLANK('Стёкла серии Elephant'!$P$324),"",'Стёкла серии Elephant'!$P$324)</f>
        <v>шт.</v>
      </c>
      <c r="Q1188" s="292" t="n">
        <f aca="false">N('Стёкла серии Elephant'!$R$324)</f>
        <v>0</v>
      </c>
      <c r="R1188" s="299" t="n">
        <f aca="false">IF(ISBLANK('Стёкла серии Elephant'!$Q$324),"",'Стёкла серии Elephant'!$Q$324)</f>
        <v>122.32</v>
      </c>
      <c r="S1188" s="292" t="str">
        <f aca="false">IF(ISBLANK('Стёкла серии Elephant'!$S$324),"",'Стёкла серии Elephant'!$S$324)</f>
        <v/>
      </c>
    </row>
    <row r="1189" customFormat="false" ht="66" hidden="false" customHeight="true" outlineLevel="0" collapsed="false">
      <c r="A1189" s="291" t="str">
        <f aca="true">IF(ISNUMBER($J1189),INDIRECT("L"&amp;($J1189+4)),"")</f>
        <v/>
      </c>
      <c r="B1189" s="291" t="str">
        <f aca="true">IF(ISNUMBER($J1189),INDIRECT("M"&amp;($J1189+4)),"")</f>
        <v/>
      </c>
      <c r="C1189" s="296" t="str">
        <f aca="true">IF(ISNUMBER($J1189),INDIRECT("N"&amp;($J1189+4)),"")</f>
        <v/>
      </c>
      <c r="D1189" s="291" t="str">
        <f aca="true">IF(ISNUMBER($J1189),INDIRECT("O"&amp;($J1189+4)),"")</f>
        <v/>
      </c>
      <c r="E1189" s="291" t="str">
        <f aca="true">IF(ISNUMBER($J1189),INDIRECT("P"&amp;($J1189+4)),"")</f>
        <v/>
      </c>
      <c r="F1189" s="300" t="str">
        <f aca="true">IF(ISNUMBER($J1189),INDIRECT("Q"&amp;($J1189+4)),"")</f>
        <v/>
      </c>
      <c r="G1189" s="298" t="str">
        <f aca="true">IF(ISNUMBER($J1189),INDIRECT("R"&amp;($J1189+4)),"")</f>
        <v/>
      </c>
      <c r="H1189" s="298" t="str">
        <f aca="true">IF(ISNUMBER($J1189),INDIRECT("S"&amp;($J1189+4)),"")</f>
        <v/>
      </c>
      <c r="J1189" s="292" t="str">
        <f aca="true">IF(1185&lt;=$K$1,MATCH(1184.5,INDIRECT("$K$4:$K$1374"),1),"")</f>
        <v/>
      </c>
      <c r="K1189" s="292" t="n">
        <f aca="false">$K$1156+COUNTIF($Q$1157:Q1189,"&gt;0")</f>
        <v>0</v>
      </c>
      <c r="L1189" s="292" t="str">
        <f aca="false">"Стёкла серии Elephant"&amp;" · "&amp;'Стёкла серии Elephant'!$N$325</f>
        <v>Стёкла серии Elephant · Elephant</v>
      </c>
      <c r="M1189" s="292" t="str">
        <f aca="false">IF(ISBLANK('Стёкла серии Elephant'!$O$325),"",'Стёкла серии Elephant'!$O$325)</f>
        <v>Realme C1（2019）</v>
      </c>
      <c r="N1189" s="292" t="str">
        <f aca="false">""</f>
        <v/>
      </c>
      <c r="O1189" s="292" t="str">
        <f aca="false">""</f>
        <v/>
      </c>
      <c r="P1189" s="292" t="str">
        <f aca="false">IF(ISBLANK('Стёкла серии Elephant'!$P$325),"",'Стёкла серии Elephant'!$P$325)</f>
        <v>шт.</v>
      </c>
      <c r="Q1189" s="292" t="n">
        <f aca="false">N('Стёкла серии Elephant'!$R$325)</f>
        <v>0</v>
      </c>
      <c r="R1189" s="299" t="n">
        <f aca="false">IF(ISBLANK('Стёкла серии Elephant'!$Q$325),"",'Стёкла серии Elephant'!$Q$325)</f>
        <v>122.32</v>
      </c>
      <c r="S1189" s="292" t="str">
        <f aca="false">IF(ISBLANK('Стёкла серии Elephant'!$S$325),"",'Стёкла серии Elephant'!$S$325)</f>
        <v/>
      </c>
    </row>
    <row r="1190" customFormat="false" ht="66" hidden="false" customHeight="true" outlineLevel="0" collapsed="false">
      <c r="A1190" s="291" t="str">
        <f aca="true">IF(ISNUMBER($J1190),INDIRECT("L"&amp;($J1190+4)),"")</f>
        <v/>
      </c>
      <c r="B1190" s="291" t="str">
        <f aca="true">IF(ISNUMBER($J1190),INDIRECT("M"&amp;($J1190+4)),"")</f>
        <v/>
      </c>
      <c r="C1190" s="296" t="str">
        <f aca="true">IF(ISNUMBER($J1190),INDIRECT("N"&amp;($J1190+4)),"")</f>
        <v/>
      </c>
      <c r="D1190" s="291" t="str">
        <f aca="true">IF(ISNUMBER($J1190),INDIRECT("O"&amp;($J1190+4)),"")</f>
        <v/>
      </c>
      <c r="E1190" s="291" t="str">
        <f aca="true">IF(ISNUMBER($J1190),INDIRECT("P"&amp;($J1190+4)),"")</f>
        <v/>
      </c>
      <c r="F1190" s="300" t="str">
        <f aca="true">IF(ISNUMBER($J1190),INDIRECT("Q"&amp;($J1190+4)),"")</f>
        <v/>
      </c>
      <c r="G1190" s="298" t="str">
        <f aca="true">IF(ISNUMBER($J1190),INDIRECT("R"&amp;($J1190+4)),"")</f>
        <v/>
      </c>
      <c r="H1190" s="298" t="str">
        <f aca="true">IF(ISNUMBER($J1190),INDIRECT("S"&amp;($J1190+4)),"")</f>
        <v/>
      </c>
      <c r="J1190" s="292" t="str">
        <f aca="true">IF(1186&lt;=$K$1,MATCH(1185.5,INDIRECT("$K$4:$K$1374"),1),"")</f>
        <v/>
      </c>
      <c r="K1190" s="292" t="n">
        <f aca="false">$K$1156+COUNTIF($Q$1157:Q1190,"&gt;0")</f>
        <v>0</v>
      </c>
      <c r="L1190" s="292" t="str">
        <f aca="false">"Стёкла серии Elephant"&amp;" · "&amp;'Стёкла серии Elephant'!$N$326</f>
        <v>Стёкла серии Elephant · Elephant</v>
      </c>
      <c r="M1190" s="292" t="str">
        <f aca="false">IF(ISBLANK('Стёкла серии Elephant'!$O$326),"",'Стёкла серии Elephant'!$O$326)</f>
        <v>RENO 6/6Z</v>
      </c>
      <c r="N1190" s="292" t="str">
        <f aca="false">""</f>
        <v/>
      </c>
      <c r="O1190" s="292" t="str">
        <f aca="false">""</f>
        <v/>
      </c>
      <c r="P1190" s="292" t="str">
        <f aca="false">IF(ISBLANK('Стёкла серии Elephant'!$P$326),"",'Стёкла серии Elephant'!$P$326)</f>
        <v>шт.</v>
      </c>
      <c r="Q1190" s="292" t="n">
        <f aca="false">N('Стёкла серии Elephant'!$R$326)</f>
        <v>0</v>
      </c>
      <c r="R1190" s="299" t="n">
        <f aca="false">IF(ISBLANK('Стёкла серии Elephant'!$Q$326),"",'Стёкла серии Elephant'!$Q$326)</f>
        <v>122.32</v>
      </c>
      <c r="S1190" s="292" t="str">
        <f aca="false">IF(ISBLANK('Стёкла серии Elephant'!$S$326),"",'Стёкла серии Elephant'!$S$326)</f>
        <v/>
      </c>
    </row>
    <row r="1191" customFormat="false" ht="66" hidden="false" customHeight="true" outlineLevel="0" collapsed="false">
      <c r="A1191" s="291" t="str">
        <f aca="true">IF(ISNUMBER($J1191),INDIRECT("L"&amp;($J1191+4)),"")</f>
        <v/>
      </c>
      <c r="B1191" s="291" t="str">
        <f aca="true">IF(ISNUMBER($J1191),INDIRECT("M"&amp;($J1191+4)),"")</f>
        <v/>
      </c>
      <c r="C1191" s="296" t="str">
        <f aca="true">IF(ISNUMBER($J1191),INDIRECT("N"&amp;($J1191+4)),"")</f>
        <v/>
      </c>
      <c r="D1191" s="291" t="str">
        <f aca="true">IF(ISNUMBER($J1191),INDIRECT("O"&amp;($J1191+4)),"")</f>
        <v/>
      </c>
      <c r="E1191" s="291" t="str">
        <f aca="true">IF(ISNUMBER($J1191),INDIRECT("P"&amp;($J1191+4)),"")</f>
        <v/>
      </c>
      <c r="F1191" s="300" t="str">
        <f aca="true">IF(ISNUMBER($J1191),INDIRECT("Q"&amp;($J1191+4)),"")</f>
        <v/>
      </c>
      <c r="G1191" s="298" t="str">
        <f aca="true">IF(ISNUMBER($J1191),INDIRECT("R"&amp;($J1191+4)),"")</f>
        <v/>
      </c>
      <c r="H1191" s="298" t="str">
        <f aca="true">IF(ISNUMBER($J1191),INDIRECT("S"&amp;($J1191+4)),"")</f>
        <v/>
      </c>
      <c r="J1191" s="292" t="str">
        <f aca="true">IF(1187&lt;=$K$1,MATCH(1186.5,INDIRECT("$K$4:$K$1374"),1),"")</f>
        <v/>
      </c>
      <c r="K1191" s="292" t="n">
        <f aca="false">$K$1156+COUNTIF($Q$1157:Q1191,"&gt;0")</f>
        <v>0</v>
      </c>
      <c r="L1191" s="292" t="str">
        <f aca="false">"Стёкла серии Elephant"&amp;" · "&amp;'Стёкла серии Elephant'!$N$327</f>
        <v>Стёкла серии Elephant · Elephant</v>
      </c>
      <c r="M1191" s="292" t="str">
        <f aca="false">IF(ISBLANK('Стёкла серии Elephant'!$O$327),"",'Стёкла серии Elephant'!$O$327)</f>
        <v>iQOO Neo</v>
      </c>
      <c r="N1191" s="292" t="str">
        <f aca="false">""</f>
        <v/>
      </c>
      <c r="O1191" s="292" t="str">
        <f aca="false">""</f>
        <v/>
      </c>
      <c r="P1191" s="292" t="str">
        <f aca="false">IF(ISBLANK('Стёкла серии Elephant'!$P$327),"",'Стёкла серии Elephant'!$P$327)</f>
        <v>шт.</v>
      </c>
      <c r="Q1191" s="292" t="n">
        <f aca="false">N('Стёкла серии Elephant'!$R$327)</f>
        <v>0</v>
      </c>
      <c r="R1191" s="299" t="n">
        <f aca="false">IF(ISBLANK('Стёкла серии Elephant'!$Q$327),"",'Стёкла серии Elephant'!$Q$327)</f>
        <v>122.32</v>
      </c>
      <c r="S1191" s="292" t="str">
        <f aca="false">IF(ISBLANK('Стёкла серии Elephant'!$S$327),"",'Стёкла серии Elephant'!$S$327)</f>
        <v/>
      </c>
    </row>
    <row r="1192" customFormat="false" ht="66" hidden="false" customHeight="true" outlineLevel="0" collapsed="false">
      <c r="A1192" s="291" t="str">
        <f aca="true">IF(ISNUMBER($J1192),INDIRECT("L"&amp;($J1192+4)),"")</f>
        <v/>
      </c>
      <c r="B1192" s="291" t="str">
        <f aca="true">IF(ISNUMBER($J1192),INDIRECT("M"&amp;($J1192+4)),"")</f>
        <v/>
      </c>
      <c r="C1192" s="296" t="str">
        <f aca="true">IF(ISNUMBER($J1192),INDIRECT("N"&amp;($J1192+4)),"")</f>
        <v/>
      </c>
      <c r="D1192" s="291" t="str">
        <f aca="true">IF(ISNUMBER($J1192),INDIRECT("O"&amp;($J1192+4)),"")</f>
        <v/>
      </c>
      <c r="E1192" s="291" t="str">
        <f aca="true">IF(ISNUMBER($J1192),INDIRECT("P"&amp;($J1192+4)),"")</f>
        <v/>
      </c>
      <c r="F1192" s="300" t="str">
        <f aca="true">IF(ISNUMBER($J1192),INDIRECT("Q"&amp;($J1192+4)),"")</f>
        <v/>
      </c>
      <c r="G1192" s="298" t="str">
        <f aca="true">IF(ISNUMBER($J1192),INDIRECT("R"&amp;($J1192+4)),"")</f>
        <v/>
      </c>
      <c r="H1192" s="298" t="str">
        <f aca="true">IF(ISNUMBER($J1192),INDIRECT("S"&amp;($J1192+4)),"")</f>
        <v/>
      </c>
      <c r="J1192" s="292" t="str">
        <f aca="true">IF(1188&lt;=$K$1,MATCH(1187.5,INDIRECT("$K$4:$K$1374"),1),"")</f>
        <v/>
      </c>
      <c r="K1192" s="292" t="n">
        <f aca="false">$K$1156+COUNTIF($Q$1157:Q1192,"&gt;0")</f>
        <v>0</v>
      </c>
      <c r="L1192" s="292" t="str">
        <f aca="false">"Стёкла серии Elephant"&amp;" · "&amp;'Стёкла серии Elephant'!$N$328</f>
        <v>Стёкла серии Elephant · Elephant</v>
      </c>
      <c r="M1192" s="292" t="str">
        <f aca="false">IF(ISBLANK('Стёкла серии Elephant'!$O$328),"",'Стёкла серии Elephant'!$O$328)</f>
        <v>P-Smart 2019/NovaLite 3/Maimang8</v>
      </c>
      <c r="N1192" s="292" t="str">
        <f aca="false">""</f>
        <v/>
      </c>
      <c r="O1192" s="292" t="str">
        <f aca="false">""</f>
        <v/>
      </c>
      <c r="P1192" s="292" t="str">
        <f aca="false">IF(ISBLANK('Стёкла серии Elephant'!$P$328),"",'Стёкла серии Elephant'!$P$328)</f>
        <v>шт.</v>
      </c>
      <c r="Q1192" s="292" t="n">
        <f aca="false">N('Стёкла серии Elephant'!$R$328)</f>
        <v>0</v>
      </c>
      <c r="R1192" s="299" t="n">
        <f aca="false">IF(ISBLANK('Стёкла серии Elephant'!$Q$328),"",'Стёкла серии Elephant'!$Q$328)</f>
        <v>122.32</v>
      </c>
      <c r="S1192" s="292" t="str">
        <f aca="false">IF(ISBLANK('Стёкла серии Elephant'!$S$328),"",'Стёкла серии Elephant'!$S$328)</f>
        <v/>
      </c>
    </row>
    <row r="1193" customFormat="false" ht="66" hidden="false" customHeight="true" outlineLevel="0" collapsed="false">
      <c r="A1193" s="291" t="str">
        <f aca="true">IF(ISNUMBER($J1193),INDIRECT("L"&amp;($J1193+4)),"")</f>
        <v/>
      </c>
      <c r="B1193" s="291" t="str">
        <f aca="true">IF(ISNUMBER($J1193),INDIRECT("M"&amp;($J1193+4)),"")</f>
        <v/>
      </c>
      <c r="C1193" s="296" t="str">
        <f aca="true">IF(ISNUMBER($J1193),INDIRECT("N"&amp;($J1193+4)),"")</f>
        <v/>
      </c>
      <c r="D1193" s="291" t="str">
        <f aca="true">IF(ISNUMBER($J1193),INDIRECT("O"&amp;($J1193+4)),"")</f>
        <v/>
      </c>
      <c r="E1193" s="291" t="str">
        <f aca="true">IF(ISNUMBER($J1193),INDIRECT("P"&amp;($J1193+4)),"")</f>
        <v/>
      </c>
      <c r="F1193" s="300" t="str">
        <f aca="true">IF(ISNUMBER($J1193),INDIRECT("Q"&amp;($J1193+4)),"")</f>
        <v/>
      </c>
      <c r="G1193" s="298" t="str">
        <f aca="true">IF(ISNUMBER($J1193),INDIRECT("R"&amp;($J1193+4)),"")</f>
        <v/>
      </c>
      <c r="H1193" s="298" t="str">
        <f aca="true">IF(ISNUMBER($J1193),INDIRECT("S"&amp;($J1193+4)),"")</f>
        <v/>
      </c>
      <c r="J1193" s="292" t="str">
        <f aca="true">IF(1189&lt;=$K$1,MATCH(1188.5,INDIRECT("$K$4:$K$1374"),1),"")</f>
        <v/>
      </c>
      <c r="K1193" s="292" t="n">
        <f aca="false">$K$1156+COUNTIF($Q$1157:Q1193,"&gt;0")</f>
        <v>0</v>
      </c>
      <c r="L1193" s="292" t="str">
        <f aca="false">"Стёкла серии Elephant"&amp;" · "&amp;'Стёкла серии Elephant'!$N$329</f>
        <v>Стёкла серии Elephant · Elephant</v>
      </c>
      <c r="M1193" s="292" t="str">
        <f aca="false">IF(ISBLANK('Стёкла серии Elephant'!$O$329),"",'Стёкла серии Elephant'!$O$329)</f>
        <v>Honor Y7P</v>
      </c>
      <c r="N1193" s="292" t="str">
        <f aca="false">""</f>
        <v/>
      </c>
      <c r="O1193" s="292" t="str">
        <f aca="false">""</f>
        <v/>
      </c>
      <c r="P1193" s="292" t="str">
        <f aca="false">IF(ISBLANK('Стёкла серии Elephant'!$P$329),"",'Стёкла серии Elephant'!$P$329)</f>
        <v>шт.</v>
      </c>
      <c r="Q1193" s="292" t="n">
        <f aca="false">N('Стёкла серии Elephant'!$R$329)</f>
        <v>0</v>
      </c>
      <c r="R1193" s="299" t="n">
        <f aca="false">IF(ISBLANK('Стёкла серии Elephant'!$Q$329),"",'Стёкла серии Elephant'!$Q$329)</f>
        <v>122.32</v>
      </c>
      <c r="S1193" s="292" t="str">
        <f aca="false">IF(ISBLANK('Стёкла серии Elephant'!$S$329),"",'Стёкла серии Elephant'!$S$329)</f>
        <v/>
      </c>
    </row>
    <row r="1194" customFormat="false" ht="66" hidden="false" customHeight="true" outlineLevel="0" collapsed="false">
      <c r="A1194" s="291" t="str">
        <f aca="true">IF(ISNUMBER($J1194),INDIRECT("L"&amp;($J1194+4)),"")</f>
        <v/>
      </c>
      <c r="B1194" s="291" t="str">
        <f aca="true">IF(ISNUMBER($J1194),INDIRECT("M"&amp;($J1194+4)),"")</f>
        <v/>
      </c>
      <c r="C1194" s="296" t="str">
        <f aca="true">IF(ISNUMBER($J1194),INDIRECT("N"&amp;($J1194+4)),"")</f>
        <v/>
      </c>
      <c r="D1194" s="291" t="str">
        <f aca="true">IF(ISNUMBER($J1194),INDIRECT("O"&amp;($J1194+4)),"")</f>
        <v/>
      </c>
      <c r="E1194" s="291" t="str">
        <f aca="true">IF(ISNUMBER($J1194),INDIRECT("P"&amp;($J1194+4)),"")</f>
        <v/>
      </c>
      <c r="F1194" s="300" t="str">
        <f aca="true">IF(ISNUMBER($J1194),INDIRECT("Q"&amp;($J1194+4)),"")</f>
        <v/>
      </c>
      <c r="G1194" s="298" t="str">
        <f aca="true">IF(ISNUMBER($J1194),INDIRECT("R"&amp;($J1194+4)),"")</f>
        <v/>
      </c>
      <c r="H1194" s="298" t="str">
        <f aca="true">IF(ISNUMBER($J1194),INDIRECT("S"&amp;($J1194+4)),"")</f>
        <v/>
      </c>
      <c r="J1194" s="292" t="str">
        <f aca="true">IF(1190&lt;=$K$1,MATCH(1189.5,INDIRECT("$K$4:$K$1374"),1),"")</f>
        <v/>
      </c>
      <c r="K1194" s="292" t="n">
        <f aca="false">$K$1156+COUNTIF($Q$1157:Q1194,"&gt;0")</f>
        <v>0</v>
      </c>
      <c r="L1194" s="292" t="str">
        <f aca="false">"Стёкла серии Elephant"&amp;" · "&amp;'Стёкла серии Elephant'!$N$330</f>
        <v>Стёкла серии Elephant · Elephant</v>
      </c>
      <c r="M1194" s="292" t="str">
        <f aca="false">IF(ISBLANK('Стёкла серии Elephant'!$O$330),"",'Стёкла серии Elephant'!$O$330)</f>
        <v>MI POCO F2 PRO</v>
      </c>
      <c r="N1194" s="292" t="str">
        <f aca="false">""</f>
        <v/>
      </c>
      <c r="O1194" s="292" t="str">
        <f aca="false">""</f>
        <v/>
      </c>
      <c r="P1194" s="292" t="str">
        <f aca="false">IF(ISBLANK('Стёкла серии Elephant'!$P$330),"",'Стёкла серии Elephant'!$P$330)</f>
        <v>шт.</v>
      </c>
      <c r="Q1194" s="292" t="n">
        <f aca="false">N('Стёкла серии Elephant'!$R$330)</f>
        <v>0</v>
      </c>
      <c r="R1194" s="299" t="n">
        <f aca="false">IF(ISBLANK('Стёкла серии Elephant'!$Q$330),"",'Стёкла серии Elephant'!$Q$330)</f>
        <v>122.32</v>
      </c>
      <c r="S1194" s="292" t="str">
        <f aca="false">IF(ISBLANK('Стёкла серии Elephant'!$S$330),"",'Стёкла серии Elephant'!$S$330)</f>
        <v/>
      </c>
    </row>
    <row r="1195" customFormat="false" ht="66" hidden="false" customHeight="true" outlineLevel="0" collapsed="false">
      <c r="A1195" s="291" t="str">
        <f aca="true">IF(ISNUMBER($J1195),INDIRECT("L"&amp;($J1195+4)),"")</f>
        <v/>
      </c>
      <c r="B1195" s="291" t="str">
        <f aca="true">IF(ISNUMBER($J1195),INDIRECT("M"&amp;($J1195+4)),"")</f>
        <v/>
      </c>
      <c r="C1195" s="296" t="str">
        <f aca="true">IF(ISNUMBER($J1195),INDIRECT("N"&amp;($J1195+4)),"")</f>
        <v/>
      </c>
      <c r="D1195" s="291" t="str">
        <f aca="true">IF(ISNUMBER($J1195),INDIRECT("O"&amp;($J1195+4)),"")</f>
        <v/>
      </c>
      <c r="E1195" s="291" t="str">
        <f aca="true">IF(ISNUMBER($J1195),INDIRECT("P"&amp;($J1195+4)),"")</f>
        <v/>
      </c>
      <c r="F1195" s="300" t="str">
        <f aca="true">IF(ISNUMBER($J1195),INDIRECT("Q"&amp;($J1195+4)),"")</f>
        <v/>
      </c>
      <c r="G1195" s="298" t="str">
        <f aca="true">IF(ISNUMBER($J1195),INDIRECT("R"&amp;($J1195+4)),"")</f>
        <v/>
      </c>
      <c r="H1195" s="298" t="str">
        <f aca="true">IF(ISNUMBER($J1195),INDIRECT("S"&amp;($J1195+4)),"")</f>
        <v/>
      </c>
      <c r="J1195" s="292" t="str">
        <f aca="true">IF(1191&lt;=$K$1,MATCH(1190.5,INDIRECT("$K$4:$K$1374"),1),"")</f>
        <v/>
      </c>
      <c r="K1195" s="292" t="n">
        <f aca="false">$K$1156+COUNTIF($Q$1157:Q1195,"&gt;0")</f>
        <v>0</v>
      </c>
      <c r="L1195" s="292" t="str">
        <f aca="false">"Стёкла серии Elephant"&amp;" · "&amp;'Стёкла серии Elephant'!$N$331</f>
        <v>Стёкла серии Elephant · Elephant</v>
      </c>
      <c r="M1195" s="292" t="str">
        <f aca="false">IF(ISBLANK('Стёкла серии Elephant'!$O$331),"",'Стёкла серии Elephant'!$O$331)</f>
        <v>J4-2018</v>
      </c>
      <c r="N1195" s="292" t="str">
        <f aca="false">""</f>
        <v/>
      </c>
      <c r="O1195" s="292" t="str">
        <f aca="false">""</f>
        <v/>
      </c>
      <c r="P1195" s="292" t="str">
        <f aca="false">IF(ISBLANK('Стёкла серии Elephant'!$P$331),"",'Стёкла серии Elephant'!$P$331)</f>
        <v>шт.</v>
      </c>
      <c r="Q1195" s="292" t="n">
        <f aca="false">N('Стёкла серии Elephant'!$R$331)</f>
        <v>0</v>
      </c>
      <c r="R1195" s="299" t="n">
        <f aca="false">IF(ISBLANK('Стёкла серии Elephant'!$Q$331),"",'Стёкла серии Elephant'!$Q$331)</f>
        <v>122.32</v>
      </c>
      <c r="S1195" s="292" t="str">
        <f aca="false">IF(ISBLANK('Стёкла серии Elephant'!$S$331),"",'Стёкла серии Elephant'!$S$331)</f>
        <v/>
      </c>
    </row>
    <row r="1196" customFormat="false" ht="66" hidden="false" customHeight="true" outlineLevel="0" collapsed="false">
      <c r="A1196" s="291" t="str">
        <f aca="true">IF(ISNUMBER($J1196),INDIRECT("L"&amp;($J1196+4)),"")</f>
        <v/>
      </c>
      <c r="B1196" s="291" t="str">
        <f aca="true">IF(ISNUMBER($J1196),INDIRECT("M"&amp;($J1196+4)),"")</f>
        <v/>
      </c>
      <c r="C1196" s="296" t="str">
        <f aca="true">IF(ISNUMBER($J1196),INDIRECT("N"&amp;($J1196+4)),"")</f>
        <v/>
      </c>
      <c r="D1196" s="291" t="str">
        <f aca="true">IF(ISNUMBER($J1196),INDIRECT("O"&amp;($J1196+4)),"")</f>
        <v/>
      </c>
      <c r="E1196" s="291" t="str">
        <f aca="true">IF(ISNUMBER($J1196),INDIRECT("P"&amp;($J1196+4)),"")</f>
        <v/>
      </c>
      <c r="F1196" s="300" t="str">
        <f aca="true">IF(ISNUMBER($J1196),INDIRECT("Q"&amp;($J1196+4)),"")</f>
        <v/>
      </c>
      <c r="G1196" s="298" t="str">
        <f aca="true">IF(ISNUMBER($J1196),INDIRECT("R"&amp;($J1196+4)),"")</f>
        <v/>
      </c>
      <c r="H1196" s="298" t="str">
        <f aca="true">IF(ISNUMBER($J1196),INDIRECT("S"&amp;($J1196+4)),"")</f>
        <v/>
      </c>
      <c r="J1196" s="292" t="str">
        <f aca="true">IF(1192&lt;=$K$1,MATCH(1191.5,INDIRECT("$K$4:$K$1374"),1),"")</f>
        <v/>
      </c>
      <c r="K1196" s="292" t="n">
        <f aca="false">$K$1156+COUNTIF($Q$1157:Q1196,"&gt;0")</f>
        <v>0</v>
      </c>
      <c r="L1196" s="292" t="str">
        <f aca="false">"Стёкла серии Elephant"&amp;" · "&amp;'Стёкла серии Elephant'!$N$332</f>
        <v>Стёкла серии Elephant · Elephant</v>
      </c>
      <c r="M1196" s="292" t="str">
        <f aca="false">IF(ISBLANK('Стёкла серии Elephant'!$O$332),"",'Стёкла серии Elephant'!$O$332)</f>
        <v>Realme U1</v>
      </c>
      <c r="N1196" s="292" t="str">
        <f aca="false">""</f>
        <v/>
      </c>
      <c r="O1196" s="292" t="str">
        <f aca="false">""</f>
        <v/>
      </c>
      <c r="P1196" s="292" t="str">
        <f aca="false">IF(ISBLANK('Стёкла серии Elephant'!$P$332),"",'Стёкла серии Elephant'!$P$332)</f>
        <v>шт.</v>
      </c>
      <c r="Q1196" s="292" t="n">
        <f aca="false">N('Стёкла серии Elephant'!$R$332)</f>
        <v>0</v>
      </c>
      <c r="R1196" s="299" t="n">
        <f aca="false">IF(ISBLANK('Стёкла серии Elephant'!$Q$332),"",'Стёкла серии Elephant'!$Q$332)</f>
        <v>122.32</v>
      </c>
      <c r="S1196" s="292" t="str">
        <f aca="false">IF(ISBLANK('Стёкла серии Elephant'!$S$332),"",'Стёкла серии Elephant'!$S$332)</f>
        <v/>
      </c>
    </row>
    <row r="1197" customFormat="false" ht="66" hidden="false" customHeight="true" outlineLevel="0" collapsed="false">
      <c r="A1197" s="291" t="str">
        <f aca="true">IF(ISNUMBER($J1197),INDIRECT("L"&amp;($J1197+4)),"")</f>
        <v/>
      </c>
      <c r="B1197" s="291" t="str">
        <f aca="true">IF(ISNUMBER($J1197),INDIRECT("M"&amp;($J1197+4)),"")</f>
        <v/>
      </c>
      <c r="C1197" s="296" t="str">
        <f aca="true">IF(ISNUMBER($J1197),INDIRECT("N"&amp;($J1197+4)),"")</f>
        <v/>
      </c>
      <c r="D1197" s="291" t="str">
        <f aca="true">IF(ISNUMBER($J1197),INDIRECT("O"&amp;($J1197+4)),"")</f>
        <v/>
      </c>
      <c r="E1197" s="291" t="str">
        <f aca="true">IF(ISNUMBER($J1197),INDIRECT("P"&amp;($J1197+4)),"")</f>
        <v/>
      </c>
      <c r="F1197" s="300" t="str">
        <f aca="true">IF(ISNUMBER($J1197),INDIRECT("Q"&amp;($J1197+4)),"")</f>
        <v/>
      </c>
      <c r="G1197" s="298" t="str">
        <f aca="true">IF(ISNUMBER($J1197),INDIRECT("R"&amp;($J1197+4)),"")</f>
        <v/>
      </c>
      <c r="H1197" s="298" t="str">
        <f aca="true">IF(ISNUMBER($J1197),INDIRECT("S"&amp;($J1197+4)),"")</f>
        <v/>
      </c>
      <c r="J1197" s="292" t="str">
        <f aca="true">IF(1193&lt;=$K$1,MATCH(1192.5,INDIRECT("$K$4:$K$1374"),1),"")</f>
        <v/>
      </c>
      <c r="K1197" s="292" t="n">
        <f aca="false">$K$1156+COUNTIF($Q$1157:Q1197,"&gt;0")</f>
        <v>0</v>
      </c>
      <c r="L1197" s="292" t="str">
        <f aca="false">"Стёкла серии Elephant"&amp;" · "&amp;'Стёкла серии Elephant'!$N$333</f>
        <v>Стёкла серии Elephant · Elephant</v>
      </c>
      <c r="M1197" s="292" t="str">
        <f aca="false">IF(ISBLANK('Стёкла серии Elephant'!$O$333),"",'Стёкла серии Elephant'!$O$333)</f>
        <v>REALME Q3/Q3i 5G</v>
      </c>
      <c r="N1197" s="292" t="str">
        <f aca="false">""</f>
        <v/>
      </c>
      <c r="O1197" s="292" t="str">
        <f aca="false">""</f>
        <v/>
      </c>
      <c r="P1197" s="292" t="str">
        <f aca="false">IF(ISBLANK('Стёкла серии Elephant'!$P$333),"",'Стёкла серии Elephant'!$P$333)</f>
        <v>шт.</v>
      </c>
      <c r="Q1197" s="292" t="n">
        <f aca="false">N('Стёкла серии Elephant'!$R$333)</f>
        <v>0</v>
      </c>
      <c r="R1197" s="299" t="n">
        <f aca="false">IF(ISBLANK('Стёкла серии Elephant'!$Q$333),"",'Стёкла серии Elephant'!$Q$333)</f>
        <v>122.32</v>
      </c>
      <c r="S1197" s="292" t="str">
        <f aca="false">IF(ISBLANK('Стёкла серии Elephant'!$S$333),"",'Стёкла серии Elephant'!$S$333)</f>
        <v/>
      </c>
    </row>
    <row r="1198" customFormat="false" ht="66" hidden="false" customHeight="true" outlineLevel="0" collapsed="false">
      <c r="A1198" s="291" t="str">
        <f aca="true">IF(ISNUMBER($J1198),INDIRECT("L"&amp;($J1198+4)),"")</f>
        <v/>
      </c>
      <c r="B1198" s="291" t="str">
        <f aca="true">IF(ISNUMBER($J1198),INDIRECT("M"&amp;($J1198+4)),"")</f>
        <v/>
      </c>
      <c r="C1198" s="296" t="str">
        <f aca="true">IF(ISNUMBER($J1198),INDIRECT("N"&amp;($J1198+4)),"")</f>
        <v/>
      </c>
      <c r="D1198" s="291" t="str">
        <f aca="true">IF(ISNUMBER($J1198),INDIRECT("O"&amp;($J1198+4)),"")</f>
        <v/>
      </c>
      <c r="E1198" s="291" t="str">
        <f aca="true">IF(ISNUMBER($J1198),INDIRECT("P"&amp;($J1198+4)),"")</f>
        <v/>
      </c>
      <c r="F1198" s="300" t="str">
        <f aca="true">IF(ISNUMBER($J1198),INDIRECT("Q"&amp;($J1198+4)),"")</f>
        <v/>
      </c>
      <c r="G1198" s="298" t="str">
        <f aca="true">IF(ISNUMBER($J1198),INDIRECT("R"&amp;($J1198+4)),"")</f>
        <v/>
      </c>
      <c r="H1198" s="298" t="str">
        <f aca="true">IF(ISNUMBER($J1198),INDIRECT("S"&amp;($J1198+4)),"")</f>
        <v/>
      </c>
      <c r="J1198" s="292" t="str">
        <f aca="true">IF(1194&lt;=$K$1,MATCH(1193.5,INDIRECT("$K$4:$K$1374"),1),"")</f>
        <v/>
      </c>
      <c r="K1198" s="292" t="n">
        <f aca="false">$K$1156+COUNTIF($Q$1157:Q1198,"&gt;0")</f>
        <v>0</v>
      </c>
      <c r="L1198" s="292" t="str">
        <f aca="false">"Стёкла серии Elephant"&amp;" · "&amp;'Стёкла серии Elephant'!$N$334</f>
        <v>Стёкла серии Elephant · Elephant</v>
      </c>
      <c r="M1198" s="292" t="str">
        <f aca="false">IF(ISBLANK('Стёкла серии Elephant'!$O$334),"",'Стёкла серии Elephant'!$O$334)</f>
        <v>iQOO 3 (5G)</v>
      </c>
      <c r="N1198" s="292" t="str">
        <f aca="false">""</f>
        <v/>
      </c>
      <c r="O1198" s="292" t="str">
        <f aca="false">""</f>
        <v/>
      </c>
      <c r="P1198" s="292" t="str">
        <f aca="false">IF(ISBLANK('Стёкла серии Elephant'!$P$334),"",'Стёкла серии Elephant'!$P$334)</f>
        <v>шт.</v>
      </c>
      <c r="Q1198" s="292" t="n">
        <f aca="false">N('Стёкла серии Elephant'!$R$334)</f>
        <v>0</v>
      </c>
      <c r="R1198" s="299" t="n">
        <f aca="false">IF(ISBLANK('Стёкла серии Elephant'!$Q$334),"",'Стёкла серии Elephant'!$Q$334)</f>
        <v>122.32</v>
      </c>
      <c r="S1198" s="292" t="str">
        <f aca="false">IF(ISBLANK('Стёкла серии Elephant'!$S$334),"",'Стёкла серии Elephant'!$S$334)</f>
        <v/>
      </c>
    </row>
    <row r="1199" customFormat="false" ht="66" hidden="false" customHeight="true" outlineLevel="0" collapsed="false">
      <c r="A1199" s="291" t="str">
        <f aca="true">IF(ISNUMBER($J1199),INDIRECT("L"&amp;($J1199+4)),"")</f>
        <v/>
      </c>
      <c r="B1199" s="291" t="str">
        <f aca="true">IF(ISNUMBER($J1199),INDIRECT("M"&amp;($J1199+4)),"")</f>
        <v/>
      </c>
      <c r="C1199" s="296" t="str">
        <f aca="true">IF(ISNUMBER($J1199),INDIRECT("N"&amp;($J1199+4)),"")</f>
        <v/>
      </c>
      <c r="D1199" s="291" t="str">
        <f aca="true">IF(ISNUMBER($J1199),INDIRECT("O"&amp;($J1199+4)),"")</f>
        <v/>
      </c>
      <c r="E1199" s="291" t="str">
        <f aca="true">IF(ISNUMBER($J1199),INDIRECT("P"&amp;($J1199+4)),"")</f>
        <v/>
      </c>
      <c r="F1199" s="300" t="str">
        <f aca="true">IF(ISNUMBER($J1199),INDIRECT("Q"&amp;($J1199+4)),"")</f>
        <v/>
      </c>
      <c r="G1199" s="298" t="str">
        <f aca="true">IF(ISNUMBER($J1199),INDIRECT("R"&amp;($J1199+4)),"")</f>
        <v/>
      </c>
      <c r="H1199" s="298" t="str">
        <f aca="true">IF(ISNUMBER($J1199),INDIRECT("S"&amp;($J1199+4)),"")</f>
        <v/>
      </c>
      <c r="J1199" s="292" t="str">
        <f aca="true">IF(1195&lt;=$K$1,MATCH(1194.5,INDIRECT("$K$4:$K$1374"),1),"")</f>
        <v/>
      </c>
      <c r="K1199" s="292" t="n">
        <f aca="false">$K$1156+COUNTIF($Q$1157:Q1199,"&gt;0")</f>
        <v>0</v>
      </c>
      <c r="L1199" s="292" t="str">
        <f aca="false">"Стёкла серии Elephant"&amp;" · "&amp;'Стёкла серии Elephant'!$N$335</f>
        <v>Стёкла серии Elephant · Elephant</v>
      </c>
      <c r="M1199" s="292" t="str">
        <f aca="false">IF(ISBLANK('Стёкла серии Elephant'!$O$335),"",'Стёкла серии Elephant'!$O$335)</f>
        <v>Y7P-2020</v>
      </c>
      <c r="N1199" s="292" t="str">
        <f aca="false">""</f>
        <v/>
      </c>
      <c r="O1199" s="292" t="str">
        <f aca="false">""</f>
        <v/>
      </c>
      <c r="P1199" s="292" t="str">
        <f aca="false">IF(ISBLANK('Стёкла серии Elephant'!$P$335),"",'Стёкла серии Elephant'!$P$335)</f>
        <v>шт.</v>
      </c>
      <c r="Q1199" s="292" t="n">
        <f aca="false">N('Стёкла серии Elephant'!$R$335)</f>
        <v>0</v>
      </c>
      <c r="R1199" s="299" t="n">
        <f aca="false">IF(ISBLANK('Стёкла серии Elephant'!$Q$335),"",'Стёкла серии Elephant'!$Q$335)</f>
        <v>122.32</v>
      </c>
      <c r="S1199" s="292" t="str">
        <f aca="false">IF(ISBLANK('Стёкла серии Elephant'!$S$335),"",'Стёкла серии Elephant'!$S$335)</f>
        <v/>
      </c>
    </row>
    <row r="1200" customFormat="false" ht="66" hidden="false" customHeight="true" outlineLevel="0" collapsed="false">
      <c r="A1200" s="291" t="str">
        <f aca="true">IF(ISNUMBER($J1200),INDIRECT("L"&amp;($J1200+4)),"")</f>
        <v/>
      </c>
      <c r="B1200" s="291" t="str">
        <f aca="true">IF(ISNUMBER($J1200),INDIRECT("M"&amp;($J1200+4)),"")</f>
        <v/>
      </c>
      <c r="C1200" s="296" t="str">
        <f aca="true">IF(ISNUMBER($J1200),INDIRECT("N"&amp;($J1200+4)),"")</f>
        <v/>
      </c>
      <c r="D1200" s="291" t="str">
        <f aca="true">IF(ISNUMBER($J1200),INDIRECT("O"&amp;($J1200+4)),"")</f>
        <v/>
      </c>
      <c r="E1200" s="291" t="str">
        <f aca="true">IF(ISNUMBER($J1200),INDIRECT("P"&amp;($J1200+4)),"")</f>
        <v/>
      </c>
      <c r="F1200" s="300" t="str">
        <f aca="true">IF(ISNUMBER($J1200),INDIRECT("Q"&amp;($J1200+4)),"")</f>
        <v/>
      </c>
      <c r="G1200" s="298" t="str">
        <f aca="true">IF(ISNUMBER($J1200),INDIRECT("R"&amp;($J1200+4)),"")</f>
        <v/>
      </c>
      <c r="H1200" s="298" t="str">
        <f aca="true">IF(ISNUMBER($J1200),INDIRECT("S"&amp;($J1200+4)),"")</f>
        <v/>
      </c>
      <c r="J1200" s="292" t="str">
        <f aca="true">IF(1196&lt;=$K$1,MATCH(1195.5,INDIRECT("$K$4:$K$1374"),1),"")</f>
        <v/>
      </c>
      <c r="K1200" s="292" t="n">
        <f aca="false">$K$1156+COUNTIF($Q$1157:Q1200,"&gt;0")</f>
        <v>0</v>
      </c>
      <c r="L1200" s="292" t="str">
        <f aca="false">"Стёкла серии Elephant"&amp;" · "&amp;'Стёкла серии Elephant'!$N$336</f>
        <v>Стёкла серии Elephant · Elephant</v>
      </c>
      <c r="M1200" s="292" t="str">
        <f aca="false">IF(ISBLANK('Стёкла серии Elephant'!$O$336),"",'Стёкла серии Elephant'!$O$336)</f>
        <v>Y9A</v>
      </c>
      <c r="N1200" s="292" t="str">
        <f aca="false">""</f>
        <v/>
      </c>
      <c r="O1200" s="292" t="str">
        <f aca="false">""</f>
        <v/>
      </c>
      <c r="P1200" s="292" t="str">
        <f aca="false">IF(ISBLANK('Стёкла серии Elephant'!$P$336),"",'Стёкла серии Elephant'!$P$336)</f>
        <v>шт.</v>
      </c>
      <c r="Q1200" s="292" t="n">
        <f aca="false">N('Стёкла серии Elephant'!$R$336)</f>
        <v>0</v>
      </c>
      <c r="R1200" s="299" t="n">
        <f aca="false">IF(ISBLANK('Стёкла серии Elephant'!$Q$336),"",'Стёкла серии Elephant'!$Q$336)</f>
        <v>122.32</v>
      </c>
      <c r="S1200" s="292" t="str">
        <f aca="false">IF(ISBLANK('Стёкла серии Elephant'!$S$336),"",'Стёкла серии Elephant'!$S$336)</f>
        <v/>
      </c>
    </row>
    <row r="1201" customFormat="false" ht="66" hidden="false" customHeight="true" outlineLevel="0" collapsed="false">
      <c r="A1201" s="291" t="str">
        <f aca="true">IF(ISNUMBER($J1201),INDIRECT("L"&amp;($J1201+4)),"")</f>
        <v/>
      </c>
      <c r="B1201" s="291" t="str">
        <f aca="true">IF(ISNUMBER($J1201),INDIRECT("M"&amp;($J1201+4)),"")</f>
        <v/>
      </c>
      <c r="C1201" s="296" t="str">
        <f aca="true">IF(ISNUMBER($J1201),INDIRECT("N"&amp;($J1201+4)),"")</f>
        <v/>
      </c>
      <c r="D1201" s="291" t="str">
        <f aca="true">IF(ISNUMBER($J1201),INDIRECT("O"&amp;($J1201+4)),"")</f>
        <v/>
      </c>
      <c r="E1201" s="291" t="str">
        <f aca="true">IF(ISNUMBER($J1201),INDIRECT("P"&amp;($J1201+4)),"")</f>
        <v/>
      </c>
      <c r="F1201" s="300" t="str">
        <f aca="true">IF(ISNUMBER($J1201),INDIRECT("Q"&amp;($J1201+4)),"")</f>
        <v/>
      </c>
      <c r="G1201" s="298" t="str">
        <f aca="true">IF(ISNUMBER($J1201),INDIRECT("R"&amp;($J1201+4)),"")</f>
        <v/>
      </c>
      <c r="H1201" s="298" t="str">
        <f aca="true">IF(ISNUMBER($J1201),INDIRECT("S"&amp;($J1201+4)),"")</f>
        <v/>
      </c>
      <c r="J1201" s="292" t="str">
        <f aca="true">IF(1197&lt;=$K$1,MATCH(1196.5,INDIRECT("$K$4:$K$1374"),1),"")</f>
        <v/>
      </c>
      <c r="K1201" s="292" t="n">
        <f aca="false">$K$1156+COUNTIF($Q$1157:Q1201,"&gt;0")</f>
        <v>0</v>
      </c>
      <c r="L1201" s="292" t="str">
        <f aca="false">"Стёкла серии Elephant"&amp;" · "&amp;'Стёкла серии Elephant'!$N$337</f>
        <v>Стёкла серии Elephant · Elephant</v>
      </c>
      <c r="M1201" s="292" t="str">
        <f aca="false">IF(ISBLANK('Стёкла серии Elephant'!$O$337),"",'Стёкла серии Elephant'!$O$337)</f>
        <v>MI POCO M2 PRO</v>
      </c>
      <c r="N1201" s="292" t="str">
        <f aca="false">""</f>
        <v/>
      </c>
      <c r="O1201" s="292" t="str">
        <f aca="false">""</f>
        <v/>
      </c>
      <c r="P1201" s="292" t="str">
        <f aca="false">IF(ISBLANK('Стёкла серии Elephant'!$P$337),"",'Стёкла серии Elephant'!$P$337)</f>
        <v>шт.</v>
      </c>
      <c r="Q1201" s="292" t="n">
        <f aca="false">N('Стёкла серии Elephant'!$R$337)</f>
        <v>0</v>
      </c>
      <c r="R1201" s="299" t="n">
        <f aca="false">IF(ISBLANK('Стёкла серии Elephant'!$Q$337),"",'Стёкла серии Elephant'!$Q$337)</f>
        <v>122.32</v>
      </c>
      <c r="S1201" s="292" t="str">
        <f aca="false">IF(ISBLANK('Стёкла серии Elephant'!$S$337),"",'Стёкла серии Elephant'!$S$337)</f>
        <v/>
      </c>
    </row>
    <row r="1202" customFormat="false" ht="66" hidden="false" customHeight="true" outlineLevel="0" collapsed="false">
      <c r="A1202" s="291" t="str">
        <f aca="true">IF(ISNUMBER($J1202),INDIRECT("L"&amp;($J1202+4)),"")</f>
        <v/>
      </c>
      <c r="B1202" s="291" t="str">
        <f aca="true">IF(ISNUMBER($J1202),INDIRECT("M"&amp;($J1202+4)),"")</f>
        <v/>
      </c>
      <c r="C1202" s="296" t="str">
        <f aca="true">IF(ISNUMBER($J1202),INDIRECT("N"&amp;($J1202+4)),"")</f>
        <v/>
      </c>
      <c r="D1202" s="291" t="str">
        <f aca="true">IF(ISNUMBER($J1202),INDIRECT("O"&amp;($J1202+4)),"")</f>
        <v/>
      </c>
      <c r="E1202" s="291" t="str">
        <f aca="true">IF(ISNUMBER($J1202),INDIRECT("P"&amp;($J1202+4)),"")</f>
        <v/>
      </c>
      <c r="F1202" s="300" t="str">
        <f aca="true">IF(ISNUMBER($J1202),INDIRECT("Q"&amp;($J1202+4)),"")</f>
        <v/>
      </c>
      <c r="G1202" s="298" t="str">
        <f aca="true">IF(ISNUMBER($J1202),INDIRECT("R"&amp;($J1202+4)),"")</f>
        <v/>
      </c>
      <c r="H1202" s="298" t="str">
        <f aca="true">IF(ISNUMBER($J1202),INDIRECT("S"&amp;($J1202+4)),"")</f>
        <v/>
      </c>
      <c r="J1202" s="292" t="str">
        <f aca="true">IF(1198&lt;=$K$1,MATCH(1197.5,INDIRECT("$K$4:$K$1374"),1),"")</f>
        <v/>
      </c>
      <c r="K1202" s="292" t="n">
        <f aca="false">$K$1156+COUNTIF($Q$1157:Q1202,"&gt;0")</f>
        <v>0</v>
      </c>
      <c r="L1202" s="292" t="str">
        <f aca="false">"Стёкла серии Elephant"&amp;" · "&amp;'Стёкла серии Elephant'!$N$338</f>
        <v>Стёкла серии Elephant · Elephant</v>
      </c>
      <c r="M1202" s="292" t="str">
        <f aca="false">IF(ISBLANK('Стёкла серии Elephant'!$O$338),"",'Стёкла серии Elephant'!$O$338)</f>
        <v>A2 core/J2 Core</v>
      </c>
      <c r="N1202" s="292" t="str">
        <f aca="false">""</f>
        <v/>
      </c>
      <c r="O1202" s="292" t="str">
        <f aca="false">""</f>
        <v/>
      </c>
      <c r="P1202" s="292" t="str">
        <f aca="false">IF(ISBLANK('Стёкла серии Elephant'!$P$338),"",'Стёкла серии Elephant'!$P$338)</f>
        <v>шт.</v>
      </c>
      <c r="Q1202" s="292" t="n">
        <f aca="false">N('Стёкла серии Elephant'!$R$338)</f>
        <v>0</v>
      </c>
      <c r="R1202" s="299" t="n">
        <f aca="false">IF(ISBLANK('Стёкла серии Elephant'!$Q$338),"",'Стёкла серии Elephant'!$Q$338)</f>
        <v>122.32</v>
      </c>
      <c r="S1202" s="292" t="str">
        <f aca="false">IF(ISBLANK('Стёкла серии Elephant'!$S$338),"",'Стёкла серии Elephant'!$S$338)</f>
        <v/>
      </c>
    </row>
    <row r="1203" customFormat="false" ht="66" hidden="false" customHeight="true" outlineLevel="0" collapsed="false">
      <c r="A1203" s="291" t="str">
        <f aca="true">IF(ISNUMBER($J1203),INDIRECT("L"&amp;($J1203+4)),"")</f>
        <v/>
      </c>
      <c r="B1203" s="291" t="str">
        <f aca="true">IF(ISNUMBER($J1203),INDIRECT("M"&amp;($J1203+4)),"")</f>
        <v/>
      </c>
      <c r="C1203" s="296" t="str">
        <f aca="true">IF(ISNUMBER($J1203),INDIRECT("N"&amp;($J1203+4)),"")</f>
        <v/>
      </c>
      <c r="D1203" s="291" t="str">
        <f aca="true">IF(ISNUMBER($J1203),INDIRECT("O"&amp;($J1203+4)),"")</f>
        <v/>
      </c>
      <c r="E1203" s="291" t="str">
        <f aca="true">IF(ISNUMBER($J1203),INDIRECT("P"&amp;($J1203+4)),"")</f>
        <v/>
      </c>
      <c r="F1203" s="300" t="str">
        <f aca="true">IF(ISNUMBER($J1203),INDIRECT("Q"&amp;($J1203+4)),"")</f>
        <v/>
      </c>
      <c r="G1203" s="298" t="str">
        <f aca="true">IF(ISNUMBER($J1203),INDIRECT("R"&amp;($J1203+4)),"")</f>
        <v/>
      </c>
      <c r="H1203" s="298" t="str">
        <f aca="true">IF(ISNUMBER($J1203),INDIRECT("S"&amp;($J1203+4)),"")</f>
        <v/>
      </c>
      <c r="J1203" s="292" t="str">
        <f aca="true">IF(1199&lt;=$K$1,MATCH(1198.5,INDIRECT("$K$4:$K$1374"),1),"")</f>
        <v/>
      </c>
      <c r="K1203" s="292" t="n">
        <f aca="false">$K$1156+COUNTIF($Q$1157:Q1203,"&gt;0")</f>
        <v>0</v>
      </c>
      <c r="L1203" s="292" t="str">
        <f aca="false">"Стёкла серии Elephant"&amp;" · "&amp;'Стёкла серии Elephant'!$N$339</f>
        <v>Стёкла серии Elephant · Elephant</v>
      </c>
      <c r="M1203" s="292" t="str">
        <f aca="false">IF(ISBLANK('Стёкла серии Elephant'!$O$339),"",'Стёкла серии Elephant'!$O$339)</f>
        <v>Reno  4</v>
      </c>
      <c r="N1203" s="292" t="str">
        <f aca="false">""</f>
        <v/>
      </c>
      <c r="O1203" s="292" t="str">
        <f aca="false">""</f>
        <v/>
      </c>
      <c r="P1203" s="292" t="str">
        <f aca="false">IF(ISBLANK('Стёкла серии Elephant'!$P$339),"",'Стёкла серии Elephant'!$P$339)</f>
        <v>шт.</v>
      </c>
      <c r="Q1203" s="292" t="n">
        <f aca="false">N('Стёкла серии Elephant'!$R$339)</f>
        <v>0</v>
      </c>
      <c r="R1203" s="299" t="n">
        <f aca="false">IF(ISBLANK('Стёкла серии Elephant'!$Q$339),"",'Стёкла серии Elephant'!$Q$339)</f>
        <v>122.32</v>
      </c>
      <c r="S1203" s="292" t="str">
        <f aca="false">IF(ISBLANK('Стёкла серии Elephant'!$S$339),"",'Стёкла серии Elephant'!$S$339)</f>
        <v/>
      </c>
    </row>
    <row r="1204" customFormat="false" ht="66" hidden="false" customHeight="true" outlineLevel="0" collapsed="false">
      <c r="A1204" s="291" t="str">
        <f aca="true">IF(ISNUMBER($J1204),INDIRECT("L"&amp;($J1204+4)),"")</f>
        <v/>
      </c>
      <c r="B1204" s="291" t="str">
        <f aca="true">IF(ISNUMBER($J1204),INDIRECT("M"&amp;($J1204+4)),"")</f>
        <v/>
      </c>
      <c r="C1204" s="296" t="str">
        <f aca="true">IF(ISNUMBER($J1204),INDIRECT("N"&amp;($J1204+4)),"")</f>
        <v/>
      </c>
      <c r="D1204" s="291" t="str">
        <f aca="true">IF(ISNUMBER($J1204),INDIRECT("O"&amp;($J1204+4)),"")</f>
        <v/>
      </c>
      <c r="E1204" s="291" t="str">
        <f aca="true">IF(ISNUMBER($J1204),INDIRECT("P"&amp;($J1204+4)),"")</f>
        <v/>
      </c>
      <c r="F1204" s="300" t="str">
        <f aca="true">IF(ISNUMBER($J1204),INDIRECT("Q"&amp;($J1204+4)),"")</f>
        <v/>
      </c>
      <c r="G1204" s="298" t="str">
        <f aca="true">IF(ISNUMBER($J1204),INDIRECT("R"&amp;($J1204+4)),"")</f>
        <v/>
      </c>
      <c r="H1204" s="298" t="str">
        <f aca="true">IF(ISNUMBER($J1204),INDIRECT("S"&amp;($J1204+4)),"")</f>
        <v/>
      </c>
      <c r="J1204" s="292" t="str">
        <f aca="true">IF(1200&lt;=$K$1,MATCH(1199.5,INDIRECT("$K$4:$K$1374"),1),"")</f>
        <v/>
      </c>
      <c r="K1204" s="292" t="n">
        <f aca="false">$K$1156+COUNTIF($Q$1157:Q1204,"&gt;0")</f>
        <v>0</v>
      </c>
      <c r="L1204" s="292" t="str">
        <f aca="false">"Стёкла серии Elephant"&amp;" · "&amp;'Стёкла серии Elephant'!$N$340</f>
        <v>Стёкла серии Elephant · Elephant</v>
      </c>
      <c r="M1204" s="292" t="str">
        <f aca="false">IF(ISBLANK('Стёкла серии Elephant'!$O$340),"",'Стёкла серии Elephant'!$O$340)</f>
        <v>Realme Q</v>
      </c>
      <c r="N1204" s="292" t="str">
        <f aca="false">""</f>
        <v/>
      </c>
      <c r="O1204" s="292" t="str">
        <f aca="false">""</f>
        <v/>
      </c>
      <c r="P1204" s="292" t="str">
        <f aca="false">IF(ISBLANK('Стёкла серии Elephant'!$P$340),"",'Стёкла серии Elephant'!$P$340)</f>
        <v>шт.</v>
      </c>
      <c r="Q1204" s="292" t="n">
        <f aca="false">N('Стёкла серии Elephant'!$R$340)</f>
        <v>0</v>
      </c>
      <c r="R1204" s="299" t="n">
        <f aca="false">IF(ISBLANK('Стёкла серии Elephant'!$Q$340),"",'Стёкла серии Elephant'!$Q$340)</f>
        <v>122.32</v>
      </c>
      <c r="S1204" s="292" t="str">
        <f aca="false">IF(ISBLANK('Стёкла серии Elephant'!$S$340),"",'Стёкла серии Elephant'!$S$340)</f>
        <v/>
      </c>
    </row>
    <row r="1205" customFormat="false" ht="66" hidden="false" customHeight="true" outlineLevel="0" collapsed="false">
      <c r="A1205" s="291" t="str">
        <f aca="true">IF(ISNUMBER($J1205),INDIRECT("L"&amp;($J1205+4)),"")</f>
        <v/>
      </c>
      <c r="B1205" s="291" t="str">
        <f aca="true">IF(ISNUMBER($J1205),INDIRECT("M"&amp;($J1205+4)),"")</f>
        <v/>
      </c>
      <c r="C1205" s="296" t="str">
        <f aca="true">IF(ISNUMBER($J1205),INDIRECT("N"&amp;($J1205+4)),"")</f>
        <v/>
      </c>
      <c r="D1205" s="291" t="str">
        <f aca="true">IF(ISNUMBER($J1205),INDIRECT("O"&amp;($J1205+4)),"")</f>
        <v/>
      </c>
      <c r="E1205" s="291" t="str">
        <f aca="true">IF(ISNUMBER($J1205),INDIRECT("P"&amp;($J1205+4)),"")</f>
        <v/>
      </c>
      <c r="F1205" s="300" t="str">
        <f aca="true">IF(ISNUMBER($J1205),INDIRECT("Q"&amp;($J1205+4)),"")</f>
        <v/>
      </c>
      <c r="G1205" s="298" t="str">
        <f aca="true">IF(ISNUMBER($J1205),INDIRECT("R"&amp;($J1205+4)),"")</f>
        <v/>
      </c>
      <c r="H1205" s="298" t="str">
        <f aca="true">IF(ISNUMBER($J1205),INDIRECT("S"&amp;($J1205+4)),"")</f>
        <v/>
      </c>
      <c r="J1205" s="292" t="str">
        <f aca="true">IF(1201&lt;=$K$1,MATCH(1200.5,INDIRECT("$K$4:$K$1374"),1),"")</f>
        <v/>
      </c>
      <c r="K1205" s="292" t="n">
        <f aca="false">$K$1156+COUNTIF($Q$1157:Q1205,"&gt;0")</f>
        <v>0</v>
      </c>
      <c r="L1205" s="292" t="str">
        <f aca="false">"Стёкла серии Elephant"&amp;" · "&amp;'Стёкла серии Elephant'!$N$341</f>
        <v>Стёкла серии Elephant · Elephant</v>
      </c>
      <c r="M1205" s="292" t="str">
        <f aca="false">IF(ISBLANK('Стёкла серии Elephant'!$O$341),"",'Стёкла серии Elephant'!$O$341)</f>
        <v>S1 Pro</v>
      </c>
      <c r="N1205" s="292" t="str">
        <f aca="false">""</f>
        <v/>
      </c>
      <c r="O1205" s="292" t="str">
        <f aca="false">""</f>
        <v/>
      </c>
      <c r="P1205" s="292" t="str">
        <f aca="false">IF(ISBLANK('Стёкла серии Elephant'!$P$341),"",'Стёкла серии Elephant'!$P$341)</f>
        <v>шт.</v>
      </c>
      <c r="Q1205" s="292" t="n">
        <f aca="false">N('Стёкла серии Elephant'!$R$341)</f>
        <v>0</v>
      </c>
      <c r="R1205" s="299" t="n">
        <f aca="false">IF(ISBLANK('Стёкла серии Elephant'!$Q$341),"",'Стёкла серии Elephant'!$Q$341)</f>
        <v>122.32</v>
      </c>
      <c r="S1205" s="292" t="str">
        <f aca="false">IF(ISBLANK('Стёкла серии Elephant'!$S$341),"",'Стёкла серии Elephant'!$S$341)</f>
        <v/>
      </c>
    </row>
    <row r="1206" customFormat="false" ht="66" hidden="false" customHeight="true" outlineLevel="0" collapsed="false">
      <c r="A1206" s="291" t="str">
        <f aca="true">IF(ISNUMBER($J1206),INDIRECT("L"&amp;($J1206+4)),"")</f>
        <v/>
      </c>
      <c r="B1206" s="291" t="str">
        <f aca="true">IF(ISNUMBER($J1206),INDIRECT("M"&amp;($J1206+4)),"")</f>
        <v/>
      </c>
      <c r="C1206" s="296" t="str">
        <f aca="true">IF(ISNUMBER($J1206),INDIRECT("N"&amp;($J1206+4)),"")</f>
        <v/>
      </c>
      <c r="D1206" s="291" t="str">
        <f aca="true">IF(ISNUMBER($J1206),INDIRECT("O"&amp;($J1206+4)),"")</f>
        <v/>
      </c>
      <c r="E1206" s="291" t="str">
        <f aca="true">IF(ISNUMBER($J1206),INDIRECT("P"&amp;($J1206+4)),"")</f>
        <v/>
      </c>
      <c r="F1206" s="300" t="str">
        <f aca="true">IF(ISNUMBER($J1206),INDIRECT("Q"&amp;($J1206+4)),"")</f>
        <v/>
      </c>
      <c r="G1206" s="298" t="str">
        <f aca="true">IF(ISNUMBER($J1206),INDIRECT("R"&amp;($J1206+4)),"")</f>
        <v/>
      </c>
      <c r="H1206" s="298" t="str">
        <f aca="true">IF(ISNUMBER($J1206),INDIRECT("S"&amp;($J1206+4)),"")</f>
        <v/>
      </c>
      <c r="J1206" s="292" t="str">
        <f aca="true">IF(1202&lt;=$K$1,MATCH(1201.5,INDIRECT("$K$4:$K$1374"),1),"")</f>
        <v/>
      </c>
      <c r="K1206" s="292" t="n">
        <f aca="false">$K$1156+COUNTIF($Q$1157:Q1206,"&gt;0")</f>
        <v>0</v>
      </c>
      <c r="L1206" s="292" t="str">
        <f aca="false">"Стёкла серии Elephant"&amp;" · "&amp;'Стёкла серии Elephant'!$N$342</f>
        <v>Стёкла серии Elephant · Elephant</v>
      </c>
      <c r="M1206" s="292" t="str">
        <f aca="false">IF(ISBLANK('Стёкла серии Elephant'!$O$342),"",'Стёкла серии Elephant'!$O$342)</f>
        <v>Nova7i</v>
      </c>
      <c r="N1206" s="292" t="str">
        <f aca="false">""</f>
        <v/>
      </c>
      <c r="O1206" s="292" t="str">
        <f aca="false">""</f>
        <v/>
      </c>
      <c r="P1206" s="292" t="str">
        <f aca="false">IF(ISBLANK('Стёкла серии Elephant'!$P$342),"",'Стёкла серии Elephant'!$P$342)</f>
        <v>шт.</v>
      </c>
      <c r="Q1206" s="292" t="n">
        <f aca="false">N('Стёкла серии Elephant'!$R$342)</f>
        <v>0</v>
      </c>
      <c r="R1206" s="299" t="n">
        <f aca="false">IF(ISBLANK('Стёкла серии Elephant'!$Q$342),"",'Стёкла серии Elephant'!$Q$342)</f>
        <v>122.32</v>
      </c>
      <c r="S1206" s="292" t="str">
        <f aca="false">IF(ISBLANK('Стёкла серии Elephant'!$S$342),"",'Стёкла серии Elephant'!$S$342)</f>
        <v/>
      </c>
    </row>
    <row r="1207" customFormat="false" ht="66" hidden="false" customHeight="true" outlineLevel="0" collapsed="false">
      <c r="A1207" s="291" t="str">
        <f aca="true">IF(ISNUMBER($J1207),INDIRECT("L"&amp;($J1207+4)),"")</f>
        <v/>
      </c>
      <c r="B1207" s="291" t="str">
        <f aca="true">IF(ISNUMBER($J1207),INDIRECT("M"&amp;($J1207+4)),"")</f>
        <v/>
      </c>
      <c r="C1207" s="296" t="str">
        <f aca="true">IF(ISNUMBER($J1207),INDIRECT("N"&amp;($J1207+4)),"")</f>
        <v/>
      </c>
      <c r="D1207" s="291" t="str">
        <f aca="true">IF(ISNUMBER($J1207),INDIRECT("O"&amp;($J1207+4)),"")</f>
        <v/>
      </c>
      <c r="E1207" s="291" t="str">
        <f aca="true">IF(ISNUMBER($J1207),INDIRECT("P"&amp;($J1207+4)),"")</f>
        <v/>
      </c>
      <c r="F1207" s="300" t="str">
        <f aca="true">IF(ISNUMBER($J1207),INDIRECT("Q"&amp;($J1207+4)),"")</f>
        <v/>
      </c>
      <c r="G1207" s="298" t="str">
        <f aca="true">IF(ISNUMBER($J1207),INDIRECT("R"&amp;($J1207+4)),"")</f>
        <v/>
      </c>
      <c r="H1207" s="298" t="str">
        <f aca="true">IF(ISNUMBER($J1207),INDIRECT("S"&amp;($J1207+4)),"")</f>
        <v/>
      </c>
      <c r="J1207" s="292" t="str">
        <f aca="true">IF(1203&lt;=$K$1,MATCH(1202.5,INDIRECT("$K$4:$K$1374"),1),"")</f>
        <v/>
      </c>
      <c r="K1207" s="292" t="n">
        <f aca="false">$K$1156+COUNTIF($Q$1157:Q1207,"&gt;0")</f>
        <v>0</v>
      </c>
      <c r="L1207" s="292" t="str">
        <f aca="false">"Стёкла серии Elephant"&amp;" · "&amp;'Стёкла серии Elephant'!$N$343</f>
        <v>Стёкла серии Elephant · Elephant</v>
      </c>
      <c r="M1207" s="292" t="str">
        <f aca="false">IF(ISBLANK('Стёкла серии Elephant'!$O$343),"",'Стёкла серии Elephant'!$O$343)</f>
        <v>P50</v>
      </c>
      <c r="N1207" s="292" t="str">
        <f aca="false">""</f>
        <v/>
      </c>
      <c r="O1207" s="292" t="str">
        <f aca="false">""</f>
        <v/>
      </c>
      <c r="P1207" s="292" t="str">
        <f aca="false">IF(ISBLANK('Стёкла серии Elephant'!$P$343),"",'Стёкла серии Elephant'!$P$343)</f>
        <v>шт.</v>
      </c>
      <c r="Q1207" s="292" t="n">
        <f aca="false">N('Стёкла серии Elephant'!$R$343)</f>
        <v>0</v>
      </c>
      <c r="R1207" s="299" t="n">
        <f aca="false">IF(ISBLANK('Стёкла серии Elephant'!$Q$343),"",'Стёкла серии Elephant'!$Q$343)</f>
        <v>122.32</v>
      </c>
      <c r="S1207" s="292" t="str">
        <f aca="false">IF(ISBLANK('Стёкла серии Elephant'!$S$343),"",'Стёкла серии Elephant'!$S$343)</f>
        <v/>
      </c>
    </row>
    <row r="1208" customFormat="false" ht="66" hidden="false" customHeight="true" outlineLevel="0" collapsed="false">
      <c r="A1208" s="291" t="str">
        <f aca="true">IF(ISNUMBER($J1208),INDIRECT("L"&amp;($J1208+4)),"")</f>
        <v/>
      </c>
      <c r="B1208" s="291" t="str">
        <f aca="true">IF(ISNUMBER($J1208),INDIRECT("M"&amp;($J1208+4)),"")</f>
        <v/>
      </c>
      <c r="C1208" s="296" t="str">
        <f aca="true">IF(ISNUMBER($J1208),INDIRECT("N"&amp;($J1208+4)),"")</f>
        <v/>
      </c>
      <c r="D1208" s="291" t="str">
        <f aca="true">IF(ISNUMBER($J1208),INDIRECT("O"&amp;($J1208+4)),"")</f>
        <v/>
      </c>
      <c r="E1208" s="291" t="str">
        <f aca="true">IF(ISNUMBER($J1208),INDIRECT("P"&amp;($J1208+4)),"")</f>
        <v/>
      </c>
      <c r="F1208" s="300" t="str">
        <f aca="true">IF(ISNUMBER($J1208),INDIRECT("Q"&amp;($J1208+4)),"")</f>
        <v/>
      </c>
      <c r="G1208" s="298" t="str">
        <f aca="true">IF(ISNUMBER($J1208),INDIRECT("R"&amp;($J1208+4)),"")</f>
        <v/>
      </c>
      <c r="H1208" s="298" t="str">
        <f aca="true">IF(ISNUMBER($J1208),INDIRECT("S"&amp;($J1208+4)),"")</f>
        <v/>
      </c>
      <c r="J1208" s="292" t="str">
        <f aca="true">IF(1204&lt;=$K$1,MATCH(1203.5,INDIRECT("$K$4:$K$1374"),1),"")</f>
        <v/>
      </c>
      <c r="K1208" s="292" t="n">
        <f aca="false">$K$1156+COUNTIF($Q$1157:Q1208,"&gt;0")</f>
        <v>0</v>
      </c>
      <c r="L1208" s="292" t="str">
        <f aca="false">"Стёкла серии Elephant"&amp;" · "&amp;'Стёкла серии Elephant'!$N$344</f>
        <v>Стёкла серии Elephant · Elephant</v>
      </c>
      <c r="M1208" s="292" t="str">
        <f aca="false">IF(ISBLANK('Стёкла серии Elephant'!$O$344),"",'Стёкла серии Elephant'!$O$344)</f>
        <v>MiCC9</v>
      </c>
      <c r="N1208" s="292" t="str">
        <f aca="false">""</f>
        <v/>
      </c>
      <c r="O1208" s="292" t="str">
        <f aca="false">""</f>
        <v/>
      </c>
      <c r="P1208" s="292" t="str">
        <f aca="false">IF(ISBLANK('Стёкла серии Elephant'!$P$344),"",'Стёкла серии Elephant'!$P$344)</f>
        <v>шт.</v>
      </c>
      <c r="Q1208" s="292" t="n">
        <f aca="false">N('Стёкла серии Elephant'!$R$344)</f>
        <v>0</v>
      </c>
      <c r="R1208" s="299" t="n">
        <f aca="false">IF(ISBLANK('Стёкла серии Elephant'!$Q$344),"",'Стёкла серии Elephant'!$Q$344)</f>
        <v>122.32</v>
      </c>
      <c r="S1208" s="292" t="str">
        <f aca="false">IF(ISBLANK('Стёкла серии Elephant'!$S$344),"",'Стёкла серии Elephant'!$S$344)</f>
        <v/>
      </c>
    </row>
    <row r="1209" customFormat="false" ht="66" hidden="false" customHeight="true" outlineLevel="0" collapsed="false">
      <c r="A1209" s="291" t="str">
        <f aca="true">IF(ISNUMBER($J1209),INDIRECT("L"&amp;($J1209+4)),"")</f>
        <v/>
      </c>
      <c r="B1209" s="291" t="str">
        <f aca="true">IF(ISNUMBER($J1209),INDIRECT("M"&amp;($J1209+4)),"")</f>
        <v/>
      </c>
      <c r="C1209" s="296" t="str">
        <f aca="true">IF(ISNUMBER($J1209),INDIRECT("N"&amp;($J1209+4)),"")</f>
        <v/>
      </c>
      <c r="D1209" s="291" t="str">
        <f aca="true">IF(ISNUMBER($J1209),INDIRECT("O"&amp;($J1209+4)),"")</f>
        <v/>
      </c>
      <c r="E1209" s="291" t="str">
        <f aca="true">IF(ISNUMBER($J1209),INDIRECT("P"&amp;($J1209+4)),"")</f>
        <v/>
      </c>
      <c r="F1209" s="300" t="str">
        <f aca="true">IF(ISNUMBER($J1209),INDIRECT("Q"&amp;($J1209+4)),"")</f>
        <v/>
      </c>
      <c r="G1209" s="298" t="str">
        <f aca="true">IF(ISNUMBER($J1209),INDIRECT("R"&amp;($J1209+4)),"")</f>
        <v/>
      </c>
      <c r="H1209" s="298" t="str">
        <f aca="true">IF(ISNUMBER($J1209),INDIRECT("S"&amp;($J1209+4)),"")</f>
        <v/>
      </c>
      <c r="J1209" s="292" t="str">
        <f aca="true">IF(1205&lt;=$K$1,MATCH(1204.5,INDIRECT("$K$4:$K$1374"),1),"")</f>
        <v/>
      </c>
      <c r="K1209" s="292" t="n">
        <f aca="false">$K$1156+COUNTIF($Q$1157:Q1209,"&gt;0")</f>
        <v>0</v>
      </c>
      <c r="L1209" s="292" t="str">
        <f aca="false">"Стёкла серии Elephant"&amp;" · "&amp;'Стёкла серии Elephant'!$N$345</f>
        <v>Стёкла серии Elephant · Elephant</v>
      </c>
      <c r="M1209" s="292" t="str">
        <f aca="false">IF(ISBLANK('Стёкла серии Elephant'!$O$345),"",'Стёкла серии Elephant'!$O$345)</f>
        <v>M20</v>
      </c>
      <c r="N1209" s="292" t="str">
        <f aca="false">""</f>
        <v/>
      </c>
      <c r="O1209" s="292" t="str">
        <f aca="false">""</f>
        <v/>
      </c>
      <c r="P1209" s="292" t="str">
        <f aca="false">IF(ISBLANK('Стёкла серии Elephant'!$P$345),"",'Стёкла серии Elephant'!$P$345)</f>
        <v>шт.</v>
      </c>
      <c r="Q1209" s="292" t="n">
        <f aca="false">N('Стёкла серии Elephant'!$R$345)</f>
        <v>0</v>
      </c>
      <c r="R1209" s="299" t="n">
        <f aca="false">IF(ISBLANK('Стёкла серии Elephant'!$Q$345),"",'Стёкла серии Elephant'!$Q$345)</f>
        <v>122.32</v>
      </c>
      <c r="S1209" s="292" t="str">
        <f aca="false">IF(ISBLANK('Стёкла серии Elephant'!$S$345),"",'Стёкла серии Elephant'!$S$345)</f>
        <v/>
      </c>
    </row>
    <row r="1210" customFormat="false" ht="66" hidden="false" customHeight="true" outlineLevel="0" collapsed="false">
      <c r="A1210" s="291" t="str">
        <f aca="true">IF(ISNUMBER($J1210),INDIRECT("L"&amp;($J1210+4)),"")</f>
        <v/>
      </c>
      <c r="B1210" s="291" t="str">
        <f aca="true">IF(ISNUMBER($J1210),INDIRECT("M"&amp;($J1210+4)),"")</f>
        <v/>
      </c>
      <c r="C1210" s="296" t="str">
        <f aca="true">IF(ISNUMBER($J1210),INDIRECT("N"&amp;($J1210+4)),"")</f>
        <v/>
      </c>
      <c r="D1210" s="291" t="str">
        <f aca="true">IF(ISNUMBER($J1210),INDIRECT("O"&amp;($J1210+4)),"")</f>
        <v/>
      </c>
      <c r="E1210" s="291" t="str">
        <f aca="true">IF(ISNUMBER($J1210),INDIRECT("P"&amp;($J1210+4)),"")</f>
        <v/>
      </c>
      <c r="F1210" s="300" t="str">
        <f aca="true">IF(ISNUMBER($J1210),INDIRECT("Q"&amp;($J1210+4)),"")</f>
        <v/>
      </c>
      <c r="G1210" s="298" t="str">
        <f aca="true">IF(ISNUMBER($J1210),INDIRECT("R"&amp;($J1210+4)),"")</f>
        <v/>
      </c>
      <c r="H1210" s="298" t="str">
        <f aca="true">IF(ISNUMBER($J1210),INDIRECT("S"&amp;($J1210+4)),"")</f>
        <v/>
      </c>
      <c r="J1210" s="292" t="str">
        <f aca="true">IF(1206&lt;=$K$1,MATCH(1205.5,INDIRECT("$K$4:$K$1374"),1),"")</f>
        <v/>
      </c>
      <c r="K1210" s="292" t="n">
        <f aca="false">$K$1156+COUNTIF($Q$1157:Q1210,"&gt;0")</f>
        <v>0</v>
      </c>
      <c r="L1210" s="292" t="str">
        <f aca="false">"Стёкла серии Elephant"&amp;" · "&amp;'Стёкла серии Elephant'!$N$346</f>
        <v>Стёкла серии Elephant · Elephant</v>
      </c>
      <c r="M1210" s="292" t="str">
        <f aca="false">IF(ISBLANK('Стёкла серии Elephant'!$O$346),"",'Стёкла серии Elephant'!$O$346)</f>
        <v>Reno 3 Youth</v>
      </c>
      <c r="N1210" s="292" t="str">
        <f aca="false">""</f>
        <v/>
      </c>
      <c r="O1210" s="292" t="str">
        <f aca="false">""</f>
        <v/>
      </c>
      <c r="P1210" s="292" t="str">
        <f aca="false">IF(ISBLANK('Стёкла серии Elephant'!$P$346),"",'Стёкла серии Elephant'!$P$346)</f>
        <v>шт.</v>
      </c>
      <c r="Q1210" s="292" t="n">
        <f aca="false">N('Стёкла серии Elephant'!$R$346)</f>
        <v>0</v>
      </c>
      <c r="R1210" s="299" t="n">
        <f aca="false">IF(ISBLANK('Стёкла серии Elephant'!$Q$346),"",'Стёкла серии Elephant'!$Q$346)</f>
        <v>122.32</v>
      </c>
      <c r="S1210" s="292" t="str">
        <f aca="false">IF(ISBLANK('Стёкла серии Elephant'!$S$346),"",'Стёкла серии Elephant'!$S$346)</f>
        <v/>
      </c>
    </row>
    <row r="1211" customFormat="false" ht="66" hidden="false" customHeight="true" outlineLevel="0" collapsed="false">
      <c r="A1211" s="291" t="str">
        <f aca="true">IF(ISNUMBER($J1211),INDIRECT("L"&amp;($J1211+4)),"")</f>
        <v/>
      </c>
      <c r="B1211" s="291" t="str">
        <f aca="true">IF(ISNUMBER($J1211),INDIRECT("M"&amp;($J1211+4)),"")</f>
        <v/>
      </c>
      <c r="C1211" s="296" t="str">
        <f aca="true">IF(ISNUMBER($J1211),INDIRECT("N"&amp;($J1211+4)),"")</f>
        <v/>
      </c>
      <c r="D1211" s="291" t="str">
        <f aca="true">IF(ISNUMBER($J1211),INDIRECT("O"&amp;($J1211+4)),"")</f>
        <v/>
      </c>
      <c r="E1211" s="291" t="str">
        <f aca="true">IF(ISNUMBER($J1211),INDIRECT("P"&amp;($J1211+4)),"")</f>
        <v/>
      </c>
      <c r="F1211" s="300" t="str">
        <f aca="true">IF(ISNUMBER($J1211),INDIRECT("Q"&amp;($J1211+4)),"")</f>
        <v/>
      </c>
      <c r="G1211" s="298" t="str">
        <f aca="true">IF(ISNUMBER($J1211),INDIRECT("R"&amp;($J1211+4)),"")</f>
        <v/>
      </c>
      <c r="H1211" s="298" t="str">
        <f aca="true">IF(ISNUMBER($J1211),INDIRECT("S"&amp;($J1211+4)),"")</f>
        <v/>
      </c>
      <c r="J1211" s="292" t="str">
        <f aca="true">IF(1207&lt;=$K$1,MATCH(1206.5,INDIRECT("$K$4:$K$1374"),1),"")</f>
        <v/>
      </c>
      <c r="K1211" s="292" t="n">
        <f aca="false">$K$1156+COUNTIF($Q$1157:Q1211,"&gt;0")</f>
        <v>0</v>
      </c>
      <c r="L1211" s="292" t="str">
        <f aca="false">"Стёкла серии Elephant"&amp;" · "&amp;'Стёкла серии Elephant'!$N$347</f>
        <v>Стёкла серии Elephant · Elephant</v>
      </c>
      <c r="M1211" s="292" t="str">
        <f aca="false">IF(ISBLANK('Стёкла серии Elephant'!$O$347),"",'Стёкла серии Elephant'!$O$347)</f>
        <v>Realme X50 (5G)</v>
      </c>
      <c r="N1211" s="292" t="str">
        <f aca="false">""</f>
        <v/>
      </c>
      <c r="O1211" s="292" t="str">
        <f aca="false">""</f>
        <v/>
      </c>
      <c r="P1211" s="292" t="str">
        <f aca="false">IF(ISBLANK('Стёкла серии Elephant'!$P$347),"",'Стёкла серии Elephant'!$P$347)</f>
        <v>шт.</v>
      </c>
      <c r="Q1211" s="292" t="n">
        <f aca="false">N('Стёкла серии Elephant'!$R$347)</f>
        <v>0</v>
      </c>
      <c r="R1211" s="299" t="n">
        <f aca="false">IF(ISBLANK('Стёкла серии Elephant'!$Q$347),"",'Стёкла серии Elephant'!$Q$347)</f>
        <v>122.32</v>
      </c>
      <c r="S1211" s="292" t="str">
        <f aca="false">IF(ISBLANK('Стёкла серии Elephant'!$S$347),"",'Стёкла серии Elephant'!$S$347)</f>
        <v/>
      </c>
    </row>
    <row r="1212" customFormat="false" ht="66" hidden="false" customHeight="true" outlineLevel="0" collapsed="false">
      <c r="A1212" s="291" t="str">
        <f aca="true">IF(ISNUMBER($J1212),INDIRECT("L"&amp;($J1212+4)),"")</f>
        <v/>
      </c>
      <c r="B1212" s="291" t="str">
        <f aca="true">IF(ISNUMBER($J1212),INDIRECT("M"&amp;($J1212+4)),"")</f>
        <v/>
      </c>
      <c r="C1212" s="296" t="str">
        <f aca="true">IF(ISNUMBER($J1212),INDIRECT("N"&amp;($J1212+4)),"")</f>
        <v/>
      </c>
      <c r="D1212" s="291" t="str">
        <f aca="true">IF(ISNUMBER($J1212),INDIRECT("O"&amp;($J1212+4)),"")</f>
        <v/>
      </c>
      <c r="E1212" s="291" t="str">
        <f aca="true">IF(ISNUMBER($J1212),INDIRECT("P"&amp;($J1212+4)),"")</f>
        <v/>
      </c>
      <c r="F1212" s="300" t="str">
        <f aca="true">IF(ISNUMBER($J1212),INDIRECT("Q"&amp;($J1212+4)),"")</f>
        <v/>
      </c>
      <c r="G1212" s="298" t="str">
        <f aca="true">IF(ISNUMBER($J1212),INDIRECT("R"&amp;($J1212+4)),"")</f>
        <v/>
      </c>
      <c r="H1212" s="298" t="str">
        <f aca="true">IF(ISNUMBER($J1212),INDIRECT("S"&amp;($J1212+4)),"")</f>
        <v/>
      </c>
      <c r="J1212" s="292" t="str">
        <f aca="true">IF(1208&lt;=$K$1,MATCH(1207.5,INDIRECT("$K$4:$K$1374"),1),"")</f>
        <v/>
      </c>
      <c r="K1212" s="292" t="n">
        <f aca="false">$K$1156+COUNTIF($Q$1157:Q1212,"&gt;0")</f>
        <v>0</v>
      </c>
      <c r="L1212" s="292" t="str">
        <f aca="false">"Стёкла серии Elephant"&amp;" · "&amp;'Стёкла серии Elephant'!$N$348</f>
        <v>Стёкла серии Elephant · Elephant</v>
      </c>
      <c r="M1212" s="292" t="str">
        <f aca="false">IF(ISBLANK('Стёкла серии Elephant'!$O$348),"",'Стёкла серии Elephant'!$O$348)</f>
        <v>U3</v>
      </c>
      <c r="N1212" s="292" t="str">
        <f aca="false">""</f>
        <v/>
      </c>
      <c r="O1212" s="292" t="str">
        <f aca="false">""</f>
        <v/>
      </c>
      <c r="P1212" s="292" t="str">
        <f aca="false">IF(ISBLANK('Стёкла серии Elephant'!$P$348),"",'Стёкла серии Elephant'!$P$348)</f>
        <v>шт.</v>
      </c>
      <c r="Q1212" s="292" t="n">
        <f aca="false">N('Стёкла серии Elephant'!$R$348)</f>
        <v>0</v>
      </c>
      <c r="R1212" s="299" t="n">
        <f aca="false">IF(ISBLANK('Стёкла серии Elephant'!$Q$348),"",'Стёкла серии Elephant'!$Q$348)</f>
        <v>122.32</v>
      </c>
      <c r="S1212" s="292" t="str">
        <f aca="false">IF(ISBLANK('Стёкла серии Elephant'!$S$348),"",'Стёкла серии Elephant'!$S$348)</f>
        <v/>
      </c>
    </row>
    <row r="1213" customFormat="false" ht="66" hidden="false" customHeight="true" outlineLevel="0" collapsed="false">
      <c r="A1213" s="291" t="str">
        <f aca="true">IF(ISNUMBER($J1213),INDIRECT("L"&amp;($J1213+4)),"")</f>
        <v/>
      </c>
      <c r="B1213" s="291" t="str">
        <f aca="true">IF(ISNUMBER($J1213),INDIRECT("M"&amp;($J1213+4)),"")</f>
        <v/>
      </c>
      <c r="C1213" s="296" t="str">
        <f aca="true">IF(ISNUMBER($J1213),INDIRECT("N"&amp;($J1213+4)),"")</f>
        <v/>
      </c>
      <c r="D1213" s="291" t="str">
        <f aca="true">IF(ISNUMBER($J1213),INDIRECT("O"&amp;($J1213+4)),"")</f>
        <v/>
      </c>
      <c r="E1213" s="291" t="str">
        <f aca="true">IF(ISNUMBER($J1213),INDIRECT("P"&amp;($J1213+4)),"")</f>
        <v/>
      </c>
      <c r="F1213" s="300" t="str">
        <f aca="true">IF(ISNUMBER($J1213),INDIRECT("Q"&amp;($J1213+4)),"")</f>
        <v/>
      </c>
      <c r="G1213" s="298" t="str">
        <f aca="true">IF(ISNUMBER($J1213),INDIRECT("R"&amp;($J1213+4)),"")</f>
        <v/>
      </c>
      <c r="H1213" s="298" t="str">
        <f aca="true">IF(ISNUMBER($J1213),INDIRECT("S"&amp;($J1213+4)),"")</f>
        <v/>
      </c>
      <c r="J1213" s="292" t="str">
        <f aca="true">IF(1209&lt;=$K$1,MATCH(1208.5,INDIRECT("$K$4:$K$1374"),1),"")</f>
        <v/>
      </c>
      <c r="K1213" s="292" t="n">
        <f aca="false">$K$1156+COUNTIF($Q$1157:Q1213,"&gt;0")</f>
        <v>0</v>
      </c>
      <c r="L1213" s="292" t="str">
        <f aca="false">"Стёкла серии Elephant"&amp;" · "&amp;'Стёкла серии Elephant'!$N$349</f>
        <v>Стёкла серии Elephant · Elephant</v>
      </c>
      <c r="M1213" s="292" t="str">
        <f aca="false">IF(ISBLANK('Стёкла серии Elephant'!$O$349),"",'Стёкла серии Elephant'!$O$349)</f>
        <v>NovaLite 2</v>
      </c>
      <c r="N1213" s="292" t="str">
        <f aca="false">""</f>
        <v/>
      </c>
      <c r="O1213" s="292" t="str">
        <f aca="false">""</f>
        <v/>
      </c>
      <c r="P1213" s="292" t="str">
        <f aca="false">IF(ISBLANK('Стёкла серии Elephant'!$P$349),"",'Стёкла серии Elephant'!$P$349)</f>
        <v>шт.</v>
      </c>
      <c r="Q1213" s="292" t="n">
        <f aca="false">N('Стёкла серии Elephant'!$R$349)</f>
        <v>0</v>
      </c>
      <c r="R1213" s="299" t="n">
        <f aca="false">IF(ISBLANK('Стёкла серии Elephant'!$Q$349),"",'Стёкла серии Elephant'!$Q$349)</f>
        <v>122.32</v>
      </c>
      <c r="S1213" s="292" t="str">
        <f aca="false">IF(ISBLANK('Стёкла серии Elephant'!$S$349),"",'Стёкла серии Elephant'!$S$349)</f>
        <v/>
      </c>
    </row>
    <row r="1214" customFormat="false" ht="66" hidden="false" customHeight="true" outlineLevel="0" collapsed="false">
      <c r="A1214" s="291" t="str">
        <f aca="true">IF(ISNUMBER($J1214),INDIRECT("L"&amp;($J1214+4)),"")</f>
        <v/>
      </c>
      <c r="B1214" s="291" t="str">
        <f aca="true">IF(ISNUMBER($J1214),INDIRECT("M"&amp;($J1214+4)),"")</f>
        <v/>
      </c>
      <c r="C1214" s="296" t="str">
        <f aca="true">IF(ISNUMBER($J1214),INDIRECT("N"&amp;($J1214+4)),"")</f>
        <v/>
      </c>
      <c r="D1214" s="291" t="str">
        <f aca="true">IF(ISNUMBER($J1214),INDIRECT("O"&amp;($J1214+4)),"")</f>
        <v/>
      </c>
      <c r="E1214" s="291" t="str">
        <f aca="true">IF(ISNUMBER($J1214),INDIRECT("P"&amp;($J1214+4)),"")</f>
        <v/>
      </c>
      <c r="F1214" s="300" t="str">
        <f aca="true">IF(ISNUMBER($J1214),INDIRECT("Q"&amp;($J1214+4)),"")</f>
        <v/>
      </c>
      <c r="G1214" s="298" t="str">
        <f aca="true">IF(ISNUMBER($J1214),INDIRECT("R"&amp;($J1214+4)),"")</f>
        <v/>
      </c>
      <c r="H1214" s="298" t="str">
        <f aca="true">IF(ISNUMBER($J1214),INDIRECT("S"&amp;($J1214+4)),"")</f>
        <v/>
      </c>
      <c r="J1214" s="292" t="str">
        <f aca="true">IF(1210&lt;=$K$1,MATCH(1209.5,INDIRECT("$K$4:$K$1374"),1),"")</f>
        <v/>
      </c>
      <c r="K1214" s="292" t="n">
        <f aca="false">$K$1156+COUNTIF($Q$1157:Q1214,"&gt;0")</f>
        <v>0</v>
      </c>
      <c r="L1214" s="292" t="str">
        <f aca="false">"Стёкла серии Elephant"&amp;" · "&amp;'Стёкла серии Elephant'!$N$350</f>
        <v>Стёкла серии Elephant · Elephant</v>
      </c>
      <c r="M1214" s="292" t="str">
        <f aca="false">IF(ISBLANK('Стёкла серии Elephant'!$O$350),"",'Стёкла серии Elephant'!$O$350)</f>
        <v>P-Smart 2021</v>
      </c>
      <c r="N1214" s="292" t="str">
        <f aca="false">""</f>
        <v/>
      </c>
      <c r="O1214" s="292" t="str">
        <f aca="false">""</f>
        <v/>
      </c>
      <c r="P1214" s="292" t="str">
        <f aca="false">IF(ISBLANK('Стёкла серии Elephant'!$P$350),"",'Стёкла серии Elephant'!$P$350)</f>
        <v>шт.</v>
      </c>
      <c r="Q1214" s="292" t="n">
        <f aca="false">N('Стёкла серии Elephant'!$R$350)</f>
        <v>0</v>
      </c>
      <c r="R1214" s="299" t="n">
        <f aca="false">IF(ISBLANK('Стёкла серии Elephant'!$Q$350),"",'Стёкла серии Elephant'!$Q$350)</f>
        <v>122.32</v>
      </c>
      <c r="S1214" s="292" t="str">
        <f aca="false">IF(ISBLANK('Стёкла серии Elephant'!$S$350),"",'Стёкла серии Elephant'!$S$350)</f>
        <v/>
      </c>
    </row>
    <row r="1215" customFormat="false" ht="66" hidden="false" customHeight="true" outlineLevel="0" collapsed="false">
      <c r="A1215" s="291" t="str">
        <f aca="true">IF(ISNUMBER($J1215),INDIRECT("L"&amp;($J1215+4)),"")</f>
        <v/>
      </c>
      <c r="B1215" s="291" t="str">
        <f aca="true">IF(ISNUMBER($J1215),INDIRECT("M"&amp;($J1215+4)),"")</f>
        <v/>
      </c>
      <c r="C1215" s="296" t="str">
        <f aca="true">IF(ISNUMBER($J1215),INDIRECT("N"&amp;($J1215+4)),"")</f>
        <v/>
      </c>
      <c r="D1215" s="291" t="str">
        <f aca="true">IF(ISNUMBER($J1215),INDIRECT("O"&amp;($J1215+4)),"")</f>
        <v/>
      </c>
      <c r="E1215" s="291" t="str">
        <f aca="true">IF(ISNUMBER($J1215),INDIRECT("P"&amp;($J1215+4)),"")</f>
        <v/>
      </c>
      <c r="F1215" s="300" t="str">
        <f aca="true">IF(ISNUMBER($J1215),INDIRECT("Q"&amp;($J1215+4)),"")</f>
        <v/>
      </c>
      <c r="G1215" s="298" t="str">
        <f aca="true">IF(ISNUMBER($J1215),INDIRECT("R"&amp;($J1215+4)),"")</f>
        <v/>
      </c>
      <c r="H1215" s="298" t="str">
        <f aca="true">IF(ISNUMBER($J1215),INDIRECT("S"&amp;($J1215+4)),"")</f>
        <v/>
      </c>
      <c r="J1215" s="292" t="str">
        <f aca="true">IF(1211&lt;=$K$1,MATCH(1210.5,INDIRECT("$K$4:$K$1374"),1),"")</f>
        <v/>
      </c>
      <c r="K1215" s="292" t="n">
        <f aca="false">$K$1156+COUNTIF($Q$1157:Q1215,"&gt;0")</f>
        <v>0</v>
      </c>
      <c r="L1215" s="292" t="str">
        <f aca="false">"Стёкла серии Elephant"&amp;" · "&amp;'Стёкла серии Elephant'!$N$351</f>
        <v>Стёкла серии Elephant · Elephant</v>
      </c>
      <c r="M1215" s="292" t="str">
        <f aca="false">IF(ISBLANK('Стёкла серии Elephant'!$O$351),"",'Стёкла серии Elephant'!$O$351)</f>
        <v>MiCC9 Meitu edition</v>
      </c>
      <c r="N1215" s="292" t="str">
        <f aca="false">""</f>
        <v/>
      </c>
      <c r="O1215" s="292" t="str">
        <f aca="false">""</f>
        <v/>
      </c>
      <c r="P1215" s="292" t="str">
        <f aca="false">IF(ISBLANK('Стёкла серии Elephant'!$P$351),"",'Стёкла серии Elephant'!$P$351)</f>
        <v>шт.</v>
      </c>
      <c r="Q1215" s="292" t="n">
        <f aca="false">N('Стёкла серии Elephant'!$R$351)</f>
        <v>0</v>
      </c>
      <c r="R1215" s="299" t="n">
        <f aca="false">IF(ISBLANK('Стёкла серии Elephant'!$Q$351),"",'Стёкла серии Elephant'!$Q$351)</f>
        <v>122.32</v>
      </c>
      <c r="S1215" s="292" t="str">
        <f aca="false">IF(ISBLANK('Стёкла серии Elephant'!$S$351),"",'Стёкла серии Elephant'!$S$351)</f>
        <v/>
      </c>
    </row>
    <row r="1216" customFormat="false" ht="66" hidden="false" customHeight="true" outlineLevel="0" collapsed="false">
      <c r="A1216" s="291" t="str">
        <f aca="true">IF(ISNUMBER($J1216),INDIRECT("L"&amp;($J1216+4)),"")</f>
        <v/>
      </c>
      <c r="B1216" s="291" t="str">
        <f aca="true">IF(ISNUMBER($J1216),INDIRECT("M"&amp;($J1216+4)),"")</f>
        <v/>
      </c>
      <c r="C1216" s="296" t="str">
        <f aca="true">IF(ISNUMBER($J1216),INDIRECT("N"&amp;($J1216+4)),"")</f>
        <v/>
      </c>
      <c r="D1216" s="291" t="str">
        <f aca="true">IF(ISNUMBER($J1216),INDIRECT("O"&amp;($J1216+4)),"")</f>
        <v/>
      </c>
      <c r="E1216" s="291" t="str">
        <f aca="true">IF(ISNUMBER($J1216),INDIRECT("P"&amp;($J1216+4)),"")</f>
        <v/>
      </c>
      <c r="F1216" s="300" t="str">
        <f aca="true">IF(ISNUMBER($J1216),INDIRECT("Q"&amp;($J1216+4)),"")</f>
        <v/>
      </c>
      <c r="G1216" s="298" t="str">
        <f aca="true">IF(ISNUMBER($J1216),INDIRECT("R"&amp;($J1216+4)),"")</f>
        <v/>
      </c>
      <c r="H1216" s="298" t="str">
        <f aca="true">IF(ISNUMBER($J1216),INDIRECT("S"&amp;($J1216+4)),"")</f>
        <v/>
      </c>
      <c r="J1216" s="292" t="str">
        <f aca="true">IF(1212&lt;=$K$1,MATCH(1211.5,INDIRECT("$K$4:$K$1374"),1),"")</f>
        <v/>
      </c>
      <c r="K1216" s="292" t="n">
        <f aca="false">$K$1156+COUNTIF($Q$1157:Q1216,"&gt;0")</f>
        <v>0</v>
      </c>
      <c r="L1216" s="292" t="str">
        <f aca="false">"Стёкла серии Elephant"&amp;" · "&amp;'Стёкла серии Elephant'!$N$352</f>
        <v>Стёкла серии Elephant · Elephant</v>
      </c>
      <c r="M1216" s="292" t="str">
        <f aca="false">IF(ISBLANK('Стёкла серии Elephant'!$O$352),"",'Стёкла серии Elephant'!$O$352)</f>
        <v>M30</v>
      </c>
      <c r="N1216" s="292" t="str">
        <f aca="false">""</f>
        <v/>
      </c>
      <c r="O1216" s="292" t="str">
        <f aca="false">""</f>
        <v/>
      </c>
      <c r="P1216" s="292" t="str">
        <f aca="false">IF(ISBLANK('Стёкла серии Elephant'!$P$352),"",'Стёкла серии Elephant'!$P$352)</f>
        <v>шт.</v>
      </c>
      <c r="Q1216" s="292" t="n">
        <f aca="false">N('Стёкла серии Elephant'!$R$352)</f>
        <v>0</v>
      </c>
      <c r="R1216" s="299" t="n">
        <f aca="false">IF(ISBLANK('Стёкла серии Elephant'!$Q$352),"",'Стёкла серии Elephant'!$Q$352)</f>
        <v>122.32</v>
      </c>
      <c r="S1216" s="292" t="str">
        <f aca="false">IF(ISBLANK('Стёкла серии Elephant'!$S$352),"",'Стёкла серии Elephant'!$S$352)</f>
        <v/>
      </c>
    </row>
    <row r="1217" customFormat="false" ht="66" hidden="false" customHeight="true" outlineLevel="0" collapsed="false">
      <c r="A1217" s="291" t="str">
        <f aca="true">IF(ISNUMBER($J1217),INDIRECT("L"&amp;($J1217+4)),"")</f>
        <v/>
      </c>
      <c r="B1217" s="291" t="str">
        <f aca="true">IF(ISNUMBER($J1217),INDIRECT("M"&amp;($J1217+4)),"")</f>
        <v/>
      </c>
      <c r="C1217" s="296" t="str">
        <f aca="true">IF(ISNUMBER($J1217),INDIRECT("N"&amp;($J1217+4)),"")</f>
        <v/>
      </c>
      <c r="D1217" s="291" t="str">
        <f aca="true">IF(ISNUMBER($J1217),INDIRECT("O"&amp;($J1217+4)),"")</f>
        <v/>
      </c>
      <c r="E1217" s="291" t="str">
        <f aca="true">IF(ISNUMBER($J1217),INDIRECT("P"&amp;($J1217+4)),"")</f>
        <v/>
      </c>
      <c r="F1217" s="300" t="str">
        <f aca="true">IF(ISNUMBER($J1217),INDIRECT("Q"&amp;($J1217+4)),"")</f>
        <v/>
      </c>
      <c r="G1217" s="298" t="str">
        <f aca="true">IF(ISNUMBER($J1217),INDIRECT("R"&amp;($J1217+4)),"")</f>
        <v/>
      </c>
      <c r="H1217" s="298" t="str">
        <f aca="true">IF(ISNUMBER($J1217),INDIRECT("S"&amp;($J1217+4)),"")</f>
        <v/>
      </c>
      <c r="J1217" s="292" t="str">
        <f aca="true">IF(1213&lt;=$K$1,MATCH(1212.5,INDIRECT("$K$4:$K$1374"),1),"")</f>
        <v/>
      </c>
      <c r="K1217" s="292" t="n">
        <f aca="false">$K$1156+COUNTIF($Q$1157:Q1217,"&gt;0")</f>
        <v>0</v>
      </c>
      <c r="L1217" s="292" t="str">
        <f aca="false">"Стёкла серии Elephant"&amp;" · "&amp;'Стёкла серии Elephant'!$N$353</f>
        <v>Стёкла серии Elephant · Elephant</v>
      </c>
      <c r="M1217" s="292" t="str">
        <f aca="false">IF(ISBLANK('Стёкла серии Elephant'!$O$353),"",'Стёкла серии Elephant'!$O$353)</f>
        <v>Reno 3 Pro (5G)</v>
      </c>
      <c r="N1217" s="292" t="str">
        <f aca="false">""</f>
        <v/>
      </c>
      <c r="O1217" s="292" t="str">
        <f aca="false">""</f>
        <v/>
      </c>
      <c r="P1217" s="292" t="str">
        <f aca="false">IF(ISBLANK('Стёкла серии Elephant'!$P$353),"",'Стёкла серии Elephant'!$P$353)</f>
        <v>шт.</v>
      </c>
      <c r="Q1217" s="292" t="n">
        <f aca="false">N('Стёкла серии Elephant'!$R$353)</f>
        <v>0</v>
      </c>
      <c r="R1217" s="299" t="n">
        <f aca="false">IF(ISBLANK('Стёкла серии Elephant'!$Q$353),"",'Стёкла серии Elephant'!$Q$353)</f>
        <v>122.32</v>
      </c>
      <c r="S1217" s="292" t="str">
        <f aca="false">IF(ISBLANK('Стёкла серии Elephant'!$S$353),"",'Стёкла серии Elephant'!$S$353)</f>
        <v/>
      </c>
    </row>
    <row r="1218" customFormat="false" ht="66" hidden="false" customHeight="true" outlineLevel="0" collapsed="false">
      <c r="A1218" s="291" t="str">
        <f aca="true">IF(ISNUMBER($J1218),INDIRECT("L"&amp;($J1218+4)),"")</f>
        <v/>
      </c>
      <c r="B1218" s="291" t="str">
        <f aca="true">IF(ISNUMBER($J1218),INDIRECT("M"&amp;($J1218+4)),"")</f>
        <v/>
      </c>
      <c r="C1218" s="296" t="str">
        <f aca="true">IF(ISNUMBER($J1218),INDIRECT("N"&amp;($J1218+4)),"")</f>
        <v/>
      </c>
      <c r="D1218" s="291" t="str">
        <f aca="true">IF(ISNUMBER($J1218),INDIRECT("O"&amp;($J1218+4)),"")</f>
        <v/>
      </c>
      <c r="E1218" s="291" t="str">
        <f aca="true">IF(ISNUMBER($J1218),INDIRECT("P"&amp;($J1218+4)),"")</f>
        <v/>
      </c>
      <c r="F1218" s="300" t="str">
        <f aca="true">IF(ISNUMBER($J1218),INDIRECT("Q"&amp;($J1218+4)),"")</f>
        <v/>
      </c>
      <c r="G1218" s="298" t="str">
        <f aca="true">IF(ISNUMBER($J1218),INDIRECT("R"&amp;($J1218+4)),"")</f>
        <v/>
      </c>
      <c r="H1218" s="298" t="str">
        <f aca="true">IF(ISNUMBER($J1218),INDIRECT("S"&amp;($J1218+4)),"")</f>
        <v/>
      </c>
      <c r="J1218" s="292" t="str">
        <f aca="true">IF(1214&lt;=$K$1,MATCH(1213.5,INDIRECT("$K$4:$K$1374"),1),"")</f>
        <v/>
      </c>
      <c r="K1218" s="292" t="n">
        <f aca="false">$K$1156+COUNTIF($Q$1157:Q1218,"&gt;0")</f>
        <v>0</v>
      </c>
      <c r="L1218" s="292" t="str">
        <f aca="false">"Стёкла серии Elephant"&amp;" · "&amp;'Стёкла серии Elephant'!$N$354</f>
        <v>Стёкла серии Elephant · Elephant</v>
      </c>
      <c r="M1218" s="292" t="str">
        <f aca="false">IF(ISBLANK('Стёкла серии Elephant'!$O$354),"",'Стёкла серии Elephant'!$O$354)</f>
        <v>Realme X3</v>
      </c>
      <c r="N1218" s="292" t="str">
        <f aca="false">""</f>
        <v/>
      </c>
      <c r="O1218" s="292" t="str">
        <f aca="false">""</f>
        <v/>
      </c>
      <c r="P1218" s="292" t="str">
        <f aca="false">IF(ISBLANK('Стёкла серии Elephant'!$P$354),"",'Стёкла серии Elephant'!$P$354)</f>
        <v>шт.</v>
      </c>
      <c r="Q1218" s="292" t="n">
        <f aca="false">N('Стёкла серии Elephant'!$R$354)</f>
        <v>0</v>
      </c>
      <c r="R1218" s="299" t="n">
        <f aca="false">IF(ISBLANK('Стёкла серии Elephant'!$Q$354),"",'Стёкла серии Elephant'!$Q$354)</f>
        <v>122.32</v>
      </c>
      <c r="S1218" s="292" t="str">
        <f aca="false">IF(ISBLANK('Стёкла серии Elephant'!$S$354),"",'Стёкла серии Elephant'!$S$354)</f>
        <v/>
      </c>
    </row>
    <row r="1219" customFormat="false" ht="66" hidden="false" customHeight="true" outlineLevel="0" collapsed="false">
      <c r="A1219" s="291" t="str">
        <f aca="true">IF(ISNUMBER($J1219),INDIRECT("L"&amp;($J1219+4)),"")</f>
        <v/>
      </c>
      <c r="B1219" s="291" t="str">
        <f aca="true">IF(ISNUMBER($J1219),INDIRECT("M"&amp;($J1219+4)),"")</f>
        <v/>
      </c>
      <c r="C1219" s="296" t="str">
        <f aca="true">IF(ISNUMBER($J1219),INDIRECT("N"&amp;($J1219+4)),"")</f>
        <v/>
      </c>
      <c r="D1219" s="291" t="str">
        <f aca="true">IF(ISNUMBER($J1219),INDIRECT("O"&amp;($J1219+4)),"")</f>
        <v/>
      </c>
      <c r="E1219" s="291" t="str">
        <f aca="true">IF(ISNUMBER($J1219),INDIRECT("P"&amp;($J1219+4)),"")</f>
        <v/>
      </c>
      <c r="F1219" s="300" t="str">
        <f aca="true">IF(ISNUMBER($J1219),INDIRECT("Q"&amp;($J1219+4)),"")</f>
        <v/>
      </c>
      <c r="G1219" s="298" t="str">
        <f aca="true">IF(ISNUMBER($J1219),INDIRECT("R"&amp;($J1219+4)),"")</f>
        <v/>
      </c>
      <c r="H1219" s="298" t="str">
        <f aca="true">IF(ISNUMBER($J1219),INDIRECT("S"&amp;($J1219+4)),"")</f>
        <v/>
      </c>
      <c r="J1219" s="292" t="str">
        <f aca="true">IF(1215&lt;=$K$1,MATCH(1214.5,INDIRECT("$K$4:$K$1374"),1),"")</f>
        <v/>
      </c>
      <c r="K1219" s="292" t="n">
        <f aca="false">$K$1156+COUNTIF($Q$1157:Q1219,"&gt;0")</f>
        <v>0</v>
      </c>
      <c r="L1219" s="292" t="str">
        <f aca="false">"Стёкла серии Elephant"&amp;" · "&amp;'Стёкла серии Elephant'!$N$355</f>
        <v>Стёкла серии Elephant · Elephant</v>
      </c>
      <c r="M1219" s="292" t="str">
        <f aca="false">IF(ISBLANK('Стёкла серии Elephant'!$O$355),"",'Стёкла серии Elephant'!$O$355)</f>
        <v>U3X</v>
      </c>
      <c r="N1219" s="292" t="str">
        <f aca="false">""</f>
        <v/>
      </c>
      <c r="O1219" s="292" t="str">
        <f aca="false">""</f>
        <v/>
      </c>
      <c r="P1219" s="292" t="str">
        <f aca="false">IF(ISBLANK('Стёкла серии Elephant'!$P$355),"",'Стёкла серии Elephant'!$P$355)</f>
        <v>шт.</v>
      </c>
      <c r="Q1219" s="292" t="n">
        <f aca="false">N('Стёкла серии Elephant'!$R$355)</f>
        <v>0</v>
      </c>
      <c r="R1219" s="299" t="n">
        <f aca="false">IF(ISBLANK('Стёкла серии Elephant'!$Q$355),"",'Стёкла серии Elephant'!$Q$355)</f>
        <v>122.32</v>
      </c>
      <c r="S1219" s="292" t="str">
        <f aca="false">IF(ISBLANK('Стёкла серии Elephant'!$S$355),"",'Стёкла серии Elephant'!$S$355)</f>
        <v/>
      </c>
    </row>
    <row r="1220" customFormat="false" ht="66" hidden="false" customHeight="true" outlineLevel="0" collapsed="false">
      <c r="A1220" s="291" t="str">
        <f aca="true">IF(ISNUMBER($J1220),INDIRECT("L"&amp;($J1220+4)),"")</f>
        <v/>
      </c>
      <c r="B1220" s="291" t="str">
        <f aca="true">IF(ISNUMBER($J1220),INDIRECT("M"&amp;($J1220+4)),"")</f>
        <v/>
      </c>
      <c r="C1220" s="296" t="str">
        <f aca="true">IF(ISNUMBER($J1220),INDIRECT("N"&amp;($J1220+4)),"")</f>
        <v/>
      </c>
      <c r="D1220" s="291" t="str">
        <f aca="true">IF(ISNUMBER($J1220),INDIRECT("O"&amp;($J1220+4)),"")</f>
        <v/>
      </c>
      <c r="E1220" s="291" t="str">
        <f aca="true">IF(ISNUMBER($J1220),INDIRECT("P"&amp;($J1220+4)),"")</f>
        <v/>
      </c>
      <c r="F1220" s="300" t="str">
        <f aca="true">IF(ISNUMBER($J1220),INDIRECT("Q"&amp;($J1220+4)),"")</f>
        <v/>
      </c>
      <c r="G1220" s="298" t="str">
        <f aca="true">IF(ISNUMBER($J1220),INDIRECT("R"&amp;($J1220+4)),"")</f>
        <v/>
      </c>
      <c r="H1220" s="298" t="str">
        <f aca="true">IF(ISNUMBER($J1220),INDIRECT("S"&amp;($J1220+4)),"")</f>
        <v/>
      </c>
      <c r="J1220" s="292" t="str">
        <f aca="true">IF(1216&lt;=$K$1,MATCH(1215.5,INDIRECT("$K$4:$K$1374"),1),"")</f>
        <v/>
      </c>
      <c r="K1220" s="292" t="n">
        <f aca="false">$K$1156+COUNTIF($Q$1157:Q1220,"&gt;0")</f>
        <v>0</v>
      </c>
      <c r="L1220" s="292" t="str">
        <f aca="false">"Стёкла серии Elephant"&amp;" · "&amp;'Стёкла серии Elephant'!$N$356</f>
        <v>Стёкла серии Elephant · Elephant</v>
      </c>
      <c r="M1220" s="292" t="str">
        <f aca="false">IF(ISBLANK('Стёкла серии Elephant'!$O$356),"",'Стёкла серии Elephant'!$O$356)</f>
        <v>mate 30</v>
      </c>
      <c r="N1220" s="292" t="str">
        <f aca="false">""</f>
        <v/>
      </c>
      <c r="O1220" s="292" t="str">
        <f aca="false">""</f>
        <v/>
      </c>
      <c r="P1220" s="292" t="str">
        <f aca="false">IF(ISBLANK('Стёкла серии Elephant'!$P$356),"",'Стёкла серии Elephant'!$P$356)</f>
        <v>шт.</v>
      </c>
      <c r="Q1220" s="292" t="n">
        <f aca="false">N('Стёкла серии Elephant'!$R$356)</f>
        <v>0</v>
      </c>
      <c r="R1220" s="299" t="n">
        <f aca="false">IF(ISBLANK('Стёкла серии Elephant'!$Q$356),"",'Стёкла серии Elephant'!$Q$356)</f>
        <v>122.32</v>
      </c>
      <c r="S1220" s="292" t="str">
        <f aca="false">IF(ISBLANK('Стёкла серии Elephant'!$S$356),"",'Стёкла серии Elephant'!$S$356)</f>
        <v/>
      </c>
    </row>
    <row r="1221" customFormat="false" ht="66" hidden="false" customHeight="true" outlineLevel="0" collapsed="false">
      <c r="A1221" s="291" t="str">
        <f aca="true">IF(ISNUMBER($J1221),INDIRECT("L"&amp;($J1221+4)),"")</f>
        <v/>
      </c>
      <c r="B1221" s="291" t="str">
        <f aca="true">IF(ISNUMBER($J1221),INDIRECT("M"&amp;($J1221+4)),"")</f>
        <v/>
      </c>
      <c r="C1221" s="296" t="str">
        <f aca="true">IF(ISNUMBER($J1221),INDIRECT("N"&amp;($J1221+4)),"")</f>
        <v/>
      </c>
      <c r="D1221" s="291" t="str">
        <f aca="true">IF(ISNUMBER($J1221),INDIRECT("O"&amp;($J1221+4)),"")</f>
        <v/>
      </c>
      <c r="E1221" s="291" t="str">
        <f aca="true">IF(ISNUMBER($J1221),INDIRECT("P"&amp;($J1221+4)),"")</f>
        <v/>
      </c>
      <c r="F1221" s="300" t="str">
        <f aca="true">IF(ISNUMBER($J1221),INDIRECT("Q"&amp;($J1221+4)),"")</f>
        <v/>
      </c>
      <c r="G1221" s="298" t="str">
        <f aca="true">IF(ISNUMBER($J1221),INDIRECT("R"&amp;($J1221+4)),"")</f>
        <v/>
      </c>
      <c r="H1221" s="298" t="str">
        <f aca="true">IF(ISNUMBER($J1221),INDIRECT("S"&amp;($J1221+4)),"")</f>
        <v/>
      </c>
      <c r="J1221" s="292" t="str">
        <f aca="true">IF(1217&lt;=$K$1,MATCH(1216.5,INDIRECT("$K$4:$K$1374"),1),"")</f>
        <v/>
      </c>
      <c r="K1221" s="292" t="n">
        <f aca="false">$K$1156+COUNTIF($Q$1157:Q1221,"&gt;0")</f>
        <v>0</v>
      </c>
      <c r="L1221" s="292" t="str">
        <f aca="false">"Стёкла серии Elephant"&amp;" · "&amp;'Стёкла серии Elephant'!$N$357</f>
        <v>Стёкла серии Elephant · Elephant</v>
      </c>
      <c r="M1221" s="292" t="str">
        <f aca="false">IF(ISBLANK('Стёкла серии Elephant'!$O$357),"",'Стёкла серии Elephant'!$O$357)</f>
        <v>HW Honor 20LITE（domestic edition）/ Enjoy10S/PLAY 4TPRO/Y8P/PSMART S/荣耀30i</v>
      </c>
      <c r="N1221" s="292" t="str">
        <f aca="false">""</f>
        <v/>
      </c>
      <c r="O1221" s="292" t="str">
        <f aca="false">""</f>
        <v/>
      </c>
      <c r="P1221" s="292" t="str">
        <f aca="false">IF(ISBLANK('Стёкла серии Elephant'!$P$357),"",'Стёкла серии Elephant'!$P$357)</f>
        <v>шт.</v>
      </c>
      <c r="Q1221" s="292" t="n">
        <f aca="false">N('Стёкла серии Elephant'!$R$357)</f>
        <v>0</v>
      </c>
      <c r="R1221" s="299" t="n">
        <f aca="false">IF(ISBLANK('Стёкла серии Elephant'!$Q$357),"",'Стёкла серии Elephant'!$Q$357)</f>
        <v>122.32</v>
      </c>
      <c r="S1221" s="292" t="str">
        <f aca="false">IF(ISBLANK('Стёкла серии Elephant'!$S$357),"",'Стёкла серии Elephant'!$S$357)</f>
        <v/>
      </c>
    </row>
    <row r="1222" customFormat="false" ht="66" hidden="false" customHeight="true" outlineLevel="0" collapsed="false">
      <c r="A1222" s="291" t="str">
        <f aca="true">IF(ISNUMBER($J1222),INDIRECT("L"&amp;($J1222+4)),"")</f>
        <v/>
      </c>
      <c r="B1222" s="291" t="str">
        <f aca="true">IF(ISNUMBER($J1222),INDIRECT("M"&amp;($J1222+4)),"")</f>
        <v/>
      </c>
      <c r="C1222" s="296" t="str">
        <f aca="true">IF(ISNUMBER($J1222),INDIRECT("N"&amp;($J1222+4)),"")</f>
        <v/>
      </c>
      <c r="D1222" s="291" t="str">
        <f aca="true">IF(ISNUMBER($J1222),INDIRECT("O"&amp;($J1222+4)),"")</f>
        <v/>
      </c>
      <c r="E1222" s="291" t="str">
        <f aca="true">IF(ISNUMBER($J1222),INDIRECT("P"&amp;($J1222+4)),"")</f>
        <v/>
      </c>
      <c r="F1222" s="300" t="str">
        <f aca="true">IF(ISNUMBER($J1222),INDIRECT("Q"&amp;($J1222+4)),"")</f>
        <v/>
      </c>
      <c r="G1222" s="298" t="str">
        <f aca="true">IF(ISNUMBER($J1222),INDIRECT("R"&amp;($J1222+4)),"")</f>
        <v/>
      </c>
      <c r="H1222" s="298" t="str">
        <f aca="true">IF(ISNUMBER($J1222),INDIRECT("S"&amp;($J1222+4)),"")</f>
        <v/>
      </c>
      <c r="J1222" s="292" t="str">
        <f aca="true">IF(1218&lt;=$K$1,MATCH(1217.5,INDIRECT("$K$4:$K$1374"),1),"")</f>
        <v/>
      </c>
      <c r="K1222" s="292" t="n">
        <f aca="false">$K$1156+COUNTIF($Q$1157:Q1222,"&gt;0")</f>
        <v>0</v>
      </c>
      <c r="L1222" s="292" t="str">
        <f aca="false">"Стёкла серии Elephant"&amp;" · "&amp;'Стёкла серии Elephant'!$N$358</f>
        <v>Стёкла серии Elephant · Elephant</v>
      </c>
      <c r="M1222" s="292" t="str">
        <f aca="false">IF(ISBLANK('Стёкла серии Elephant'!$O$358),"",'Стёкла серии Elephant'!$O$358)</f>
        <v>MiCC9e</v>
      </c>
      <c r="N1222" s="292" t="str">
        <f aca="false">""</f>
        <v/>
      </c>
      <c r="O1222" s="292" t="str">
        <f aca="false">""</f>
        <v/>
      </c>
      <c r="P1222" s="292" t="str">
        <f aca="false">IF(ISBLANK('Стёкла серии Elephant'!$P$358),"",'Стёкла серии Elephant'!$P$358)</f>
        <v>шт.</v>
      </c>
      <c r="Q1222" s="292" t="n">
        <f aca="false">N('Стёкла серии Elephant'!$R$358)</f>
        <v>0</v>
      </c>
      <c r="R1222" s="299" t="n">
        <f aca="false">IF(ISBLANK('Стёкла серии Elephant'!$Q$358),"",'Стёкла серии Elephant'!$Q$358)</f>
        <v>122.32</v>
      </c>
      <c r="S1222" s="292" t="str">
        <f aca="false">IF(ISBLANK('Стёкла серии Elephant'!$S$358),"",'Стёкла серии Elephant'!$S$358)</f>
        <v/>
      </c>
    </row>
    <row r="1223" customFormat="false" ht="66" hidden="false" customHeight="true" outlineLevel="0" collapsed="false">
      <c r="A1223" s="291" t="str">
        <f aca="true">IF(ISNUMBER($J1223),INDIRECT("L"&amp;($J1223+4)),"")</f>
        <v/>
      </c>
      <c r="B1223" s="291" t="str">
        <f aca="true">IF(ISNUMBER($J1223),INDIRECT("M"&amp;($J1223+4)),"")</f>
        <v/>
      </c>
      <c r="C1223" s="296" t="str">
        <f aca="true">IF(ISNUMBER($J1223),INDIRECT("N"&amp;($J1223+4)),"")</f>
        <v/>
      </c>
      <c r="D1223" s="291" t="str">
        <f aca="true">IF(ISNUMBER($J1223),INDIRECT("O"&amp;($J1223+4)),"")</f>
        <v/>
      </c>
      <c r="E1223" s="291" t="str">
        <f aca="true">IF(ISNUMBER($J1223),INDIRECT("P"&amp;($J1223+4)),"")</f>
        <v/>
      </c>
      <c r="F1223" s="300" t="str">
        <f aca="true">IF(ISNUMBER($J1223),INDIRECT("Q"&amp;($J1223+4)),"")</f>
        <v/>
      </c>
      <c r="G1223" s="298" t="str">
        <f aca="true">IF(ISNUMBER($J1223),INDIRECT("R"&amp;($J1223+4)),"")</f>
        <v/>
      </c>
      <c r="H1223" s="298" t="str">
        <f aca="true">IF(ISNUMBER($J1223),INDIRECT("S"&amp;($J1223+4)),"")</f>
        <v/>
      </c>
      <c r="J1223" s="292" t="str">
        <f aca="true">IF(1219&lt;=$K$1,MATCH(1218.5,INDIRECT("$K$4:$K$1374"),1),"")</f>
        <v/>
      </c>
      <c r="K1223" s="292" t="n">
        <f aca="false">$K$1156+COUNTIF($Q$1157:Q1223,"&gt;0")</f>
        <v>0</v>
      </c>
      <c r="L1223" s="292" t="str">
        <f aca="false">"Стёкла серии Elephant"&amp;" · "&amp;'Стёкла серии Elephant'!$N$359</f>
        <v>Стёкла серии Elephant · Elephant</v>
      </c>
      <c r="M1223" s="292" t="str">
        <f aca="false">IF(ISBLANK('Стёкла серии Elephant'!$O$359),"",'Стёкла серии Elephant'!$O$359)</f>
        <v>M10S</v>
      </c>
      <c r="N1223" s="292" t="str">
        <f aca="false">""</f>
        <v/>
      </c>
      <c r="O1223" s="292" t="str">
        <f aca="false">""</f>
        <v/>
      </c>
      <c r="P1223" s="292" t="str">
        <f aca="false">IF(ISBLANK('Стёкла серии Elephant'!$P$359),"",'Стёкла серии Elephant'!$P$359)</f>
        <v>шт.</v>
      </c>
      <c r="Q1223" s="292" t="n">
        <f aca="false">N('Стёкла серии Elephant'!$R$359)</f>
        <v>0</v>
      </c>
      <c r="R1223" s="299" t="n">
        <f aca="false">IF(ISBLANK('Стёкла серии Elephant'!$Q$359),"",'Стёкла серии Elephant'!$Q$359)</f>
        <v>122.32</v>
      </c>
      <c r="S1223" s="292" t="str">
        <f aca="false">IF(ISBLANK('Стёкла серии Elephant'!$S$359),"",'Стёкла серии Elephant'!$S$359)</f>
        <v/>
      </c>
    </row>
    <row r="1224" customFormat="false" ht="66" hidden="false" customHeight="true" outlineLevel="0" collapsed="false">
      <c r="A1224" s="291" t="str">
        <f aca="true">IF(ISNUMBER($J1224),INDIRECT("L"&amp;($J1224+4)),"")</f>
        <v/>
      </c>
      <c r="B1224" s="291" t="str">
        <f aca="true">IF(ISNUMBER($J1224),INDIRECT("M"&amp;($J1224+4)),"")</f>
        <v/>
      </c>
      <c r="C1224" s="296" t="str">
        <f aca="true">IF(ISNUMBER($J1224),INDIRECT("N"&amp;($J1224+4)),"")</f>
        <v/>
      </c>
      <c r="D1224" s="291" t="str">
        <f aca="true">IF(ISNUMBER($J1224),INDIRECT("O"&amp;($J1224+4)),"")</f>
        <v/>
      </c>
      <c r="E1224" s="291" t="str">
        <f aca="true">IF(ISNUMBER($J1224),INDIRECT("P"&amp;($J1224+4)),"")</f>
        <v/>
      </c>
      <c r="F1224" s="300" t="str">
        <f aca="true">IF(ISNUMBER($J1224),INDIRECT("Q"&amp;($J1224+4)),"")</f>
        <v/>
      </c>
      <c r="G1224" s="298" t="str">
        <f aca="true">IF(ISNUMBER($J1224),INDIRECT("R"&amp;($J1224+4)),"")</f>
        <v/>
      </c>
      <c r="H1224" s="298" t="str">
        <f aca="true">IF(ISNUMBER($J1224),INDIRECT("S"&amp;($J1224+4)),"")</f>
        <v/>
      </c>
      <c r="J1224" s="292" t="str">
        <f aca="true">IF(1220&lt;=$K$1,MATCH(1219.5,INDIRECT("$K$4:$K$1374"),1),"")</f>
        <v/>
      </c>
      <c r="K1224" s="292" t="n">
        <f aca="false">$K$1156+COUNTIF($Q$1157:Q1224,"&gt;0")</f>
        <v>0</v>
      </c>
      <c r="L1224" s="292" t="str">
        <f aca="false">"Стёкла серии Elephant"&amp;" · "&amp;'Стёкла серии Elephant'!$N$360</f>
        <v>Стёкла серии Elephant · Elephant</v>
      </c>
      <c r="M1224" s="292" t="str">
        <f aca="false">IF(ISBLANK('Стёкла серии Elephant'!$O$360),"",'Стёкла серии Elephant'!$O$360)</f>
        <v>Reno 3</v>
      </c>
      <c r="N1224" s="292" t="str">
        <f aca="false">""</f>
        <v/>
      </c>
      <c r="O1224" s="292" t="str">
        <f aca="false">""</f>
        <v/>
      </c>
      <c r="P1224" s="292" t="str">
        <f aca="false">IF(ISBLANK('Стёкла серии Elephant'!$P$360),"",'Стёкла серии Elephant'!$P$360)</f>
        <v>шт.</v>
      </c>
      <c r="Q1224" s="292" t="n">
        <f aca="false">N('Стёкла серии Elephant'!$R$360)</f>
        <v>0</v>
      </c>
      <c r="R1224" s="299" t="n">
        <f aca="false">IF(ISBLANK('Стёкла серии Elephant'!$Q$360),"",'Стёкла серии Elephant'!$Q$360)</f>
        <v>122.32</v>
      </c>
      <c r="S1224" s="292" t="str">
        <f aca="false">IF(ISBLANK('Стёкла серии Elephant'!$S$360),"",'Стёкла серии Elephant'!$S$360)</f>
        <v/>
      </c>
    </row>
    <row r="1225" customFormat="false" ht="66" hidden="false" customHeight="true" outlineLevel="0" collapsed="false">
      <c r="A1225" s="291" t="str">
        <f aca="true">IF(ISNUMBER($J1225),INDIRECT("L"&amp;($J1225+4)),"")</f>
        <v/>
      </c>
      <c r="B1225" s="291" t="str">
        <f aca="true">IF(ISNUMBER($J1225),INDIRECT("M"&amp;($J1225+4)),"")</f>
        <v/>
      </c>
      <c r="C1225" s="296" t="str">
        <f aca="true">IF(ISNUMBER($J1225),INDIRECT("N"&amp;($J1225+4)),"")</f>
        <v/>
      </c>
      <c r="D1225" s="291" t="str">
        <f aca="true">IF(ISNUMBER($J1225),INDIRECT("O"&amp;($J1225+4)),"")</f>
        <v/>
      </c>
      <c r="E1225" s="291" t="str">
        <f aca="true">IF(ISNUMBER($J1225),INDIRECT("P"&amp;($J1225+4)),"")</f>
        <v/>
      </c>
      <c r="F1225" s="300" t="str">
        <f aca="true">IF(ISNUMBER($J1225),INDIRECT("Q"&amp;($J1225+4)),"")</f>
        <v/>
      </c>
      <c r="G1225" s="298" t="str">
        <f aca="true">IF(ISNUMBER($J1225),INDIRECT("R"&amp;($J1225+4)),"")</f>
        <v/>
      </c>
      <c r="H1225" s="298" t="str">
        <f aca="true">IF(ISNUMBER($J1225),INDIRECT("S"&amp;($J1225+4)),"")</f>
        <v/>
      </c>
      <c r="J1225" s="292" t="str">
        <f aca="true">IF(1221&lt;=$K$1,MATCH(1220.5,INDIRECT("$K$4:$K$1374"),1),"")</f>
        <v/>
      </c>
      <c r="K1225" s="292" t="n">
        <f aca="false">$K$1156+COUNTIF($Q$1157:Q1225,"&gt;0")</f>
        <v>0</v>
      </c>
      <c r="L1225" s="292" t="str">
        <f aca="false">"Стёкла серии Elephant"&amp;" · "&amp;'Стёкла серии Elephant'!$N$361</f>
        <v>Стёкла серии Elephant · Elephant</v>
      </c>
      <c r="M1225" s="292" t="str">
        <f aca="false">IF(ISBLANK('Стёкла серии Elephant'!$O$361),"",'Стёкла серии Elephant'!$O$361)</f>
        <v>Realme X3 SUPERZOOM</v>
      </c>
      <c r="N1225" s="292" t="str">
        <f aca="false">""</f>
        <v/>
      </c>
      <c r="O1225" s="292" t="str">
        <f aca="false">""</f>
        <v/>
      </c>
      <c r="P1225" s="292" t="str">
        <f aca="false">IF(ISBLANK('Стёкла серии Elephant'!$P$361),"",'Стёкла серии Elephant'!$P$361)</f>
        <v>шт.</v>
      </c>
      <c r="Q1225" s="292" t="n">
        <f aca="false">N('Стёкла серии Elephant'!$R$361)</f>
        <v>0</v>
      </c>
      <c r="R1225" s="299" t="n">
        <f aca="false">IF(ISBLANK('Стёкла серии Elephant'!$Q$361),"",'Стёкла серии Elephant'!$Q$361)</f>
        <v>122.32</v>
      </c>
      <c r="S1225" s="292" t="str">
        <f aca="false">IF(ISBLANK('Стёкла серии Elephant'!$S$361),"",'Стёкла серии Elephant'!$S$361)</f>
        <v/>
      </c>
    </row>
    <row r="1226" customFormat="false" ht="66" hidden="false" customHeight="true" outlineLevel="0" collapsed="false">
      <c r="A1226" s="291" t="str">
        <f aca="true">IF(ISNUMBER($J1226),INDIRECT("L"&amp;($J1226+4)),"")</f>
        <v/>
      </c>
      <c r="B1226" s="291" t="str">
        <f aca="true">IF(ISNUMBER($J1226),INDIRECT("M"&amp;($J1226+4)),"")</f>
        <v/>
      </c>
      <c r="C1226" s="296" t="str">
        <f aca="true">IF(ISNUMBER($J1226),INDIRECT("N"&amp;($J1226+4)),"")</f>
        <v/>
      </c>
      <c r="D1226" s="291" t="str">
        <f aca="true">IF(ISNUMBER($J1226),INDIRECT("O"&amp;($J1226+4)),"")</f>
        <v/>
      </c>
      <c r="E1226" s="291" t="str">
        <f aca="true">IF(ISNUMBER($J1226),INDIRECT("P"&amp;($J1226+4)),"")</f>
        <v/>
      </c>
      <c r="F1226" s="300" t="str">
        <f aca="true">IF(ISNUMBER($J1226),INDIRECT("Q"&amp;($J1226+4)),"")</f>
        <v/>
      </c>
      <c r="G1226" s="298" t="str">
        <f aca="true">IF(ISNUMBER($J1226),INDIRECT("R"&amp;($J1226+4)),"")</f>
        <v/>
      </c>
      <c r="H1226" s="298" t="str">
        <f aca="true">IF(ISNUMBER($J1226),INDIRECT("S"&amp;($J1226+4)),"")</f>
        <v/>
      </c>
      <c r="J1226" s="292" t="str">
        <f aca="true">IF(1222&lt;=$K$1,MATCH(1221.5,INDIRECT("$K$4:$K$1374"),1),"")</f>
        <v/>
      </c>
      <c r="K1226" s="292" t="n">
        <f aca="false">$K$1156+COUNTIF($Q$1157:Q1226,"&gt;0")</f>
        <v>0</v>
      </c>
      <c r="L1226" s="292" t="str">
        <f aca="false">"Стёкла серии Elephant"&amp;" · "&amp;'Стёкла серии Elephant'!$N$362</f>
        <v>Стёкла серии Elephant · Elephant</v>
      </c>
      <c r="M1226" s="292" t="str">
        <f aca="false">IF(ISBLANK('Стёкла серии Elephant'!$O$362),"",'Стёкла серии Elephant'!$O$362)</f>
        <v>U20</v>
      </c>
      <c r="N1226" s="292" t="str">
        <f aca="false">""</f>
        <v/>
      </c>
      <c r="O1226" s="292" t="str">
        <f aca="false">""</f>
        <v/>
      </c>
      <c r="P1226" s="292" t="str">
        <f aca="false">IF(ISBLANK('Стёкла серии Elephant'!$P$362),"",'Стёкла серии Elephant'!$P$362)</f>
        <v>шт.</v>
      </c>
      <c r="Q1226" s="292" t="n">
        <f aca="false">N('Стёкла серии Elephant'!$R$362)</f>
        <v>0</v>
      </c>
      <c r="R1226" s="299" t="n">
        <f aca="false">IF(ISBLANK('Стёкла серии Elephant'!$Q$362),"",'Стёкла серии Elephant'!$Q$362)</f>
        <v>122.32</v>
      </c>
      <c r="S1226" s="292" t="str">
        <f aca="false">IF(ISBLANK('Стёкла серии Elephant'!$S$362),"",'Стёкла серии Elephant'!$S$362)</f>
        <v/>
      </c>
    </row>
    <row r="1227" customFormat="false" ht="66" hidden="false" customHeight="true" outlineLevel="0" collapsed="false">
      <c r="A1227" s="291" t="str">
        <f aca="true">IF(ISNUMBER($J1227),INDIRECT("L"&amp;($J1227+4)),"")</f>
        <v/>
      </c>
      <c r="B1227" s="291" t="str">
        <f aca="true">IF(ISNUMBER($J1227),INDIRECT("M"&amp;($J1227+4)),"")</f>
        <v/>
      </c>
      <c r="C1227" s="296" t="str">
        <f aca="true">IF(ISNUMBER($J1227),INDIRECT("N"&amp;($J1227+4)),"")</f>
        <v/>
      </c>
      <c r="D1227" s="291" t="str">
        <f aca="true">IF(ISNUMBER($J1227),INDIRECT("O"&amp;($J1227+4)),"")</f>
        <v/>
      </c>
      <c r="E1227" s="291" t="str">
        <f aca="true">IF(ISNUMBER($J1227),INDIRECT("P"&amp;($J1227+4)),"")</f>
        <v/>
      </c>
      <c r="F1227" s="300" t="str">
        <f aca="true">IF(ISNUMBER($J1227),INDIRECT("Q"&amp;($J1227+4)),"")</f>
        <v/>
      </c>
      <c r="G1227" s="298" t="str">
        <f aca="true">IF(ISNUMBER($J1227),INDIRECT("R"&amp;($J1227+4)),"")</f>
        <v/>
      </c>
      <c r="H1227" s="298" t="str">
        <f aca="true">IF(ISNUMBER($J1227),INDIRECT("S"&amp;($J1227+4)),"")</f>
        <v/>
      </c>
      <c r="J1227" s="292" t="str">
        <f aca="true">IF(1223&lt;=$K$1,MATCH(1222.5,INDIRECT("$K$4:$K$1374"),1),"")</f>
        <v/>
      </c>
      <c r="K1227" s="292" t="n">
        <f aca="false">$K$1156+COUNTIF($Q$1157:Q1227,"&gt;0")</f>
        <v>0</v>
      </c>
      <c r="L1227" s="292" t="str">
        <f aca="false">"Стёкла серии Elephant"&amp;" · "&amp;'Стёкла серии Elephant'!$N$363</f>
        <v>Стёкла серии Elephant · Elephant</v>
      </c>
      <c r="M1227" s="292" t="str">
        <f aca="false">IF(ISBLANK('Стёкла серии Elephant'!$O$363),"",'Стёкла серии Elephant'!$O$363)</f>
        <v>Mate30 Lite</v>
      </c>
      <c r="N1227" s="292" t="str">
        <f aca="false">""</f>
        <v/>
      </c>
      <c r="O1227" s="292" t="str">
        <f aca="false">""</f>
        <v/>
      </c>
      <c r="P1227" s="292" t="str">
        <f aca="false">IF(ISBLANK('Стёкла серии Elephant'!$P$363),"",'Стёкла серии Elephant'!$P$363)</f>
        <v>шт.</v>
      </c>
      <c r="Q1227" s="292" t="n">
        <f aca="false">N('Стёкла серии Elephant'!$R$363)</f>
        <v>0</v>
      </c>
      <c r="R1227" s="299" t="n">
        <f aca="false">IF(ISBLANK('Стёкла серии Elephant'!$Q$363),"",'Стёкла серии Elephant'!$Q$363)</f>
        <v>122.32</v>
      </c>
      <c r="S1227" s="292" t="str">
        <f aca="false">IF(ISBLANK('Стёкла серии Elephant'!$S$363),"",'Стёкла серии Elephant'!$S$363)</f>
        <v/>
      </c>
    </row>
    <row r="1228" customFormat="false" ht="66" hidden="false" customHeight="true" outlineLevel="0" collapsed="false">
      <c r="A1228" s="291" t="str">
        <f aca="true">IF(ISNUMBER($J1228),INDIRECT("L"&amp;($J1228+4)),"")</f>
        <v/>
      </c>
      <c r="B1228" s="291" t="str">
        <f aca="true">IF(ISNUMBER($J1228),INDIRECT("M"&amp;($J1228+4)),"")</f>
        <v/>
      </c>
      <c r="C1228" s="296" t="str">
        <f aca="true">IF(ISNUMBER($J1228),INDIRECT("N"&amp;($J1228+4)),"")</f>
        <v/>
      </c>
      <c r="D1228" s="291" t="str">
        <f aca="true">IF(ISNUMBER($J1228),INDIRECT("O"&amp;($J1228+4)),"")</f>
        <v/>
      </c>
      <c r="E1228" s="291" t="str">
        <f aca="true">IF(ISNUMBER($J1228),INDIRECT("P"&amp;($J1228+4)),"")</f>
        <v/>
      </c>
      <c r="F1228" s="300" t="str">
        <f aca="true">IF(ISNUMBER($J1228),INDIRECT("Q"&amp;($J1228+4)),"")</f>
        <v/>
      </c>
      <c r="G1228" s="298" t="str">
        <f aca="true">IF(ISNUMBER($J1228),INDIRECT("R"&amp;($J1228+4)),"")</f>
        <v/>
      </c>
      <c r="H1228" s="298" t="str">
        <f aca="true">IF(ISNUMBER($J1228),INDIRECT("S"&amp;($J1228+4)),"")</f>
        <v/>
      </c>
      <c r="J1228" s="292" t="str">
        <f aca="true">IF(1224&lt;=$K$1,MATCH(1223.5,INDIRECT("$K$4:$K$1374"),1),"")</f>
        <v/>
      </c>
      <c r="K1228" s="292" t="n">
        <f aca="false">$K$1156+COUNTIF($Q$1157:Q1228,"&gt;0")</f>
        <v>0</v>
      </c>
      <c r="L1228" s="292" t="str">
        <f aca="false">"Стёкла серии Elephant"&amp;" · "&amp;'Стёкла серии Elephant'!$N$364</f>
        <v>Стёкла серии Elephant · Elephant</v>
      </c>
      <c r="M1228" s="292" t="str">
        <f aca="false">IF(ISBLANK('Стёкла серии Elephant'!$O$364),"",'Стёкла серии Elephant'!$O$364)</f>
        <v>Mi 9 Lite</v>
      </c>
      <c r="N1228" s="292" t="str">
        <f aca="false">""</f>
        <v/>
      </c>
      <c r="O1228" s="292" t="str">
        <f aca="false">""</f>
        <v/>
      </c>
      <c r="P1228" s="292" t="str">
        <f aca="false">IF(ISBLANK('Стёкла серии Elephant'!$P$364),"",'Стёкла серии Elephant'!$P$364)</f>
        <v>шт.</v>
      </c>
      <c r="Q1228" s="292" t="n">
        <f aca="false">N('Стёкла серии Elephant'!$R$364)</f>
        <v>0</v>
      </c>
      <c r="R1228" s="299" t="n">
        <f aca="false">IF(ISBLANK('Стёкла серии Elephant'!$Q$364),"",'Стёкла серии Elephant'!$Q$364)</f>
        <v>122.32</v>
      </c>
      <c r="S1228" s="292" t="str">
        <f aca="false">IF(ISBLANK('Стёкла серии Elephant'!$S$364),"",'Стёкла серии Elephant'!$S$364)</f>
        <v/>
      </c>
    </row>
    <row r="1229" customFormat="false" ht="66" hidden="false" customHeight="true" outlineLevel="0" collapsed="false">
      <c r="A1229" s="291" t="str">
        <f aca="true">IF(ISNUMBER($J1229),INDIRECT("L"&amp;($J1229+4)),"")</f>
        <v/>
      </c>
      <c r="B1229" s="291" t="str">
        <f aca="true">IF(ISNUMBER($J1229),INDIRECT("M"&amp;($J1229+4)),"")</f>
        <v/>
      </c>
      <c r="C1229" s="296" t="str">
        <f aca="true">IF(ISNUMBER($J1229),INDIRECT("N"&amp;($J1229+4)),"")</f>
        <v/>
      </c>
      <c r="D1229" s="291" t="str">
        <f aca="true">IF(ISNUMBER($J1229),INDIRECT("O"&amp;($J1229+4)),"")</f>
        <v/>
      </c>
      <c r="E1229" s="291" t="str">
        <f aca="true">IF(ISNUMBER($J1229),INDIRECT("P"&amp;($J1229+4)),"")</f>
        <v/>
      </c>
      <c r="F1229" s="300" t="str">
        <f aca="true">IF(ISNUMBER($J1229),INDIRECT("Q"&amp;($J1229+4)),"")</f>
        <v/>
      </c>
      <c r="G1229" s="298" t="str">
        <f aca="true">IF(ISNUMBER($J1229),INDIRECT("R"&amp;($J1229+4)),"")</f>
        <v/>
      </c>
      <c r="H1229" s="298" t="str">
        <f aca="true">IF(ISNUMBER($J1229),INDIRECT("S"&amp;($J1229+4)),"")</f>
        <v/>
      </c>
      <c r="J1229" s="292" t="str">
        <f aca="true">IF(1225&lt;=$K$1,MATCH(1224.5,INDIRECT("$K$4:$K$1374"),1),"")</f>
        <v/>
      </c>
      <c r="K1229" s="292" t="n">
        <f aca="false">$K$1156+COUNTIF($Q$1157:Q1229,"&gt;0")</f>
        <v>0</v>
      </c>
      <c r="L1229" s="292" t="str">
        <f aca="false">"Стёкла серии Elephant"&amp;" · "&amp;'Стёкла серии Elephant'!$N$365</f>
        <v>Стёкла серии Elephant · Elephant</v>
      </c>
      <c r="M1229" s="292" t="str">
        <f aca="false">IF(ISBLANK('Стёкла серии Elephant'!$O$365),"",'Стёкла серии Elephant'!$O$365)</f>
        <v>M30S</v>
      </c>
      <c r="N1229" s="292" t="str">
        <f aca="false">""</f>
        <v/>
      </c>
      <c r="O1229" s="292" t="str">
        <f aca="false">""</f>
        <v/>
      </c>
      <c r="P1229" s="292" t="str">
        <f aca="false">IF(ISBLANK('Стёкла серии Elephant'!$P$365),"",'Стёкла серии Elephant'!$P$365)</f>
        <v>шт.</v>
      </c>
      <c r="Q1229" s="292" t="n">
        <f aca="false">N('Стёкла серии Elephant'!$R$365)</f>
        <v>0</v>
      </c>
      <c r="R1229" s="299" t="n">
        <f aca="false">IF(ISBLANK('Стёкла серии Elephant'!$Q$365),"",'Стёкла серии Elephant'!$Q$365)</f>
        <v>122.32</v>
      </c>
      <c r="S1229" s="292" t="str">
        <f aca="false">IF(ISBLANK('Стёкла серии Elephant'!$S$365),"",'Стёкла серии Elephant'!$S$365)</f>
        <v/>
      </c>
    </row>
    <row r="1230" customFormat="false" ht="66" hidden="false" customHeight="true" outlineLevel="0" collapsed="false">
      <c r="A1230" s="291" t="str">
        <f aca="true">IF(ISNUMBER($J1230),INDIRECT("L"&amp;($J1230+4)),"")</f>
        <v/>
      </c>
      <c r="B1230" s="291" t="str">
        <f aca="true">IF(ISNUMBER($J1230),INDIRECT("M"&amp;($J1230+4)),"")</f>
        <v/>
      </c>
      <c r="C1230" s="296" t="str">
        <f aca="true">IF(ISNUMBER($J1230),INDIRECT("N"&amp;($J1230+4)),"")</f>
        <v/>
      </c>
      <c r="D1230" s="291" t="str">
        <f aca="true">IF(ISNUMBER($J1230),INDIRECT("O"&amp;($J1230+4)),"")</f>
        <v/>
      </c>
      <c r="E1230" s="291" t="str">
        <f aca="true">IF(ISNUMBER($J1230),INDIRECT("P"&amp;($J1230+4)),"")</f>
        <v/>
      </c>
      <c r="F1230" s="300" t="str">
        <f aca="true">IF(ISNUMBER($J1230),INDIRECT("Q"&amp;($J1230+4)),"")</f>
        <v/>
      </c>
      <c r="G1230" s="298" t="str">
        <f aca="true">IF(ISNUMBER($J1230),INDIRECT("R"&amp;($J1230+4)),"")</f>
        <v/>
      </c>
      <c r="H1230" s="298" t="str">
        <f aca="true">IF(ISNUMBER($J1230),INDIRECT("S"&amp;($J1230+4)),"")</f>
        <v/>
      </c>
      <c r="J1230" s="292" t="str">
        <f aca="true">IF(1226&lt;=$K$1,MATCH(1225.5,INDIRECT("$K$4:$K$1374"),1),"")</f>
        <v/>
      </c>
      <c r="K1230" s="292" t="n">
        <f aca="false">$K$1156+COUNTIF($Q$1157:Q1230,"&gt;0")</f>
        <v>0</v>
      </c>
      <c r="L1230" s="292" t="str">
        <f aca="false">"Стёкла серии Elephant"&amp;" · "&amp;'Стёкла серии Elephant'!$N$366</f>
        <v>Стёкла серии Elephant · Elephant</v>
      </c>
      <c r="M1230" s="292" t="str">
        <f aca="false">IF(ISBLANK('Стёкла серии Elephant'!$O$366),"",'Стёкла серии Elephant'!$O$366)</f>
        <v>Reno 2</v>
      </c>
      <c r="N1230" s="292" t="str">
        <f aca="false">""</f>
        <v/>
      </c>
      <c r="O1230" s="292" t="str">
        <f aca="false">""</f>
        <v/>
      </c>
      <c r="P1230" s="292" t="str">
        <f aca="false">IF(ISBLANK('Стёкла серии Elephant'!$P$366),"",'Стёкла серии Elephant'!$P$366)</f>
        <v>шт.</v>
      </c>
      <c r="Q1230" s="292" t="n">
        <f aca="false">N('Стёкла серии Elephant'!$R$366)</f>
        <v>0</v>
      </c>
      <c r="R1230" s="299" t="n">
        <f aca="false">IF(ISBLANK('Стёкла серии Elephant'!$Q$366),"",'Стёкла серии Elephant'!$Q$366)</f>
        <v>122.32</v>
      </c>
      <c r="S1230" s="292" t="str">
        <f aca="false">IF(ISBLANK('Стёкла серии Elephant'!$S$366),"",'Стёкла серии Elephant'!$S$366)</f>
        <v/>
      </c>
    </row>
    <row r="1231" customFormat="false" ht="66" hidden="false" customHeight="true" outlineLevel="0" collapsed="false">
      <c r="A1231" s="291" t="str">
        <f aca="true">IF(ISNUMBER($J1231),INDIRECT("L"&amp;($J1231+4)),"")</f>
        <v/>
      </c>
      <c r="B1231" s="291" t="str">
        <f aca="true">IF(ISNUMBER($J1231),INDIRECT("M"&amp;($J1231+4)),"")</f>
        <v/>
      </c>
      <c r="C1231" s="296" t="str">
        <f aca="true">IF(ISNUMBER($J1231),INDIRECT("N"&amp;($J1231+4)),"")</f>
        <v/>
      </c>
      <c r="D1231" s="291" t="str">
        <f aca="true">IF(ISNUMBER($J1231),INDIRECT("O"&amp;($J1231+4)),"")</f>
        <v/>
      </c>
      <c r="E1231" s="291" t="str">
        <f aca="true">IF(ISNUMBER($J1231),INDIRECT("P"&amp;($J1231+4)),"")</f>
        <v/>
      </c>
      <c r="F1231" s="300" t="str">
        <f aca="true">IF(ISNUMBER($J1231),INDIRECT("Q"&amp;($J1231+4)),"")</f>
        <v/>
      </c>
      <c r="G1231" s="298" t="str">
        <f aca="true">IF(ISNUMBER($J1231),INDIRECT("R"&amp;($J1231+4)),"")</f>
        <v/>
      </c>
      <c r="H1231" s="298" t="str">
        <f aca="true">IF(ISNUMBER($J1231),INDIRECT("S"&amp;($J1231+4)),"")</f>
        <v/>
      </c>
      <c r="J1231" s="292" t="str">
        <f aca="true">IF(1227&lt;=$K$1,MATCH(1226.5,INDIRECT("$K$4:$K$1374"),1),"")</f>
        <v/>
      </c>
      <c r="K1231" s="292" t="n">
        <f aca="false">$K$1156+COUNTIF($Q$1157:Q1231,"&gt;0")</f>
        <v>0</v>
      </c>
      <c r="L1231" s="292" t="str">
        <f aca="false">"Стёкла серии Elephant"&amp;" · "&amp;'Стёкла серии Elephant'!$N$367</f>
        <v>Стёкла серии Elephant · Elephant</v>
      </c>
      <c r="M1231" s="292" t="str">
        <f aca="false">IF(ISBLANK('Стёкла серии Elephant'!$O$367),"",'Стёкла серии Elephant'!$O$367)</f>
        <v>Realme 7i/Realme c17</v>
      </c>
      <c r="N1231" s="292" t="str">
        <f aca="false">""</f>
        <v/>
      </c>
      <c r="O1231" s="292" t="str">
        <f aca="false">""</f>
        <v/>
      </c>
      <c r="P1231" s="292" t="str">
        <f aca="false">IF(ISBLANK('Стёкла серии Elephant'!$P$367),"",'Стёкла серии Elephant'!$P$367)</f>
        <v>шт.</v>
      </c>
      <c r="Q1231" s="292" t="n">
        <f aca="false">N('Стёкла серии Elephant'!$R$367)</f>
        <v>0</v>
      </c>
      <c r="R1231" s="299" t="n">
        <f aca="false">IF(ISBLANK('Стёкла серии Elephant'!$Q$367),"",'Стёкла серии Elephant'!$Q$367)</f>
        <v>122.32</v>
      </c>
      <c r="S1231" s="292" t="str">
        <f aca="false">IF(ISBLANK('Стёкла серии Elephant'!$S$367),"",'Стёкла серии Elephant'!$S$367)</f>
        <v/>
      </c>
    </row>
    <row r="1232" customFormat="false" ht="66" hidden="false" customHeight="true" outlineLevel="0" collapsed="false">
      <c r="A1232" s="291" t="str">
        <f aca="true">IF(ISNUMBER($J1232),INDIRECT("L"&amp;($J1232+4)),"")</f>
        <v/>
      </c>
      <c r="B1232" s="291" t="str">
        <f aca="true">IF(ISNUMBER($J1232),INDIRECT("M"&amp;($J1232+4)),"")</f>
        <v/>
      </c>
      <c r="C1232" s="296" t="str">
        <f aca="true">IF(ISNUMBER($J1232),INDIRECT("N"&amp;($J1232+4)),"")</f>
        <v/>
      </c>
      <c r="D1232" s="291" t="str">
        <f aca="true">IF(ISNUMBER($J1232),INDIRECT("O"&amp;($J1232+4)),"")</f>
        <v/>
      </c>
      <c r="E1232" s="291" t="str">
        <f aca="true">IF(ISNUMBER($J1232),INDIRECT("P"&amp;($J1232+4)),"")</f>
        <v/>
      </c>
      <c r="F1232" s="300" t="str">
        <f aca="true">IF(ISNUMBER($J1232),INDIRECT("Q"&amp;($J1232+4)),"")</f>
        <v/>
      </c>
      <c r="G1232" s="298" t="str">
        <f aca="true">IF(ISNUMBER($J1232),INDIRECT("R"&amp;($J1232+4)),"")</f>
        <v/>
      </c>
      <c r="H1232" s="298" t="str">
        <f aca="true">IF(ISNUMBER($J1232),INDIRECT("S"&amp;($J1232+4)),"")</f>
        <v/>
      </c>
      <c r="J1232" s="292" t="str">
        <f aca="true">IF(1228&lt;=$K$1,MATCH(1227.5,INDIRECT("$K$4:$K$1374"),1),"")</f>
        <v/>
      </c>
      <c r="K1232" s="292" t="n">
        <f aca="false">$K$1156+COUNTIF($Q$1157:Q1232,"&gt;0")</f>
        <v>0</v>
      </c>
      <c r="L1232" s="292" t="str">
        <f aca="false">"Стёкла серии Elephant"&amp;" · "&amp;'Стёкла серии Elephant'!$N$368</f>
        <v>Стёкла серии Elephant · Elephant</v>
      </c>
      <c r="M1232" s="292" t="str">
        <f aca="false">IF(ISBLANK('Стёкла серии Elephant'!$O$368),"",'Стёкла серии Elephant'!$O$368)</f>
        <v>U10</v>
      </c>
      <c r="N1232" s="292" t="str">
        <f aca="false">""</f>
        <v/>
      </c>
      <c r="O1232" s="292" t="str">
        <f aca="false">""</f>
        <v/>
      </c>
      <c r="P1232" s="292" t="str">
        <f aca="false">IF(ISBLANK('Стёкла серии Elephant'!$P$368),"",'Стёкла серии Elephant'!$P$368)</f>
        <v>шт.</v>
      </c>
      <c r="Q1232" s="292" t="n">
        <f aca="false">N('Стёкла серии Elephant'!$R$368)</f>
        <v>0</v>
      </c>
      <c r="R1232" s="299" t="n">
        <f aca="false">IF(ISBLANK('Стёкла серии Elephant'!$Q$368),"",'Стёкла серии Elephant'!$Q$368)</f>
        <v>122.32</v>
      </c>
      <c r="S1232" s="292" t="str">
        <f aca="false">IF(ISBLANK('Стёкла серии Elephant'!$S$368),"",'Стёкла серии Elephant'!$S$368)</f>
        <v/>
      </c>
    </row>
    <row r="1233" customFormat="false" ht="66" hidden="false" customHeight="true" outlineLevel="0" collapsed="false">
      <c r="A1233" s="291" t="str">
        <f aca="true">IF(ISNUMBER($J1233),INDIRECT("L"&amp;($J1233+4)),"")</f>
        <v/>
      </c>
      <c r="B1233" s="291" t="str">
        <f aca="true">IF(ISNUMBER($J1233),INDIRECT("M"&amp;($J1233+4)),"")</f>
        <v/>
      </c>
      <c r="C1233" s="296" t="str">
        <f aca="true">IF(ISNUMBER($J1233),INDIRECT("N"&amp;($J1233+4)),"")</f>
        <v/>
      </c>
      <c r="D1233" s="291" t="str">
        <f aca="true">IF(ISNUMBER($J1233),INDIRECT("O"&amp;($J1233+4)),"")</f>
        <v/>
      </c>
      <c r="E1233" s="291" t="str">
        <f aca="true">IF(ISNUMBER($J1233),INDIRECT("P"&amp;($J1233+4)),"")</f>
        <v/>
      </c>
      <c r="F1233" s="300" t="str">
        <f aca="true">IF(ISNUMBER($J1233),INDIRECT("Q"&amp;($J1233+4)),"")</f>
        <v/>
      </c>
      <c r="G1233" s="298" t="str">
        <f aca="true">IF(ISNUMBER($J1233),INDIRECT("R"&amp;($J1233+4)),"")</f>
        <v/>
      </c>
      <c r="H1233" s="298" t="str">
        <f aca="true">IF(ISNUMBER($J1233),INDIRECT("S"&amp;($J1233+4)),"")</f>
        <v/>
      </c>
      <c r="J1233" s="292" t="str">
        <f aca="true">IF(1229&lt;=$K$1,MATCH(1228.5,INDIRECT("$K$4:$K$1374"),1),"")</f>
        <v/>
      </c>
      <c r="K1233" s="292" t="n">
        <f aca="false">$K$1156+COUNTIF($Q$1157:Q1233,"&gt;0")</f>
        <v>0</v>
      </c>
      <c r="L1233" s="292" t="str">
        <f aca="false">"Стёкла серии Elephant"&amp;" · "&amp;'Стёкла серии Elephant'!$N$369</f>
        <v>Стёкла серии Elephant · Elephant</v>
      </c>
      <c r="M1233" s="292" t="str">
        <f aca="false">IF(ISBLANK('Стёкла серии Elephant'!$O$369),"",'Стёкла серии Elephant'!$O$369)</f>
        <v>Enjoy Z(5G)</v>
      </c>
      <c r="N1233" s="292" t="str">
        <f aca="false">""</f>
        <v/>
      </c>
      <c r="O1233" s="292" t="str">
        <f aca="false">""</f>
        <v/>
      </c>
      <c r="P1233" s="292" t="str">
        <f aca="false">IF(ISBLANK('Стёкла серии Elephant'!$P$369),"",'Стёкла серии Elephant'!$P$369)</f>
        <v>шт.</v>
      </c>
      <c r="Q1233" s="292" t="n">
        <f aca="false">N('Стёкла серии Elephant'!$R$369)</f>
        <v>0</v>
      </c>
      <c r="R1233" s="299" t="n">
        <f aca="false">IF(ISBLANK('Стёкла серии Elephant'!$Q$369),"",'Стёкла серии Elephant'!$Q$369)</f>
        <v>122.32</v>
      </c>
      <c r="S1233" s="292" t="str">
        <f aca="false">IF(ISBLANK('Стёкла серии Elephant'!$S$369),"",'Стёкла серии Elephant'!$S$369)</f>
        <v/>
      </c>
    </row>
    <row r="1234" customFormat="false" ht="66" hidden="false" customHeight="true" outlineLevel="0" collapsed="false">
      <c r="A1234" s="291" t="str">
        <f aca="true">IF(ISNUMBER($J1234),INDIRECT("L"&amp;($J1234+4)),"")</f>
        <v/>
      </c>
      <c r="B1234" s="291" t="str">
        <f aca="true">IF(ISNUMBER($J1234),INDIRECT("M"&amp;($J1234+4)),"")</f>
        <v/>
      </c>
      <c r="C1234" s="296" t="str">
        <f aca="true">IF(ISNUMBER($J1234),INDIRECT("N"&amp;($J1234+4)),"")</f>
        <v/>
      </c>
      <c r="D1234" s="291" t="str">
        <f aca="true">IF(ISNUMBER($J1234),INDIRECT("O"&amp;($J1234+4)),"")</f>
        <v/>
      </c>
      <c r="E1234" s="291" t="str">
        <f aca="true">IF(ISNUMBER($J1234),INDIRECT("P"&amp;($J1234+4)),"")</f>
        <v/>
      </c>
      <c r="F1234" s="300" t="str">
        <f aca="true">IF(ISNUMBER($J1234),INDIRECT("Q"&amp;($J1234+4)),"")</f>
        <v/>
      </c>
      <c r="G1234" s="298" t="str">
        <f aca="true">IF(ISNUMBER($J1234),INDIRECT("R"&amp;($J1234+4)),"")</f>
        <v/>
      </c>
      <c r="H1234" s="298" t="str">
        <f aca="true">IF(ISNUMBER($J1234),INDIRECT("S"&amp;($J1234+4)),"")</f>
        <v/>
      </c>
      <c r="J1234" s="292" t="str">
        <f aca="true">IF(1230&lt;=$K$1,MATCH(1229.5,INDIRECT("$K$4:$K$1374"),1),"")</f>
        <v/>
      </c>
      <c r="K1234" s="292" t="n">
        <f aca="false">$K$1156+COUNTIF($Q$1157:Q1234,"&gt;0")</f>
        <v>0</v>
      </c>
      <c r="L1234" s="292" t="str">
        <f aca="false">"Стёкла серии Elephant"&amp;" · "&amp;'Стёкла серии Elephant'!$N$370</f>
        <v>Стёкла серии Elephant · Elephant</v>
      </c>
      <c r="M1234" s="292" t="str">
        <f aca="false">IF(ISBLANK('Стёкла серии Elephant'!$O$370),"",'Стёкла серии Elephant'!$O$370)</f>
        <v>Mi 9 Pro(5G)</v>
      </c>
      <c r="N1234" s="292" t="str">
        <f aca="false">""</f>
        <v/>
      </c>
      <c r="O1234" s="292" t="str">
        <f aca="false">""</f>
        <v/>
      </c>
      <c r="P1234" s="292" t="str">
        <f aca="false">IF(ISBLANK('Стёкла серии Elephant'!$P$370),"",'Стёкла серии Elephant'!$P$370)</f>
        <v>шт.</v>
      </c>
      <c r="Q1234" s="292" t="n">
        <f aca="false">N('Стёкла серии Elephant'!$R$370)</f>
        <v>0</v>
      </c>
      <c r="R1234" s="299" t="n">
        <f aca="false">IF(ISBLANK('Стёкла серии Elephant'!$Q$370),"",'Стёкла серии Elephant'!$Q$370)</f>
        <v>122.32</v>
      </c>
      <c r="S1234" s="292" t="str">
        <f aca="false">IF(ISBLANK('Стёкла серии Elephant'!$S$370),"",'Стёкла серии Elephant'!$S$370)</f>
        <v/>
      </c>
    </row>
    <row r="1235" customFormat="false" ht="66" hidden="false" customHeight="true" outlineLevel="0" collapsed="false">
      <c r="A1235" s="291" t="str">
        <f aca="true">IF(ISNUMBER($J1235),INDIRECT("L"&amp;($J1235+4)),"")</f>
        <v/>
      </c>
      <c r="B1235" s="291" t="str">
        <f aca="true">IF(ISNUMBER($J1235),INDIRECT("M"&amp;($J1235+4)),"")</f>
        <v/>
      </c>
      <c r="C1235" s="296" t="str">
        <f aca="true">IF(ISNUMBER($J1235),INDIRECT("N"&amp;($J1235+4)),"")</f>
        <v/>
      </c>
      <c r="D1235" s="291" t="str">
        <f aca="true">IF(ISNUMBER($J1235),INDIRECT("O"&amp;($J1235+4)),"")</f>
        <v/>
      </c>
      <c r="E1235" s="291" t="str">
        <f aca="true">IF(ISNUMBER($J1235),INDIRECT("P"&amp;($J1235+4)),"")</f>
        <v/>
      </c>
      <c r="F1235" s="300" t="str">
        <f aca="true">IF(ISNUMBER($J1235),INDIRECT("Q"&amp;($J1235+4)),"")</f>
        <v/>
      </c>
      <c r="G1235" s="298" t="str">
        <f aca="true">IF(ISNUMBER($J1235),INDIRECT("R"&amp;($J1235+4)),"")</f>
        <v/>
      </c>
      <c r="H1235" s="298" t="str">
        <f aca="true">IF(ISNUMBER($J1235),INDIRECT("S"&amp;($J1235+4)),"")</f>
        <v/>
      </c>
      <c r="J1235" s="292" t="str">
        <f aca="true">IF(1231&lt;=$K$1,MATCH(1230.5,INDIRECT("$K$4:$K$1374"),1),"")</f>
        <v/>
      </c>
      <c r="K1235" s="292" t="n">
        <f aca="false">$K$1156+COUNTIF($Q$1157:Q1235,"&gt;0")</f>
        <v>0</v>
      </c>
      <c r="L1235" s="292" t="str">
        <f aca="false">"Стёкла серии Elephant"&amp;" · "&amp;'Стёкла серии Elephant'!$N$371</f>
        <v>Стёкла серии Elephant · Elephant</v>
      </c>
      <c r="M1235" s="292" t="str">
        <f aca="false">IF(ISBLANK('Стёкла серии Elephant'!$O$371),"",'Стёкла серии Elephant'!$O$371)</f>
        <v>A01CORE/M01 CORE</v>
      </c>
      <c r="N1235" s="292" t="str">
        <f aca="false">""</f>
        <v/>
      </c>
      <c r="O1235" s="292" t="str">
        <f aca="false">""</f>
        <v/>
      </c>
      <c r="P1235" s="292" t="str">
        <f aca="false">IF(ISBLANK('Стёкла серии Elephant'!$P$371),"",'Стёкла серии Elephant'!$P$371)</f>
        <v>шт.</v>
      </c>
      <c r="Q1235" s="292" t="n">
        <f aca="false">N('Стёкла серии Elephant'!$R$371)</f>
        <v>0</v>
      </c>
      <c r="R1235" s="299" t="n">
        <f aca="false">IF(ISBLANK('Стёкла серии Elephant'!$Q$371),"",'Стёкла серии Elephant'!$Q$371)</f>
        <v>122.32</v>
      </c>
      <c r="S1235" s="292" t="str">
        <f aca="false">IF(ISBLANK('Стёкла серии Elephant'!$S$371),"",'Стёкла серии Elephant'!$S$371)</f>
        <v/>
      </c>
    </row>
    <row r="1236" customFormat="false" ht="66" hidden="false" customHeight="true" outlineLevel="0" collapsed="false">
      <c r="A1236" s="291" t="str">
        <f aca="true">IF(ISNUMBER($J1236),INDIRECT("L"&amp;($J1236+4)),"")</f>
        <v/>
      </c>
      <c r="B1236" s="291" t="str">
        <f aca="true">IF(ISNUMBER($J1236),INDIRECT("M"&amp;($J1236+4)),"")</f>
        <v/>
      </c>
      <c r="C1236" s="296" t="str">
        <f aca="true">IF(ISNUMBER($J1236),INDIRECT("N"&amp;($J1236+4)),"")</f>
        <v/>
      </c>
      <c r="D1236" s="291" t="str">
        <f aca="true">IF(ISNUMBER($J1236),INDIRECT("O"&amp;($J1236+4)),"")</f>
        <v/>
      </c>
      <c r="E1236" s="291" t="str">
        <f aca="true">IF(ISNUMBER($J1236),INDIRECT("P"&amp;($J1236+4)),"")</f>
        <v/>
      </c>
      <c r="F1236" s="300" t="str">
        <f aca="true">IF(ISNUMBER($J1236),INDIRECT("Q"&amp;($J1236+4)),"")</f>
        <v/>
      </c>
      <c r="G1236" s="298" t="str">
        <f aca="true">IF(ISNUMBER($J1236),INDIRECT("R"&amp;($J1236+4)),"")</f>
        <v/>
      </c>
      <c r="H1236" s="298" t="str">
        <f aca="true">IF(ISNUMBER($J1236),INDIRECT("S"&amp;($J1236+4)),"")</f>
        <v/>
      </c>
      <c r="J1236" s="292" t="str">
        <f aca="true">IF(1232&lt;=$K$1,MATCH(1231.5,INDIRECT("$K$4:$K$1374"),1),"")</f>
        <v/>
      </c>
      <c r="K1236" s="292" t="n">
        <f aca="false">$K$1156+COUNTIF($Q$1157:Q1236,"&gt;0")</f>
        <v>0</v>
      </c>
      <c r="L1236" s="292" t="str">
        <f aca="false">"Стёкла серии Elephant"&amp;" · "&amp;'Стёкла серии Elephant'!$N$372</f>
        <v>Стёкла серии Elephant · Elephant</v>
      </c>
      <c r="M1236" s="292" t="str">
        <f aca="false">IF(ISBLANK('Стёкла серии Elephant'!$O$372),"",'Стёкла серии Elephant'!$O$372)</f>
        <v>Reno  2Z</v>
      </c>
      <c r="N1236" s="292" t="str">
        <f aca="false">""</f>
        <v/>
      </c>
      <c r="O1236" s="292" t="str">
        <f aca="false">""</f>
        <v/>
      </c>
      <c r="P1236" s="292" t="str">
        <f aca="false">IF(ISBLANK('Стёкла серии Elephant'!$P$372),"",'Стёкла серии Elephant'!$P$372)</f>
        <v>шт.</v>
      </c>
      <c r="Q1236" s="292" t="n">
        <f aca="false">N('Стёкла серии Elephant'!$R$372)</f>
        <v>0</v>
      </c>
      <c r="R1236" s="299" t="n">
        <f aca="false">IF(ISBLANK('Стёкла серии Elephant'!$Q$372),"",'Стёкла серии Elephant'!$Q$372)</f>
        <v>122.32</v>
      </c>
      <c r="S1236" s="292" t="str">
        <f aca="false">IF(ISBLANK('Стёкла серии Elephant'!$S$372),"",'Стёкла серии Elephant'!$S$372)</f>
        <v/>
      </c>
    </row>
    <row r="1237" customFormat="false" ht="66" hidden="false" customHeight="true" outlineLevel="0" collapsed="false">
      <c r="A1237" s="291" t="str">
        <f aca="true">IF(ISNUMBER($J1237),INDIRECT("L"&amp;($J1237+4)),"")</f>
        <v/>
      </c>
      <c r="B1237" s="291" t="str">
        <f aca="true">IF(ISNUMBER($J1237),INDIRECT("M"&amp;($J1237+4)),"")</f>
        <v/>
      </c>
      <c r="C1237" s="296" t="str">
        <f aca="true">IF(ISNUMBER($J1237),INDIRECT("N"&amp;($J1237+4)),"")</f>
        <v/>
      </c>
      <c r="D1237" s="291" t="str">
        <f aca="true">IF(ISNUMBER($J1237),INDIRECT("O"&amp;($J1237+4)),"")</f>
        <v/>
      </c>
      <c r="E1237" s="291" t="str">
        <f aca="true">IF(ISNUMBER($J1237),INDIRECT("P"&amp;($J1237+4)),"")</f>
        <v/>
      </c>
      <c r="F1237" s="300" t="str">
        <f aca="true">IF(ISNUMBER($J1237),INDIRECT("Q"&amp;($J1237+4)),"")</f>
        <v/>
      </c>
      <c r="G1237" s="298" t="str">
        <f aca="true">IF(ISNUMBER($J1237),INDIRECT("R"&amp;($J1237+4)),"")</f>
        <v/>
      </c>
      <c r="H1237" s="298" t="str">
        <f aca="true">IF(ISNUMBER($J1237),INDIRECT("S"&amp;($J1237+4)),"")</f>
        <v/>
      </c>
      <c r="J1237" s="292" t="str">
        <f aca="true">IF(1233&lt;=$K$1,MATCH(1232.5,INDIRECT("$K$4:$K$1374"),1),"")</f>
        <v/>
      </c>
      <c r="K1237" s="292" t="n">
        <f aca="false">$K$1156+COUNTIF($Q$1157:Q1237,"&gt;0")</f>
        <v>0</v>
      </c>
      <c r="L1237" s="292" t="str">
        <f aca="false">"Стёкла серии Elephant"&amp;" · "&amp;'Стёкла серии Elephant'!$N$373</f>
        <v>Стёкла серии Elephant · Elephant</v>
      </c>
      <c r="M1237" s="292" t="str">
        <f aca="false">IF(ISBLANK('Стёкла серии Elephant'!$O$373),"",'Стёкла серии Elephant'!$O$373)</f>
        <v>Realme Narzo 30 5G</v>
      </c>
      <c r="N1237" s="292" t="str">
        <f aca="false">""</f>
        <v/>
      </c>
      <c r="O1237" s="292" t="str">
        <f aca="false">""</f>
        <v/>
      </c>
      <c r="P1237" s="292" t="str">
        <f aca="false">IF(ISBLANK('Стёкла серии Elephant'!$P$373),"",'Стёкла серии Elephant'!$P$373)</f>
        <v>шт.</v>
      </c>
      <c r="Q1237" s="292" t="n">
        <f aca="false">N('Стёкла серии Elephant'!$R$373)</f>
        <v>0</v>
      </c>
      <c r="R1237" s="299" t="n">
        <f aca="false">IF(ISBLANK('Стёкла серии Elephant'!$Q$373),"",'Стёкла серии Elephant'!$Q$373)</f>
        <v>122.32</v>
      </c>
      <c r="S1237" s="292" t="str">
        <f aca="false">IF(ISBLANK('Стёкла серии Elephant'!$S$373),"",'Стёкла серии Elephant'!$S$373)</f>
        <v/>
      </c>
    </row>
    <row r="1238" customFormat="false" ht="66" hidden="false" customHeight="true" outlineLevel="0" collapsed="false">
      <c r="A1238" s="291" t="str">
        <f aca="true">IF(ISNUMBER($J1238),INDIRECT("L"&amp;($J1238+4)),"")</f>
        <v/>
      </c>
      <c r="B1238" s="291" t="str">
        <f aca="true">IF(ISNUMBER($J1238),INDIRECT("M"&amp;($J1238+4)),"")</f>
        <v/>
      </c>
      <c r="C1238" s="296" t="str">
        <f aca="true">IF(ISNUMBER($J1238),INDIRECT("N"&amp;($J1238+4)),"")</f>
        <v/>
      </c>
      <c r="D1238" s="291" t="str">
        <f aca="true">IF(ISNUMBER($J1238),INDIRECT("O"&amp;($J1238+4)),"")</f>
        <v/>
      </c>
      <c r="E1238" s="291" t="str">
        <f aca="true">IF(ISNUMBER($J1238),INDIRECT("P"&amp;($J1238+4)),"")</f>
        <v/>
      </c>
      <c r="F1238" s="300" t="str">
        <f aca="true">IF(ISNUMBER($J1238),INDIRECT("Q"&amp;($J1238+4)),"")</f>
        <v/>
      </c>
      <c r="G1238" s="298" t="str">
        <f aca="true">IF(ISNUMBER($J1238),INDIRECT("R"&amp;($J1238+4)),"")</f>
        <v/>
      </c>
      <c r="H1238" s="298" t="str">
        <f aca="true">IF(ISNUMBER($J1238),INDIRECT("S"&amp;($J1238+4)),"")</f>
        <v/>
      </c>
      <c r="J1238" s="292" t="str">
        <f aca="true">IF(1234&lt;=$K$1,MATCH(1233.5,INDIRECT("$K$4:$K$1374"),1),"")</f>
        <v/>
      </c>
      <c r="K1238" s="292" t="n">
        <f aca="false">$K$1156+COUNTIF($Q$1157:Q1238,"&gt;0")</f>
        <v>0</v>
      </c>
      <c r="L1238" s="292" t="str">
        <f aca="false">"Стёкла серии Elephant"&amp;" · "&amp;'Стёкла серии Elephant'!$N$374</f>
        <v>Стёкла серии Elephant · Elephant</v>
      </c>
      <c r="M1238" s="292" t="str">
        <f aca="false">IF(ISBLANK('Стёкла серии Elephant'!$O$374),"",'Стёкла серии Elephant'!$O$374)</f>
        <v>U1</v>
      </c>
      <c r="N1238" s="292" t="str">
        <f aca="false">""</f>
        <v/>
      </c>
      <c r="O1238" s="292" t="str">
        <f aca="false">""</f>
        <v/>
      </c>
      <c r="P1238" s="292" t="str">
        <f aca="false">IF(ISBLANK('Стёкла серии Elephant'!$P$374),"",'Стёкла серии Elephant'!$P$374)</f>
        <v>шт.</v>
      </c>
      <c r="Q1238" s="292" t="n">
        <f aca="false">N('Стёкла серии Elephant'!$R$374)</f>
        <v>0</v>
      </c>
      <c r="R1238" s="299" t="n">
        <f aca="false">IF(ISBLANK('Стёкла серии Elephant'!$Q$374),"",'Стёкла серии Elephant'!$Q$374)</f>
        <v>122.32</v>
      </c>
      <c r="S1238" s="292" t="str">
        <f aca="false">IF(ISBLANK('Стёкла серии Elephant'!$S$374),"",'Стёкла серии Elephant'!$S$374)</f>
        <v/>
      </c>
    </row>
    <row r="1239" customFormat="false" ht="66" hidden="false" customHeight="true" outlineLevel="0" collapsed="false">
      <c r="A1239" s="291" t="str">
        <f aca="true">IF(ISNUMBER($J1239),INDIRECT("L"&amp;($J1239+4)),"")</f>
        <v/>
      </c>
      <c r="B1239" s="291" t="str">
        <f aca="true">IF(ISNUMBER($J1239),INDIRECT("M"&amp;($J1239+4)),"")</f>
        <v/>
      </c>
      <c r="C1239" s="296" t="str">
        <f aca="true">IF(ISNUMBER($J1239),INDIRECT("N"&amp;($J1239+4)),"")</f>
        <v/>
      </c>
      <c r="D1239" s="291" t="str">
        <f aca="true">IF(ISNUMBER($J1239),INDIRECT("O"&amp;($J1239+4)),"")</f>
        <v/>
      </c>
      <c r="E1239" s="291" t="str">
        <f aca="true">IF(ISNUMBER($J1239),INDIRECT("P"&amp;($J1239+4)),"")</f>
        <v/>
      </c>
      <c r="F1239" s="300" t="str">
        <f aca="true">IF(ISNUMBER($J1239),INDIRECT("Q"&amp;($J1239+4)),"")</f>
        <v/>
      </c>
      <c r="G1239" s="298" t="str">
        <f aca="true">IF(ISNUMBER($J1239),INDIRECT("R"&amp;($J1239+4)),"")</f>
        <v/>
      </c>
      <c r="H1239" s="298" t="str">
        <f aca="true">IF(ISNUMBER($J1239),INDIRECT("S"&amp;($J1239+4)),"")</f>
        <v/>
      </c>
      <c r="J1239" s="292" t="str">
        <f aca="true">IF(1235&lt;=$K$1,MATCH(1234.5,INDIRECT("$K$4:$K$1374"),1),"")</f>
        <v/>
      </c>
      <c r="K1239" s="292" t="n">
        <f aca="false">$K$1156+COUNTIF($Q$1157:Q1239,"&gt;0")</f>
        <v>0</v>
      </c>
      <c r="L1239" s="292" t="str">
        <f aca="false">"Стёкла серии Elephant"&amp;" · "&amp;'Стёкла серии Elephant'!$N$375</f>
        <v>Стёкла серии Elephant · Elephant</v>
      </c>
      <c r="M1239" s="292" t="str">
        <f aca="false">IF(ISBLANK('Стёкла серии Elephant'!$O$375),"",'Стёкла серии Elephant'!$O$375)</f>
        <v>Enjoy20 plus</v>
      </c>
      <c r="N1239" s="292" t="str">
        <f aca="false">""</f>
        <v/>
      </c>
      <c r="O1239" s="292" t="str">
        <f aca="false">""</f>
        <v/>
      </c>
      <c r="P1239" s="292" t="str">
        <f aca="false">IF(ISBLANK('Стёкла серии Elephant'!$P$375),"",'Стёкла серии Elephant'!$P$375)</f>
        <v>шт.</v>
      </c>
      <c r="Q1239" s="292" t="n">
        <f aca="false">N('Стёкла серии Elephant'!$R$375)</f>
        <v>0</v>
      </c>
      <c r="R1239" s="299" t="n">
        <f aca="false">IF(ISBLANK('Стёкла серии Elephant'!$Q$375),"",'Стёкла серии Elephant'!$Q$375)</f>
        <v>122.32</v>
      </c>
      <c r="S1239" s="292" t="str">
        <f aca="false">IF(ISBLANK('Стёкла серии Elephant'!$S$375),"",'Стёкла серии Elephant'!$S$375)</f>
        <v/>
      </c>
    </row>
    <row r="1240" customFormat="false" ht="66" hidden="false" customHeight="true" outlineLevel="0" collapsed="false">
      <c r="A1240" s="291" t="str">
        <f aca="true">IF(ISNUMBER($J1240),INDIRECT("L"&amp;($J1240+4)),"")</f>
        <v/>
      </c>
      <c r="B1240" s="291" t="str">
        <f aca="true">IF(ISNUMBER($J1240),INDIRECT("M"&amp;($J1240+4)),"")</f>
        <v/>
      </c>
      <c r="C1240" s="296" t="str">
        <f aca="true">IF(ISNUMBER($J1240),INDIRECT("N"&amp;($J1240+4)),"")</f>
        <v/>
      </c>
      <c r="D1240" s="291" t="str">
        <f aca="true">IF(ISNUMBER($J1240),INDIRECT("O"&amp;($J1240+4)),"")</f>
        <v/>
      </c>
      <c r="E1240" s="291" t="str">
        <f aca="true">IF(ISNUMBER($J1240),INDIRECT("P"&amp;($J1240+4)),"")</f>
        <v/>
      </c>
      <c r="F1240" s="300" t="str">
        <f aca="true">IF(ISNUMBER($J1240),INDIRECT("Q"&amp;($J1240+4)),"")</f>
        <v/>
      </c>
      <c r="G1240" s="298" t="str">
        <f aca="true">IF(ISNUMBER($J1240),INDIRECT("R"&amp;($J1240+4)),"")</f>
        <v/>
      </c>
      <c r="H1240" s="298" t="str">
        <f aca="true">IF(ISNUMBER($J1240),INDIRECT("S"&amp;($J1240+4)),"")</f>
        <v/>
      </c>
      <c r="J1240" s="292" t="str">
        <f aca="true">IF(1236&lt;=$K$1,MATCH(1235.5,INDIRECT("$K$4:$K$1374"),1),"")</f>
        <v/>
      </c>
      <c r="K1240" s="292" t="n">
        <f aca="false">$K$1156+COUNTIF($Q$1157:Q1240,"&gt;0")</f>
        <v>0</v>
      </c>
      <c r="L1240" s="292" t="str">
        <f aca="false">"Стёкла серии Elephant"&amp;" · "&amp;'Стёкла серии Elephant'!$N$376</f>
        <v>Стёкла серии Elephant · Elephant</v>
      </c>
      <c r="M1240" s="292" t="str">
        <f aca="false">IF(ISBLANK('Стёкла серии Elephant'!$O$376),"",'Стёкла серии Elephant'!$O$376)</f>
        <v>Honor Play 5T Youth</v>
      </c>
      <c r="N1240" s="292" t="str">
        <f aca="false">""</f>
        <v/>
      </c>
      <c r="O1240" s="292" t="str">
        <f aca="false">""</f>
        <v/>
      </c>
      <c r="P1240" s="292" t="str">
        <f aca="false">IF(ISBLANK('Стёкла серии Elephant'!$P$376),"",'Стёкла серии Elephant'!$P$376)</f>
        <v>шт.</v>
      </c>
      <c r="Q1240" s="292" t="n">
        <f aca="false">N('Стёкла серии Elephant'!$R$376)</f>
        <v>0</v>
      </c>
      <c r="R1240" s="299" t="n">
        <f aca="false">IF(ISBLANK('Стёкла серии Elephant'!$Q$376),"",'Стёкла серии Elephant'!$Q$376)</f>
        <v>122.32</v>
      </c>
      <c r="S1240" s="292" t="str">
        <f aca="false">IF(ISBLANK('Стёкла серии Elephant'!$S$376),"",'Стёкла серии Elephant'!$S$376)</f>
        <v/>
      </c>
    </row>
    <row r="1241" customFormat="false" ht="66" hidden="false" customHeight="true" outlineLevel="0" collapsed="false">
      <c r="A1241" s="291" t="str">
        <f aca="true">IF(ISNUMBER($J1241),INDIRECT("L"&amp;($J1241+4)),"")</f>
        <v/>
      </c>
      <c r="B1241" s="291" t="str">
        <f aca="true">IF(ISNUMBER($J1241),INDIRECT("M"&amp;($J1241+4)),"")</f>
        <v/>
      </c>
      <c r="C1241" s="296" t="str">
        <f aca="true">IF(ISNUMBER($J1241),INDIRECT("N"&amp;($J1241+4)),"")</f>
        <v/>
      </c>
      <c r="D1241" s="291" t="str">
        <f aca="true">IF(ISNUMBER($J1241),INDIRECT("O"&amp;($J1241+4)),"")</f>
        <v/>
      </c>
      <c r="E1241" s="291" t="str">
        <f aca="true">IF(ISNUMBER($J1241),INDIRECT("P"&amp;($J1241+4)),"")</f>
        <v/>
      </c>
      <c r="F1241" s="300" t="str">
        <f aca="true">IF(ISNUMBER($J1241),INDIRECT("Q"&amp;($J1241+4)),"")</f>
        <v/>
      </c>
      <c r="G1241" s="298" t="str">
        <f aca="true">IF(ISNUMBER($J1241),INDIRECT("R"&amp;($J1241+4)),"")</f>
        <v/>
      </c>
      <c r="H1241" s="298" t="str">
        <f aca="true">IF(ISNUMBER($J1241),INDIRECT("S"&amp;($J1241+4)),"")</f>
        <v/>
      </c>
      <c r="J1241" s="292" t="str">
        <f aca="true">IF(1237&lt;=$K$1,MATCH(1236.5,INDIRECT("$K$4:$K$1374"),1),"")</f>
        <v/>
      </c>
      <c r="K1241" s="292" t="n">
        <f aca="false">$K$1156+COUNTIF($Q$1157:Q1241,"&gt;0")</f>
        <v>0</v>
      </c>
      <c r="L1241" s="292" t="str">
        <f aca="false">"Стёкла серии Elephant"&amp;" · "&amp;'Стёкла серии Elephant'!$N$377</f>
        <v>Стёкла серии Elephant · Elephant</v>
      </c>
      <c r="M1241" s="292" t="str">
        <f aca="false">IF(ISBLANK('Стёкла серии Elephant'!$O$377),"",'Стёкла серии Elephant'!$O$377)</f>
        <v>Mi 9T Pro</v>
      </c>
      <c r="N1241" s="292" t="str">
        <f aca="false">""</f>
        <v/>
      </c>
      <c r="O1241" s="292" t="str">
        <f aca="false">""</f>
        <v/>
      </c>
      <c r="P1241" s="292" t="str">
        <f aca="false">IF(ISBLANK('Стёкла серии Elephant'!$P$377),"",'Стёкла серии Elephant'!$P$377)</f>
        <v>шт.</v>
      </c>
      <c r="Q1241" s="292" t="n">
        <f aca="false">N('Стёкла серии Elephant'!$R$377)</f>
        <v>0</v>
      </c>
      <c r="R1241" s="299" t="n">
        <f aca="false">IF(ISBLANK('Стёкла серии Elephant'!$Q$377),"",'Стёкла серии Elephant'!$Q$377)</f>
        <v>122.32</v>
      </c>
      <c r="S1241" s="292" t="str">
        <f aca="false">IF(ISBLANK('Стёкла серии Elephant'!$S$377),"",'Стёкла серии Elephant'!$S$377)</f>
        <v/>
      </c>
    </row>
    <row r="1242" customFormat="false" ht="66" hidden="false" customHeight="true" outlineLevel="0" collapsed="false">
      <c r="A1242" s="291" t="str">
        <f aca="true">IF(ISNUMBER($J1242),INDIRECT("L"&amp;($J1242+4)),"")</f>
        <v/>
      </c>
      <c r="B1242" s="291" t="str">
        <f aca="true">IF(ISNUMBER($J1242),INDIRECT("M"&amp;($J1242+4)),"")</f>
        <v/>
      </c>
      <c r="C1242" s="296" t="str">
        <f aca="true">IF(ISNUMBER($J1242),INDIRECT("N"&amp;($J1242+4)),"")</f>
        <v/>
      </c>
      <c r="D1242" s="291" t="str">
        <f aca="true">IF(ISNUMBER($J1242),INDIRECT("O"&amp;($J1242+4)),"")</f>
        <v/>
      </c>
      <c r="E1242" s="291" t="str">
        <f aca="true">IF(ISNUMBER($J1242),INDIRECT("P"&amp;($J1242+4)),"")</f>
        <v/>
      </c>
      <c r="F1242" s="300" t="str">
        <f aca="true">IF(ISNUMBER($J1242),INDIRECT("Q"&amp;($J1242+4)),"")</f>
        <v/>
      </c>
      <c r="G1242" s="298" t="str">
        <f aca="true">IF(ISNUMBER($J1242),INDIRECT("R"&amp;($J1242+4)),"")</f>
        <v/>
      </c>
      <c r="H1242" s="298" t="str">
        <f aca="true">IF(ISNUMBER($J1242),INDIRECT("S"&amp;($J1242+4)),"")</f>
        <v/>
      </c>
      <c r="J1242" s="292" t="str">
        <f aca="true">IF(1238&lt;=$K$1,MATCH(1237.5,INDIRECT("$K$4:$K$1374"),1),"")</f>
        <v/>
      </c>
      <c r="K1242" s="292" t="n">
        <f aca="false">$K$1156+COUNTIF($Q$1157:Q1242,"&gt;0")</f>
        <v>0</v>
      </c>
      <c r="L1242" s="292" t="str">
        <f aca="false">"Стёкла серии Elephant"&amp;" · "&amp;'Стёкла серии Elephant'!$N$378</f>
        <v>Стёкла серии Elephant · Elephant</v>
      </c>
      <c r="M1242" s="292" t="str">
        <f aca="false">IF(ISBLANK('Стёкла серии Elephant'!$O$378),"",'Стёкла серии Elephant'!$O$378)</f>
        <v>A01/M01</v>
      </c>
      <c r="N1242" s="292" t="str">
        <f aca="false">""</f>
        <v/>
      </c>
      <c r="O1242" s="292" t="str">
        <f aca="false">""</f>
        <v/>
      </c>
      <c r="P1242" s="292" t="str">
        <f aca="false">IF(ISBLANK('Стёкла серии Elephant'!$P$378),"",'Стёкла серии Elephant'!$P$378)</f>
        <v>шт.</v>
      </c>
      <c r="Q1242" s="292" t="n">
        <f aca="false">N('Стёкла серии Elephant'!$R$378)</f>
        <v>0</v>
      </c>
      <c r="R1242" s="299" t="n">
        <f aca="false">IF(ISBLANK('Стёкла серии Elephant'!$Q$378),"",'Стёкла серии Elephant'!$Q$378)</f>
        <v>122.32</v>
      </c>
      <c r="S1242" s="292" t="str">
        <f aca="false">IF(ISBLANK('Стёкла серии Elephant'!$S$378),"",'Стёкла серии Elephant'!$S$378)</f>
        <v/>
      </c>
    </row>
    <row r="1243" customFormat="false" ht="66" hidden="false" customHeight="true" outlineLevel="0" collapsed="false">
      <c r="A1243" s="291" t="str">
        <f aca="true">IF(ISNUMBER($J1243),INDIRECT("L"&amp;($J1243+4)),"")</f>
        <v/>
      </c>
      <c r="B1243" s="291" t="str">
        <f aca="true">IF(ISNUMBER($J1243),INDIRECT("M"&amp;($J1243+4)),"")</f>
        <v/>
      </c>
      <c r="C1243" s="296" t="str">
        <f aca="true">IF(ISNUMBER($J1243),INDIRECT("N"&amp;($J1243+4)),"")</f>
        <v/>
      </c>
      <c r="D1243" s="291" t="str">
        <f aca="true">IF(ISNUMBER($J1243),INDIRECT("O"&amp;($J1243+4)),"")</f>
        <v/>
      </c>
      <c r="E1243" s="291" t="str">
        <f aca="true">IF(ISNUMBER($J1243),INDIRECT("P"&amp;($J1243+4)),"")</f>
        <v/>
      </c>
      <c r="F1243" s="300" t="str">
        <f aca="true">IF(ISNUMBER($J1243),INDIRECT("Q"&amp;($J1243+4)),"")</f>
        <v/>
      </c>
      <c r="G1243" s="298" t="str">
        <f aca="true">IF(ISNUMBER($J1243),INDIRECT("R"&amp;($J1243+4)),"")</f>
        <v/>
      </c>
      <c r="H1243" s="298" t="str">
        <f aca="true">IF(ISNUMBER($J1243),INDIRECT("S"&amp;($J1243+4)),"")</f>
        <v/>
      </c>
      <c r="J1243" s="292" t="str">
        <f aca="true">IF(1239&lt;=$K$1,MATCH(1238.5,INDIRECT("$K$4:$K$1374"),1),"")</f>
        <v/>
      </c>
      <c r="K1243" s="292" t="n">
        <f aca="false">$K$1156+COUNTIF($Q$1157:Q1243,"&gt;0")</f>
        <v>0</v>
      </c>
      <c r="L1243" s="292" t="str">
        <f aca="false">"Стёкла серии Elephant"&amp;" · "&amp;'Стёкла серии Elephant'!$N$379</f>
        <v>Стёкла серии Elephant · Elephant</v>
      </c>
      <c r="M1243" s="292" t="str">
        <f aca="false">IF(ISBLANK('Стёкла серии Elephant'!$O$379),"",'Стёкла серии Elephant'!$O$379)</f>
        <v>Reno 2F</v>
      </c>
      <c r="N1243" s="292" t="str">
        <f aca="false">""</f>
        <v/>
      </c>
      <c r="O1243" s="292" t="str">
        <f aca="false">""</f>
        <v/>
      </c>
      <c r="P1243" s="292" t="str">
        <f aca="false">IF(ISBLANK('Стёкла серии Elephant'!$P$379),"",'Стёкла серии Elephant'!$P$379)</f>
        <v>шт.</v>
      </c>
      <c r="Q1243" s="292" t="n">
        <f aca="false">N('Стёкла серии Elephant'!$R$379)</f>
        <v>0</v>
      </c>
      <c r="R1243" s="299" t="n">
        <f aca="false">IF(ISBLANK('Стёкла серии Elephant'!$Q$379),"",'Стёкла серии Elephant'!$Q$379)</f>
        <v>122.32</v>
      </c>
      <c r="S1243" s="292" t="str">
        <f aca="false">IF(ISBLANK('Стёкла серии Elephant'!$S$379),"",'Стёкла серии Elephant'!$S$379)</f>
        <v/>
      </c>
    </row>
    <row r="1244" customFormat="false" ht="66" hidden="false" customHeight="true" outlineLevel="0" collapsed="false">
      <c r="A1244" s="291" t="str">
        <f aca="true">IF(ISNUMBER($J1244),INDIRECT("L"&amp;($J1244+4)),"")</f>
        <v/>
      </c>
      <c r="B1244" s="291" t="str">
        <f aca="true">IF(ISNUMBER($J1244),INDIRECT("M"&amp;($J1244+4)),"")</f>
        <v/>
      </c>
      <c r="C1244" s="296" t="str">
        <f aca="true">IF(ISNUMBER($J1244),INDIRECT("N"&amp;($J1244+4)),"")</f>
        <v/>
      </c>
      <c r="D1244" s="291" t="str">
        <f aca="true">IF(ISNUMBER($J1244),INDIRECT("O"&amp;($J1244+4)),"")</f>
        <v/>
      </c>
      <c r="E1244" s="291" t="str">
        <f aca="true">IF(ISNUMBER($J1244),INDIRECT("P"&amp;($J1244+4)),"")</f>
        <v/>
      </c>
      <c r="F1244" s="300" t="str">
        <f aca="true">IF(ISNUMBER($J1244),INDIRECT("Q"&amp;($J1244+4)),"")</f>
        <v/>
      </c>
      <c r="G1244" s="298" t="str">
        <f aca="true">IF(ISNUMBER($J1244),INDIRECT("R"&amp;($J1244+4)),"")</f>
        <v/>
      </c>
      <c r="H1244" s="298" t="str">
        <f aca="true">IF(ISNUMBER($J1244),INDIRECT("S"&amp;($J1244+4)),"")</f>
        <v/>
      </c>
      <c r="J1244" s="292" t="str">
        <f aca="true">IF(1240&lt;=$K$1,MATCH(1239.5,INDIRECT("$K$4:$K$1374"),1),"")</f>
        <v/>
      </c>
      <c r="K1244" s="292" t="n">
        <f aca="false">$K$1156+COUNTIF($Q$1157:Q1244,"&gt;0")</f>
        <v>0</v>
      </c>
      <c r="L1244" s="292" t="str">
        <f aca="false">"Стёкла серии Elephant"&amp;" · "&amp;'Стёкла серии Elephant'!$N$380</f>
        <v>Стёкла серии Elephant · Elephant</v>
      </c>
      <c r="M1244" s="292" t="str">
        <f aca="false">IF(ISBLANK('Стёкла серии Elephant'!$O$380),"",'Стёкла серии Elephant'!$O$380)</f>
        <v>Realme Narzo 30 Pro</v>
      </c>
      <c r="N1244" s="292" t="str">
        <f aca="false">""</f>
        <v/>
      </c>
      <c r="O1244" s="292" t="str">
        <f aca="false">""</f>
        <v/>
      </c>
      <c r="P1244" s="292" t="str">
        <f aca="false">IF(ISBLANK('Стёкла серии Elephant'!$P$380),"",'Стёкла серии Elephant'!$P$380)</f>
        <v>шт.</v>
      </c>
      <c r="Q1244" s="292" t="n">
        <f aca="false">N('Стёкла серии Elephant'!$R$380)</f>
        <v>0</v>
      </c>
      <c r="R1244" s="299" t="n">
        <f aca="false">IF(ISBLANK('Стёкла серии Elephant'!$Q$380),"",'Стёкла серии Elephant'!$Q$380)</f>
        <v>122.32</v>
      </c>
      <c r="S1244" s="292" t="str">
        <f aca="false">IF(ISBLANK('Стёкла серии Elephant'!$S$380),"",'Стёкла серии Elephant'!$S$380)</f>
        <v/>
      </c>
    </row>
    <row r="1245" customFormat="false" ht="66" hidden="false" customHeight="true" outlineLevel="0" collapsed="false">
      <c r="A1245" s="291" t="str">
        <f aca="true">IF(ISNUMBER($J1245),INDIRECT("L"&amp;($J1245+4)),"")</f>
        <v/>
      </c>
      <c r="B1245" s="291" t="str">
        <f aca="true">IF(ISNUMBER($J1245),INDIRECT("M"&amp;($J1245+4)),"")</f>
        <v/>
      </c>
      <c r="C1245" s="296" t="str">
        <f aca="true">IF(ISNUMBER($J1245),INDIRECT("N"&amp;($J1245+4)),"")</f>
        <v/>
      </c>
      <c r="D1245" s="291" t="str">
        <f aca="true">IF(ISNUMBER($J1245),INDIRECT("O"&amp;($J1245+4)),"")</f>
        <v/>
      </c>
      <c r="E1245" s="291" t="str">
        <f aca="true">IF(ISNUMBER($J1245),INDIRECT("P"&amp;($J1245+4)),"")</f>
        <v/>
      </c>
      <c r="F1245" s="300" t="str">
        <f aca="true">IF(ISNUMBER($J1245),INDIRECT("Q"&amp;($J1245+4)),"")</f>
        <v/>
      </c>
      <c r="G1245" s="298" t="str">
        <f aca="true">IF(ISNUMBER($J1245),INDIRECT("R"&amp;($J1245+4)),"")</f>
        <v/>
      </c>
      <c r="H1245" s="298" t="str">
        <f aca="true">IF(ISNUMBER($J1245),INDIRECT("S"&amp;($J1245+4)),"")</f>
        <v/>
      </c>
      <c r="J1245" s="292" t="str">
        <f aca="true">IF(1241&lt;=$K$1,MATCH(1240.5,INDIRECT("$K$4:$K$1374"),1),"")</f>
        <v/>
      </c>
      <c r="K1245" s="292" t="n">
        <f aca="false">$K$1156+COUNTIF($Q$1157:Q1245,"&gt;0")</f>
        <v>0</v>
      </c>
      <c r="L1245" s="292" t="str">
        <f aca="false">"Стёкла серии Elephant"&amp;" · "&amp;'Стёкла серии Elephant'!$N$381</f>
        <v>Стёкла серии Elephant · Elephant</v>
      </c>
      <c r="M1245" s="292" t="str">
        <f aca="false">IF(ISBLANK('Стёкла серии Elephant'!$O$381),"",'Стёкла серии Elephant'!$O$381)</f>
        <v>X50</v>
      </c>
      <c r="N1245" s="292" t="str">
        <f aca="false">""</f>
        <v/>
      </c>
      <c r="O1245" s="292" t="str">
        <f aca="false">""</f>
        <v/>
      </c>
      <c r="P1245" s="292" t="str">
        <f aca="false">IF(ISBLANK('Стёкла серии Elephant'!$P$381),"",'Стёкла серии Elephant'!$P$381)</f>
        <v>шт.</v>
      </c>
      <c r="Q1245" s="292" t="n">
        <f aca="false">N('Стёкла серии Elephant'!$R$381)</f>
        <v>0</v>
      </c>
      <c r="R1245" s="299" t="n">
        <f aca="false">IF(ISBLANK('Стёкла серии Elephant'!$Q$381),"",'Стёкла серии Elephant'!$Q$381)</f>
        <v>122.32</v>
      </c>
      <c r="S1245" s="292" t="str">
        <f aca="false">IF(ISBLANK('Стёкла серии Elephant'!$S$381),"",'Стёкла серии Elephant'!$S$381)</f>
        <v/>
      </c>
    </row>
    <row r="1246" customFormat="false" ht="66" hidden="false" customHeight="true" outlineLevel="0" collapsed="false">
      <c r="A1246" s="291" t="str">
        <f aca="true">IF(ISNUMBER($J1246),INDIRECT("L"&amp;($J1246+4)),"")</f>
        <v/>
      </c>
      <c r="B1246" s="291" t="str">
        <f aca="true">IF(ISNUMBER($J1246),INDIRECT("M"&amp;($J1246+4)),"")</f>
        <v/>
      </c>
      <c r="C1246" s="296" t="str">
        <f aca="true">IF(ISNUMBER($J1246),INDIRECT("N"&amp;($J1246+4)),"")</f>
        <v/>
      </c>
      <c r="D1246" s="291" t="str">
        <f aca="true">IF(ISNUMBER($J1246),INDIRECT("O"&amp;($J1246+4)),"")</f>
        <v/>
      </c>
      <c r="E1246" s="291" t="str">
        <f aca="true">IF(ISNUMBER($J1246),INDIRECT("P"&amp;($J1246+4)),"")</f>
        <v/>
      </c>
      <c r="F1246" s="300" t="str">
        <f aca="true">IF(ISNUMBER($J1246),INDIRECT("Q"&amp;($J1246+4)),"")</f>
        <v/>
      </c>
      <c r="G1246" s="298" t="str">
        <f aca="true">IF(ISNUMBER($J1246),INDIRECT("R"&amp;($J1246+4)),"")</f>
        <v/>
      </c>
      <c r="H1246" s="298" t="str">
        <f aca="true">IF(ISNUMBER($J1246),INDIRECT("S"&amp;($J1246+4)),"")</f>
        <v/>
      </c>
      <c r="J1246" s="292" t="str">
        <f aca="true">IF(1242&lt;=$K$1,MATCH(1241.5,INDIRECT("$K$4:$K$1374"),1),"")</f>
        <v/>
      </c>
      <c r="K1246" s="292" t="n">
        <f aca="false">$K$1156+COUNTIF($Q$1157:Q1246,"&gt;0")</f>
        <v>0</v>
      </c>
      <c r="L1246" s="292" t="str">
        <f aca="false">"Стёкла серии Elephant"&amp;" · "&amp;'Стёкла серии Elephant'!$N$382</f>
        <v>Стёкла серии Elephant · Elephant</v>
      </c>
      <c r="M1246" s="292" t="str">
        <f aca="false">IF(ISBLANK('Стёкла серии Elephant'!$O$382),"",'Стёкла серии Elephant'!$O$382)</f>
        <v>Enjoy 20 pro</v>
      </c>
      <c r="N1246" s="292" t="str">
        <f aca="false">""</f>
        <v/>
      </c>
      <c r="O1246" s="292" t="str">
        <f aca="false">""</f>
        <v/>
      </c>
      <c r="P1246" s="292" t="str">
        <f aca="false">IF(ISBLANK('Стёкла серии Elephant'!$P$382),"",'Стёкла серии Elephant'!$P$382)</f>
        <v>шт.</v>
      </c>
      <c r="Q1246" s="292" t="n">
        <f aca="false">N('Стёкла серии Elephant'!$R$382)</f>
        <v>0</v>
      </c>
      <c r="R1246" s="299" t="n">
        <f aca="false">IF(ISBLANK('Стёкла серии Elephant'!$Q$382),"",'Стёкла серии Elephant'!$Q$382)</f>
        <v>122.32</v>
      </c>
      <c r="S1246" s="292" t="str">
        <f aca="false">IF(ISBLANK('Стёкла серии Elephant'!$S$382),"",'Стёкла серии Elephant'!$S$382)</f>
        <v/>
      </c>
    </row>
    <row r="1247" customFormat="false" ht="66" hidden="false" customHeight="true" outlineLevel="0" collapsed="false">
      <c r="A1247" s="291" t="str">
        <f aca="true">IF(ISNUMBER($J1247),INDIRECT("L"&amp;($J1247+4)),"")</f>
        <v/>
      </c>
      <c r="B1247" s="291" t="str">
        <f aca="true">IF(ISNUMBER($J1247),INDIRECT("M"&amp;($J1247+4)),"")</f>
        <v/>
      </c>
      <c r="C1247" s="296" t="str">
        <f aca="true">IF(ISNUMBER($J1247),INDIRECT("N"&amp;($J1247+4)),"")</f>
        <v/>
      </c>
      <c r="D1247" s="291" t="str">
        <f aca="true">IF(ISNUMBER($J1247),INDIRECT("O"&amp;($J1247+4)),"")</f>
        <v/>
      </c>
      <c r="E1247" s="291" t="str">
        <f aca="true">IF(ISNUMBER($J1247),INDIRECT("P"&amp;($J1247+4)),"")</f>
        <v/>
      </c>
      <c r="F1247" s="300" t="str">
        <f aca="true">IF(ISNUMBER($J1247),INDIRECT("Q"&amp;($J1247+4)),"")</f>
        <v/>
      </c>
      <c r="G1247" s="298" t="str">
        <f aca="true">IF(ISNUMBER($J1247),INDIRECT("R"&amp;($J1247+4)),"")</f>
        <v/>
      </c>
      <c r="H1247" s="298" t="str">
        <f aca="true">IF(ISNUMBER($J1247),INDIRECT("S"&amp;($J1247+4)),"")</f>
        <v/>
      </c>
      <c r="J1247" s="292" t="str">
        <f aca="true">IF(1243&lt;=$K$1,MATCH(1242.5,INDIRECT("$K$4:$K$1374"),1),"")</f>
        <v/>
      </c>
      <c r="K1247" s="292" t="n">
        <f aca="false">$K$1156+COUNTIF($Q$1157:Q1247,"&gt;0")</f>
        <v>0</v>
      </c>
      <c r="L1247" s="292" t="str">
        <f aca="false">"Стёкла серии Elephant"&amp;" · "&amp;'Стёкла серии Elephant'!$N$383</f>
        <v>Стёкла серии Elephant · Elephant</v>
      </c>
      <c r="M1247" s="292" t="str">
        <f aca="false">IF(ISBLANK('Стёкла серии Elephant'!$O$383),"",'Стёкла серии Elephant'!$O$383)</f>
        <v>Mi 9T</v>
      </c>
      <c r="N1247" s="292" t="str">
        <f aca="false">""</f>
        <v/>
      </c>
      <c r="O1247" s="292" t="str">
        <f aca="false">""</f>
        <v/>
      </c>
      <c r="P1247" s="292" t="str">
        <f aca="false">IF(ISBLANK('Стёкла серии Elephant'!$P$383),"",'Стёкла серии Elephant'!$P$383)</f>
        <v>шт.</v>
      </c>
      <c r="Q1247" s="292" t="n">
        <f aca="false">N('Стёкла серии Elephant'!$R$383)</f>
        <v>0</v>
      </c>
      <c r="R1247" s="299" t="n">
        <f aca="false">IF(ISBLANK('Стёкла серии Elephant'!$Q$383),"",'Стёкла серии Elephant'!$Q$383)</f>
        <v>122.32</v>
      </c>
      <c r="S1247" s="292" t="str">
        <f aca="false">IF(ISBLANK('Стёкла серии Elephant'!$S$383),"",'Стёкла серии Elephant'!$S$383)</f>
        <v/>
      </c>
    </row>
    <row r="1248" customFormat="false" ht="66" hidden="false" customHeight="true" outlineLevel="0" collapsed="false">
      <c r="A1248" s="291" t="str">
        <f aca="true">IF(ISNUMBER($J1248),INDIRECT("L"&amp;($J1248+4)),"")</f>
        <v/>
      </c>
      <c r="B1248" s="291" t="str">
        <f aca="true">IF(ISNUMBER($J1248),INDIRECT("M"&amp;($J1248+4)),"")</f>
        <v/>
      </c>
      <c r="C1248" s="296" t="str">
        <f aca="true">IF(ISNUMBER($J1248),INDIRECT("N"&amp;($J1248+4)),"")</f>
        <v/>
      </c>
      <c r="D1248" s="291" t="str">
        <f aca="true">IF(ISNUMBER($J1248),INDIRECT("O"&amp;($J1248+4)),"")</f>
        <v/>
      </c>
      <c r="E1248" s="291" t="str">
        <f aca="true">IF(ISNUMBER($J1248),INDIRECT("P"&amp;($J1248+4)),"")</f>
        <v/>
      </c>
      <c r="F1248" s="300" t="str">
        <f aca="true">IF(ISNUMBER($J1248),INDIRECT("Q"&amp;($J1248+4)),"")</f>
        <v/>
      </c>
      <c r="G1248" s="298" t="str">
        <f aca="true">IF(ISNUMBER($J1248),INDIRECT("R"&amp;($J1248+4)),"")</f>
        <v/>
      </c>
      <c r="H1248" s="298" t="str">
        <f aca="true">IF(ISNUMBER($J1248),INDIRECT("S"&amp;($J1248+4)),"")</f>
        <v/>
      </c>
      <c r="J1248" s="292" t="str">
        <f aca="true">IF(1244&lt;=$K$1,MATCH(1243.5,INDIRECT("$K$4:$K$1374"),1),"")</f>
        <v/>
      </c>
      <c r="K1248" s="292" t="n">
        <f aca="false">$K$1156+COUNTIF($Q$1157:Q1248,"&gt;0")</f>
        <v>0</v>
      </c>
      <c r="L1248" s="292" t="str">
        <f aca="false">"Стёкла серии Elephant"&amp;" · "&amp;'Стёкла серии Elephant'!$N$384</f>
        <v>Стёкла серии Elephant · Elephant</v>
      </c>
      <c r="M1248" s="292" t="str">
        <f aca="false">IF(ISBLANK('Стёкла серии Elephant'!$O$384),"",'Стёкла серии Elephant'!$O$384)</f>
        <v>M01S</v>
      </c>
      <c r="N1248" s="292" t="str">
        <f aca="false">""</f>
        <v/>
      </c>
      <c r="O1248" s="292" t="str">
        <f aca="false">""</f>
        <v/>
      </c>
      <c r="P1248" s="292" t="str">
        <f aca="false">IF(ISBLANK('Стёкла серии Elephant'!$P$384),"",'Стёкла серии Elephant'!$P$384)</f>
        <v>шт.</v>
      </c>
      <c r="Q1248" s="292" t="n">
        <f aca="false">N('Стёкла серии Elephant'!$R$384)</f>
        <v>0</v>
      </c>
      <c r="R1248" s="299" t="n">
        <f aca="false">IF(ISBLANK('Стёкла серии Elephant'!$Q$384),"",'Стёкла серии Elephant'!$Q$384)</f>
        <v>122.32</v>
      </c>
      <c r="S1248" s="292" t="str">
        <f aca="false">IF(ISBLANK('Стёкла серии Elephant'!$S$384),"",'Стёкла серии Elephant'!$S$384)</f>
        <v/>
      </c>
    </row>
    <row r="1249" customFormat="false" ht="66" hidden="false" customHeight="true" outlineLevel="0" collapsed="false">
      <c r="A1249" s="291" t="str">
        <f aca="true">IF(ISNUMBER($J1249),INDIRECT("L"&amp;($J1249+4)),"")</f>
        <v/>
      </c>
      <c r="B1249" s="291" t="str">
        <f aca="true">IF(ISNUMBER($J1249),INDIRECT("M"&amp;($J1249+4)),"")</f>
        <v/>
      </c>
      <c r="C1249" s="296" t="str">
        <f aca="true">IF(ISNUMBER($J1249),INDIRECT("N"&amp;($J1249+4)),"")</f>
        <v/>
      </c>
      <c r="D1249" s="291" t="str">
        <f aca="true">IF(ISNUMBER($J1249),INDIRECT("O"&amp;($J1249+4)),"")</f>
        <v/>
      </c>
      <c r="E1249" s="291" t="str">
        <f aca="true">IF(ISNUMBER($J1249),INDIRECT("P"&amp;($J1249+4)),"")</f>
        <v/>
      </c>
      <c r="F1249" s="300" t="str">
        <f aca="true">IF(ISNUMBER($J1249),INDIRECT("Q"&amp;($J1249+4)),"")</f>
        <v/>
      </c>
      <c r="G1249" s="298" t="str">
        <f aca="true">IF(ISNUMBER($J1249),INDIRECT("R"&amp;($J1249+4)),"")</f>
        <v/>
      </c>
      <c r="H1249" s="298" t="str">
        <f aca="true">IF(ISNUMBER($J1249),INDIRECT("S"&amp;($J1249+4)),"")</f>
        <v/>
      </c>
      <c r="J1249" s="292" t="str">
        <f aca="true">IF(1245&lt;=$K$1,MATCH(1244.5,INDIRECT("$K$4:$K$1374"),1),"")</f>
        <v/>
      </c>
      <c r="K1249" s="292" t="n">
        <f aca="false">$K$1156+COUNTIF($Q$1157:Q1249,"&gt;0")</f>
        <v>0</v>
      </c>
      <c r="L1249" s="292" t="str">
        <f aca="false">"Стёкла серии Elephant"&amp;" · "&amp;'Стёкла серии Elephant'!$N$385</f>
        <v>Стёкла серии Elephant · Elephant</v>
      </c>
      <c r="M1249" s="292" t="str">
        <f aca="false">IF(ISBLANK('Стёкла серии Elephant'!$O$385),"",'Стёкла серии Elephant'!$O$385)</f>
        <v>Reno Z</v>
      </c>
      <c r="N1249" s="292" t="str">
        <f aca="false">""</f>
        <v/>
      </c>
      <c r="O1249" s="292" t="str">
        <f aca="false">""</f>
        <v/>
      </c>
      <c r="P1249" s="292" t="str">
        <f aca="false">IF(ISBLANK('Стёкла серии Elephant'!$P$385),"",'Стёкла серии Elephant'!$P$385)</f>
        <v>шт.</v>
      </c>
      <c r="Q1249" s="292" t="n">
        <f aca="false">N('Стёкла серии Elephant'!$R$385)</f>
        <v>0</v>
      </c>
      <c r="R1249" s="299" t="n">
        <f aca="false">IF(ISBLANK('Стёкла серии Elephant'!$Q$385),"",'Стёкла серии Elephant'!$Q$385)</f>
        <v>122.32</v>
      </c>
      <c r="S1249" s="292" t="str">
        <f aca="false">IF(ISBLANK('Стёкла серии Elephant'!$S$385),"",'Стёкла серии Elephant'!$S$385)</f>
        <v/>
      </c>
    </row>
    <row r="1250" customFormat="false" ht="66" hidden="false" customHeight="true" outlineLevel="0" collapsed="false">
      <c r="A1250" s="291" t="str">
        <f aca="true">IF(ISNUMBER($J1250),INDIRECT("L"&amp;($J1250+4)),"")</f>
        <v/>
      </c>
      <c r="B1250" s="291" t="str">
        <f aca="true">IF(ISNUMBER($J1250),INDIRECT("M"&amp;($J1250+4)),"")</f>
        <v/>
      </c>
      <c r="C1250" s="296" t="str">
        <f aca="true">IF(ISNUMBER($J1250),INDIRECT("N"&amp;($J1250+4)),"")</f>
        <v/>
      </c>
      <c r="D1250" s="291" t="str">
        <f aca="true">IF(ISNUMBER($J1250),INDIRECT("O"&amp;($J1250+4)),"")</f>
        <v/>
      </c>
      <c r="E1250" s="291" t="str">
        <f aca="true">IF(ISNUMBER($J1250),INDIRECT("P"&amp;($J1250+4)),"")</f>
        <v/>
      </c>
      <c r="F1250" s="300" t="str">
        <f aca="true">IF(ISNUMBER($J1250),INDIRECT("Q"&amp;($J1250+4)),"")</f>
        <v/>
      </c>
      <c r="G1250" s="298" t="str">
        <f aca="true">IF(ISNUMBER($J1250),INDIRECT("R"&amp;($J1250+4)),"")</f>
        <v/>
      </c>
      <c r="H1250" s="298" t="str">
        <f aca="true">IF(ISNUMBER($J1250),INDIRECT("S"&amp;($J1250+4)),"")</f>
        <v/>
      </c>
      <c r="J1250" s="292" t="str">
        <f aca="true">IF(1246&lt;=$K$1,MATCH(1245.5,INDIRECT("$K$4:$K$1374"),1),"")</f>
        <v/>
      </c>
      <c r="K1250" s="292" t="n">
        <f aca="false">$K$1156+COUNTIF($Q$1157:Q1250,"&gt;0")</f>
        <v>0</v>
      </c>
      <c r="L1250" s="292" t="str">
        <f aca="false">"Стёкла серии Elephant"&amp;" · "&amp;'Стёкла серии Elephant'!$N$386</f>
        <v>Стёкла серии Elephant · Elephant</v>
      </c>
      <c r="M1250" s="292" t="str">
        <f aca="false">IF(ISBLANK('Стёкла серии Elephant'!$O$386),"",'Стёкла серии Elephant'!$O$386)</f>
        <v>Realme C11/C11 2021/C12/C15/C20/C20A/C21/C21Y/C25/C25S</v>
      </c>
      <c r="N1250" s="292" t="str">
        <f aca="false">""</f>
        <v/>
      </c>
      <c r="O1250" s="292" t="str">
        <f aca="false">""</f>
        <v/>
      </c>
      <c r="P1250" s="292" t="str">
        <f aca="false">IF(ISBLANK('Стёкла серии Elephant'!$P$386),"",'Стёкла серии Elephant'!$P$386)</f>
        <v>шт.</v>
      </c>
      <c r="Q1250" s="292" t="n">
        <f aca="false">N('Стёкла серии Elephant'!$R$386)</f>
        <v>0</v>
      </c>
      <c r="R1250" s="299" t="n">
        <f aca="false">IF(ISBLANK('Стёкла серии Elephant'!$Q$386),"",'Стёкла серии Elephant'!$Q$386)</f>
        <v>122.32</v>
      </c>
      <c r="S1250" s="292" t="str">
        <f aca="false">IF(ISBLANK('Стёкла серии Elephant'!$S$386),"",'Стёкла серии Elephant'!$S$386)</f>
        <v/>
      </c>
    </row>
    <row r="1251" customFormat="false" ht="66" hidden="false" customHeight="true" outlineLevel="0" collapsed="false">
      <c r="A1251" s="291" t="str">
        <f aca="true">IF(ISNUMBER($J1251),INDIRECT("L"&amp;($J1251+4)),"")</f>
        <v/>
      </c>
      <c r="B1251" s="291" t="str">
        <f aca="true">IF(ISNUMBER($J1251),INDIRECT("M"&amp;($J1251+4)),"")</f>
        <v/>
      </c>
      <c r="C1251" s="296" t="str">
        <f aca="true">IF(ISNUMBER($J1251),INDIRECT("N"&amp;($J1251+4)),"")</f>
        <v/>
      </c>
      <c r="D1251" s="291" t="str">
        <f aca="true">IF(ISNUMBER($J1251),INDIRECT("O"&amp;($J1251+4)),"")</f>
        <v/>
      </c>
      <c r="E1251" s="291" t="str">
        <f aca="true">IF(ISNUMBER($J1251),INDIRECT("P"&amp;($J1251+4)),"")</f>
        <v/>
      </c>
      <c r="F1251" s="300" t="str">
        <f aca="true">IF(ISNUMBER($J1251),INDIRECT("Q"&amp;($J1251+4)),"")</f>
        <v/>
      </c>
      <c r="G1251" s="298" t="str">
        <f aca="true">IF(ISNUMBER($J1251),INDIRECT("R"&amp;($J1251+4)),"")</f>
        <v/>
      </c>
      <c r="H1251" s="298" t="str">
        <f aca="true">IF(ISNUMBER($J1251),INDIRECT("S"&amp;($J1251+4)),"")</f>
        <v/>
      </c>
      <c r="J1251" s="292" t="str">
        <f aca="true">IF(1247&lt;=$K$1,MATCH(1246.5,INDIRECT("$K$4:$K$1374"),1),"")</f>
        <v/>
      </c>
      <c r="K1251" s="292" t="n">
        <f aca="false">$K$1156+COUNTIF($Q$1157:Q1251,"&gt;0")</f>
        <v>0</v>
      </c>
      <c r="L1251" s="292" t="str">
        <f aca="false">"Стёкла серии Elephant"&amp;" · "&amp;'Стёкла серии Elephant'!$N$387</f>
        <v>Стёкла серии Elephant · Elephant</v>
      </c>
      <c r="M1251" s="292" t="str">
        <f aca="false">IF(ISBLANK('Стёкла серии Elephant'!$O$387),"",'Стёкла серии Elephant'!$O$387)</f>
        <v>X30</v>
      </c>
      <c r="N1251" s="292" t="str">
        <f aca="false">""</f>
        <v/>
      </c>
      <c r="O1251" s="292" t="str">
        <f aca="false">""</f>
        <v/>
      </c>
      <c r="P1251" s="292" t="str">
        <f aca="false">IF(ISBLANK('Стёкла серии Elephant'!$P$387),"",'Стёкла серии Elephant'!$P$387)</f>
        <v>шт.</v>
      </c>
      <c r="Q1251" s="292" t="n">
        <f aca="false">N('Стёкла серии Elephant'!$R$387)</f>
        <v>0</v>
      </c>
      <c r="R1251" s="299" t="n">
        <f aca="false">IF(ISBLANK('Стёкла серии Elephant'!$Q$387),"",'Стёкла серии Elephant'!$Q$387)</f>
        <v>122.32</v>
      </c>
      <c r="S1251" s="292" t="str">
        <f aca="false">IF(ISBLANK('Стёкла серии Elephant'!$S$387),"",'Стёкла серии Elephant'!$S$387)</f>
        <v/>
      </c>
    </row>
    <row r="1252" customFormat="false" ht="66" hidden="false" customHeight="true" outlineLevel="0" collapsed="false">
      <c r="A1252" s="291" t="str">
        <f aca="true">IF(ISNUMBER($J1252),INDIRECT("L"&amp;($J1252+4)),"")</f>
        <v/>
      </c>
      <c r="B1252" s="291" t="str">
        <f aca="true">IF(ISNUMBER($J1252),INDIRECT("M"&amp;($J1252+4)),"")</f>
        <v/>
      </c>
      <c r="C1252" s="296" t="str">
        <f aca="true">IF(ISNUMBER($J1252),INDIRECT("N"&amp;($J1252+4)),"")</f>
        <v/>
      </c>
      <c r="D1252" s="291" t="str">
        <f aca="true">IF(ISNUMBER($J1252),INDIRECT("O"&amp;($J1252+4)),"")</f>
        <v/>
      </c>
      <c r="E1252" s="291" t="str">
        <f aca="true">IF(ISNUMBER($J1252),INDIRECT("P"&amp;($J1252+4)),"")</f>
        <v/>
      </c>
      <c r="F1252" s="300" t="str">
        <f aca="true">IF(ISNUMBER($J1252),INDIRECT("Q"&amp;($J1252+4)),"")</f>
        <v/>
      </c>
      <c r="G1252" s="298" t="str">
        <f aca="true">IF(ISNUMBER($J1252),INDIRECT("R"&amp;($J1252+4)),"")</f>
        <v/>
      </c>
      <c r="H1252" s="298" t="str">
        <f aca="true">IF(ISNUMBER($J1252),INDIRECT("S"&amp;($J1252+4)),"")</f>
        <v/>
      </c>
      <c r="J1252" s="292" t="str">
        <f aca="true">IF(1248&lt;=$K$1,MATCH(1247.5,INDIRECT("$K$4:$K$1374"),1),"")</f>
        <v/>
      </c>
      <c r="K1252" s="292" t="n">
        <f aca="false">$K$1156+COUNTIF($Q$1157:Q1252,"&gt;0")</f>
        <v>0</v>
      </c>
      <c r="L1252" s="292" t="str">
        <f aca="false">"Стёкла серии Elephant"&amp;" · "&amp;'Стёкла серии Elephant'!$N$388</f>
        <v>Стёкла серии Elephant · Elephant</v>
      </c>
      <c r="M1252" s="292" t="str">
        <f aca="false">IF(ISBLANK('Стёкла серии Elephant'!$O$388),"",'Стёкла серии Elephant'!$O$388)</f>
        <v>Enjoy 20</v>
      </c>
      <c r="N1252" s="292" t="str">
        <f aca="false">""</f>
        <v/>
      </c>
      <c r="O1252" s="292" t="str">
        <f aca="false">""</f>
        <v/>
      </c>
      <c r="P1252" s="292" t="str">
        <f aca="false">IF(ISBLANK('Стёкла серии Elephant'!$P$388),"",'Стёкла серии Elephant'!$P$388)</f>
        <v>шт.</v>
      </c>
      <c r="Q1252" s="292" t="n">
        <f aca="false">N('Стёкла серии Elephant'!$R$388)</f>
        <v>0</v>
      </c>
      <c r="R1252" s="299" t="n">
        <f aca="false">IF(ISBLANK('Стёкла серии Elephant'!$Q$388),"",'Стёкла серии Elephant'!$Q$388)</f>
        <v>122.32</v>
      </c>
      <c r="S1252" s="292" t="str">
        <f aca="false">IF(ISBLANK('Стёкла серии Elephant'!$S$388),"",'Стёкла серии Elephant'!$S$388)</f>
        <v/>
      </c>
    </row>
    <row r="1253" customFormat="false" ht="66" hidden="false" customHeight="true" outlineLevel="0" collapsed="false">
      <c r="A1253" s="291" t="str">
        <f aca="true">IF(ISNUMBER($J1253),INDIRECT("L"&amp;($J1253+4)),"")</f>
        <v/>
      </c>
      <c r="B1253" s="291" t="str">
        <f aca="true">IF(ISNUMBER($J1253),INDIRECT("M"&amp;($J1253+4)),"")</f>
        <v/>
      </c>
      <c r="C1253" s="296" t="str">
        <f aca="true">IF(ISNUMBER($J1253),INDIRECT("N"&amp;($J1253+4)),"")</f>
        <v/>
      </c>
      <c r="D1253" s="291" t="str">
        <f aca="true">IF(ISNUMBER($J1253),INDIRECT("O"&amp;($J1253+4)),"")</f>
        <v/>
      </c>
      <c r="E1253" s="291" t="str">
        <f aca="true">IF(ISNUMBER($J1253),INDIRECT("P"&amp;($J1253+4)),"")</f>
        <v/>
      </c>
      <c r="F1253" s="300" t="str">
        <f aca="true">IF(ISNUMBER($J1253),INDIRECT("Q"&amp;($J1253+4)),"")</f>
        <v/>
      </c>
      <c r="G1253" s="298" t="str">
        <f aca="true">IF(ISNUMBER($J1253),INDIRECT("R"&amp;($J1253+4)),"")</f>
        <v/>
      </c>
      <c r="H1253" s="298" t="str">
        <f aca="true">IF(ISNUMBER($J1253),INDIRECT("S"&amp;($J1253+4)),"")</f>
        <v/>
      </c>
      <c r="J1253" s="292" t="str">
        <f aca="true">IF(1249&lt;=$K$1,MATCH(1248.5,INDIRECT("$K$4:$K$1374"),1),"")</f>
        <v/>
      </c>
      <c r="K1253" s="292" t="n">
        <f aca="false">$K$1156+COUNTIF($Q$1157:Q1253,"&gt;0")</f>
        <v>0</v>
      </c>
      <c r="L1253" s="292" t="str">
        <f aca="false">"Стёкла серии Elephant"&amp;" · "&amp;'Стёкла серии Elephant'!$N$389</f>
        <v>Стёкла серии Elephant · Elephant</v>
      </c>
      <c r="M1253" s="292" t="str">
        <f aca="false">IF(ISBLANK('Стёкла серии Elephant'!$O$389),"",'Стёкла серии Elephant'!$O$389)</f>
        <v>MI 9A</v>
      </c>
      <c r="N1253" s="292" t="str">
        <f aca="false">""</f>
        <v/>
      </c>
      <c r="O1253" s="292" t="str">
        <f aca="false">""</f>
        <v/>
      </c>
      <c r="P1253" s="292" t="str">
        <f aca="false">IF(ISBLANK('Стёкла серии Elephant'!$P$389),"",'Стёкла серии Elephant'!$P$389)</f>
        <v>шт.</v>
      </c>
      <c r="Q1253" s="292" t="n">
        <f aca="false">N('Стёкла серии Elephant'!$R$389)</f>
        <v>0</v>
      </c>
      <c r="R1253" s="299" t="n">
        <f aca="false">IF(ISBLANK('Стёкла серии Elephant'!$Q$389),"",'Стёкла серии Elephant'!$Q$389)</f>
        <v>122.32</v>
      </c>
      <c r="S1253" s="292" t="str">
        <f aca="false">IF(ISBLANK('Стёкла серии Elephant'!$S$389),"",'Стёкла серии Elephant'!$S$389)</f>
        <v/>
      </c>
    </row>
    <row r="1254" customFormat="false" ht="66" hidden="false" customHeight="true" outlineLevel="0" collapsed="false">
      <c r="A1254" s="291" t="str">
        <f aca="true">IF(ISNUMBER($J1254),INDIRECT("L"&amp;($J1254+4)),"")</f>
        <v/>
      </c>
      <c r="B1254" s="291" t="str">
        <f aca="true">IF(ISNUMBER($J1254),INDIRECT("M"&amp;($J1254+4)),"")</f>
        <v/>
      </c>
      <c r="C1254" s="296" t="str">
        <f aca="true">IF(ISNUMBER($J1254),INDIRECT("N"&amp;($J1254+4)),"")</f>
        <v/>
      </c>
      <c r="D1254" s="291" t="str">
        <f aca="true">IF(ISNUMBER($J1254),INDIRECT("O"&amp;($J1254+4)),"")</f>
        <v/>
      </c>
      <c r="E1254" s="291" t="str">
        <f aca="true">IF(ISNUMBER($J1254),INDIRECT("P"&amp;($J1254+4)),"")</f>
        <v/>
      </c>
      <c r="F1254" s="300" t="str">
        <f aca="true">IF(ISNUMBER($J1254),INDIRECT("Q"&amp;($J1254+4)),"")</f>
        <v/>
      </c>
      <c r="G1254" s="298" t="str">
        <f aca="true">IF(ISNUMBER($J1254),INDIRECT("R"&amp;($J1254+4)),"")</f>
        <v/>
      </c>
      <c r="H1254" s="298" t="str">
        <f aca="true">IF(ISNUMBER($J1254),INDIRECT("S"&amp;($J1254+4)),"")</f>
        <v/>
      </c>
      <c r="J1254" s="292" t="str">
        <f aca="true">IF(1250&lt;=$K$1,MATCH(1249.5,INDIRECT("$K$4:$K$1374"),1),"")</f>
        <v/>
      </c>
      <c r="K1254" s="292" t="n">
        <f aca="false">$K$1156+COUNTIF($Q$1157:Q1254,"&gt;0")</f>
        <v>0</v>
      </c>
      <c r="L1254" s="292" t="str">
        <f aca="false">"Стёкла серии Elephant"&amp;" · "&amp;'Стёкла серии Elephant'!$N$390</f>
        <v>Стёкла серии Elephant · Elephant</v>
      </c>
      <c r="M1254" s="292" t="str">
        <f aca="false">IF(ISBLANK('Стёкла серии Elephant'!$O$390),"",'Стёкла серии Elephant'!$O$390)</f>
        <v>M11</v>
      </c>
      <c r="N1254" s="292" t="str">
        <f aca="false">""</f>
        <v/>
      </c>
      <c r="O1254" s="292" t="str">
        <f aca="false">""</f>
        <v/>
      </c>
      <c r="P1254" s="292" t="str">
        <f aca="false">IF(ISBLANK('Стёкла серии Elephant'!$P$390),"",'Стёкла серии Elephant'!$P$390)</f>
        <v>шт.</v>
      </c>
      <c r="Q1254" s="292" t="n">
        <f aca="false">N('Стёкла серии Elephant'!$R$390)</f>
        <v>0</v>
      </c>
      <c r="R1254" s="299" t="n">
        <f aca="false">IF(ISBLANK('Стёкла серии Elephant'!$Q$390),"",'Стёкла серии Elephant'!$Q$390)</f>
        <v>122.32</v>
      </c>
      <c r="S1254" s="292" t="str">
        <f aca="false">IF(ISBLANK('Стёкла серии Elephant'!$S$390),"",'Стёкла серии Elephant'!$S$390)</f>
        <v/>
      </c>
    </row>
    <row r="1255" customFormat="false" ht="66" hidden="false" customHeight="true" outlineLevel="0" collapsed="false">
      <c r="A1255" s="291" t="str">
        <f aca="true">IF(ISNUMBER($J1255),INDIRECT("L"&amp;($J1255+4)),"")</f>
        <v/>
      </c>
      <c r="B1255" s="291" t="str">
        <f aca="true">IF(ISNUMBER($J1255),INDIRECT("M"&amp;($J1255+4)),"")</f>
        <v/>
      </c>
      <c r="C1255" s="296" t="str">
        <f aca="true">IF(ISNUMBER($J1255),INDIRECT("N"&amp;($J1255+4)),"")</f>
        <v/>
      </c>
      <c r="D1255" s="291" t="str">
        <f aca="true">IF(ISNUMBER($J1255),INDIRECT("O"&amp;($J1255+4)),"")</f>
        <v/>
      </c>
      <c r="E1255" s="291" t="str">
        <f aca="true">IF(ISNUMBER($J1255),INDIRECT("P"&amp;($J1255+4)),"")</f>
        <v/>
      </c>
      <c r="F1255" s="300" t="str">
        <f aca="true">IF(ISNUMBER($J1255),INDIRECT("Q"&amp;($J1255+4)),"")</f>
        <v/>
      </c>
      <c r="G1255" s="298" t="str">
        <f aca="true">IF(ISNUMBER($J1255),INDIRECT("R"&amp;($J1255+4)),"")</f>
        <v/>
      </c>
      <c r="H1255" s="298" t="str">
        <f aca="true">IF(ISNUMBER($J1255),INDIRECT("S"&amp;($J1255+4)),"")</f>
        <v/>
      </c>
      <c r="J1255" s="292" t="str">
        <f aca="true">IF(1251&lt;=$K$1,MATCH(1250.5,INDIRECT("$K$4:$K$1374"),1),"")</f>
        <v/>
      </c>
      <c r="K1255" s="292" t="n">
        <f aca="false">$K$1156+COUNTIF($Q$1157:Q1255,"&gt;0")</f>
        <v>0</v>
      </c>
      <c r="L1255" s="292" t="str">
        <f aca="false">"Стёкла серии Elephant"&amp;" · "&amp;'Стёкла серии Elephant'!$N$391</f>
        <v>Стёкла серии Elephant · Elephant</v>
      </c>
      <c r="M1255" s="292" t="str">
        <f aca="false">IF(ISBLANK('Стёкла серии Elephant'!$O$391),"",'Стёкла серии Elephant'!$O$391)</f>
        <v>Reno</v>
      </c>
      <c r="N1255" s="292" t="str">
        <f aca="false">""</f>
        <v/>
      </c>
      <c r="O1255" s="292" t="str">
        <f aca="false">""</f>
        <v/>
      </c>
      <c r="P1255" s="292" t="str">
        <f aca="false">IF(ISBLANK('Стёкла серии Elephant'!$P$391),"",'Стёкла серии Elephant'!$P$391)</f>
        <v>шт.</v>
      </c>
      <c r="Q1255" s="292" t="n">
        <f aca="false">N('Стёкла серии Elephant'!$R$391)</f>
        <v>0</v>
      </c>
      <c r="R1255" s="299" t="n">
        <f aca="false">IF(ISBLANK('Стёкла серии Elephant'!$Q$391),"",'Стёкла серии Elephant'!$Q$391)</f>
        <v>122.32</v>
      </c>
      <c r="S1255" s="292" t="str">
        <f aca="false">IF(ISBLANK('Стёкла серии Elephant'!$S$391),"",'Стёкла серии Elephant'!$S$391)</f>
        <v/>
      </c>
    </row>
    <row r="1256" customFormat="false" ht="66" hidden="false" customHeight="true" outlineLevel="0" collapsed="false">
      <c r="A1256" s="291" t="str">
        <f aca="true">IF(ISNUMBER($J1256),INDIRECT("L"&amp;($J1256+4)),"")</f>
        <v/>
      </c>
      <c r="B1256" s="291" t="str">
        <f aca="true">IF(ISNUMBER($J1256),INDIRECT("M"&amp;($J1256+4)),"")</f>
        <v/>
      </c>
      <c r="C1256" s="296" t="str">
        <f aca="true">IF(ISNUMBER($J1256),INDIRECT("N"&amp;($J1256+4)),"")</f>
        <v/>
      </c>
      <c r="D1256" s="291" t="str">
        <f aca="true">IF(ISNUMBER($J1256),INDIRECT("O"&amp;($J1256+4)),"")</f>
        <v/>
      </c>
      <c r="E1256" s="291" t="str">
        <f aca="true">IF(ISNUMBER($J1256),INDIRECT("P"&amp;($J1256+4)),"")</f>
        <v/>
      </c>
      <c r="F1256" s="300" t="str">
        <f aca="true">IF(ISNUMBER($J1256),INDIRECT("Q"&amp;($J1256+4)),"")</f>
        <v/>
      </c>
      <c r="G1256" s="298" t="str">
        <f aca="true">IF(ISNUMBER($J1256),INDIRECT("R"&amp;($J1256+4)),"")</f>
        <v/>
      </c>
      <c r="H1256" s="298" t="str">
        <f aca="true">IF(ISNUMBER($J1256),INDIRECT("S"&amp;($J1256+4)),"")</f>
        <v/>
      </c>
      <c r="J1256" s="292" t="str">
        <f aca="true">IF(1252&lt;=$K$1,MATCH(1251.5,INDIRECT("$K$4:$K$1374"),1),"")</f>
        <v/>
      </c>
      <c r="K1256" s="292" t="n">
        <f aca="false">$K$1156+COUNTIF($Q$1157:Q1256,"&gt;0")</f>
        <v>0</v>
      </c>
      <c r="L1256" s="292" t="str">
        <f aca="false">"Стёкла серии Elephant"&amp;" · "&amp;'Стёкла серии Elephant'!$N$392</f>
        <v>Стёкла серии Elephant · Elephant</v>
      </c>
      <c r="M1256" s="292" t="str">
        <f aca="false">IF(ISBLANK('Стёкла серии Elephant'!$O$392),"",'Стёкла серии Elephant'!$O$392)</f>
        <v>REALME 7/REALME NARZO 30 PRO 5G/REALME V13/REALME 8 5G</v>
      </c>
      <c r="N1256" s="292" t="str">
        <f aca="false">""</f>
        <v/>
      </c>
      <c r="O1256" s="292" t="str">
        <f aca="false">""</f>
        <v/>
      </c>
      <c r="P1256" s="292" t="str">
        <f aca="false">IF(ISBLANK('Стёкла серии Elephant'!$P$392),"",'Стёкла серии Elephant'!$P$392)</f>
        <v>шт.</v>
      </c>
      <c r="Q1256" s="292" t="n">
        <f aca="false">N('Стёкла серии Elephant'!$R$392)</f>
        <v>0</v>
      </c>
      <c r="R1256" s="299" t="n">
        <f aca="false">IF(ISBLANK('Стёкла серии Elephant'!$Q$392),"",'Стёкла серии Elephant'!$Q$392)</f>
        <v>122.32</v>
      </c>
      <c r="S1256" s="292" t="str">
        <f aca="false">IF(ISBLANK('Стёкла серии Elephant'!$S$392),"",'Стёкла серии Elephant'!$S$392)</f>
        <v/>
      </c>
    </row>
    <row r="1257" customFormat="false" ht="66" hidden="false" customHeight="true" outlineLevel="0" collapsed="false">
      <c r="A1257" s="291" t="str">
        <f aca="true">IF(ISNUMBER($J1257),INDIRECT("L"&amp;($J1257+4)),"")</f>
        <v/>
      </c>
      <c r="B1257" s="291" t="str">
        <f aca="true">IF(ISNUMBER($J1257),INDIRECT("M"&amp;($J1257+4)),"")</f>
        <v/>
      </c>
      <c r="C1257" s="296" t="str">
        <f aca="true">IF(ISNUMBER($J1257),INDIRECT("N"&amp;($J1257+4)),"")</f>
        <v/>
      </c>
      <c r="D1257" s="291" t="str">
        <f aca="true">IF(ISNUMBER($J1257),INDIRECT("O"&amp;($J1257+4)),"")</f>
        <v/>
      </c>
      <c r="E1257" s="291" t="str">
        <f aca="true">IF(ISNUMBER($J1257),INDIRECT("P"&amp;($J1257+4)),"")</f>
        <v/>
      </c>
      <c r="F1257" s="300" t="str">
        <f aca="true">IF(ISNUMBER($J1257),INDIRECT("Q"&amp;($J1257+4)),"")</f>
        <v/>
      </c>
      <c r="G1257" s="298" t="str">
        <f aca="true">IF(ISNUMBER($J1257),INDIRECT("R"&amp;($J1257+4)),"")</f>
        <v/>
      </c>
      <c r="H1257" s="298" t="str">
        <f aca="true">IF(ISNUMBER($J1257),INDIRECT("S"&amp;($J1257+4)),"")</f>
        <v/>
      </c>
      <c r="J1257" s="292" t="str">
        <f aca="true">IF(1253&lt;=$K$1,MATCH(1252.5,INDIRECT("$K$4:$K$1374"),1),"")</f>
        <v/>
      </c>
      <c r="K1257" s="292" t="n">
        <f aca="false">$K$1156+COUNTIF($Q$1157:Q1257,"&gt;0")</f>
        <v>0</v>
      </c>
      <c r="L1257" s="292" t="str">
        <f aca="false">"Стёкла серии Elephant"&amp;" · "&amp;'Стёкла серии Elephant'!$N$393</f>
        <v>Стёкла серии Elephant · Elephant</v>
      </c>
      <c r="M1257" s="292" t="str">
        <f aca="false">IF(ISBLANK('Стёкла серии Elephant'!$O$393),"",'Стёкла серии Elephant'!$O$393)</f>
        <v>X30Pro</v>
      </c>
      <c r="N1257" s="292" t="str">
        <f aca="false">""</f>
        <v/>
      </c>
      <c r="O1257" s="292" t="str">
        <f aca="false">""</f>
        <v/>
      </c>
      <c r="P1257" s="292" t="str">
        <f aca="false">IF(ISBLANK('Стёкла серии Elephant'!$P$393),"",'Стёкла серии Elephant'!$P$393)</f>
        <v>шт.</v>
      </c>
      <c r="Q1257" s="292" t="n">
        <f aca="false">N('Стёкла серии Elephant'!$R$393)</f>
        <v>0</v>
      </c>
      <c r="R1257" s="299" t="n">
        <f aca="false">IF(ISBLANK('Стёкла серии Elephant'!$Q$393),"",'Стёкла серии Elephant'!$Q$393)</f>
        <v>122.32</v>
      </c>
      <c r="S1257" s="292" t="str">
        <f aca="false">IF(ISBLANK('Стёкла серии Elephant'!$S$393),"",'Стёкла серии Elephant'!$S$393)</f>
        <v/>
      </c>
    </row>
    <row r="1258" customFormat="false" ht="66" hidden="false" customHeight="true" outlineLevel="0" collapsed="false">
      <c r="A1258" s="291" t="str">
        <f aca="true">IF(ISNUMBER($J1258),INDIRECT("L"&amp;($J1258+4)),"")</f>
        <v/>
      </c>
      <c r="B1258" s="291" t="str">
        <f aca="true">IF(ISNUMBER($J1258),INDIRECT("M"&amp;($J1258+4)),"")</f>
        <v/>
      </c>
      <c r="C1258" s="296" t="str">
        <f aca="true">IF(ISNUMBER($J1258),INDIRECT("N"&amp;($J1258+4)),"")</f>
        <v/>
      </c>
      <c r="D1258" s="291" t="str">
        <f aca="true">IF(ISNUMBER($J1258),INDIRECT("O"&amp;($J1258+4)),"")</f>
        <v/>
      </c>
      <c r="E1258" s="291" t="str">
        <f aca="true">IF(ISNUMBER($J1258),INDIRECT("P"&amp;($J1258+4)),"")</f>
        <v/>
      </c>
      <c r="F1258" s="300" t="str">
        <f aca="true">IF(ISNUMBER($J1258),INDIRECT("Q"&amp;($J1258+4)),"")</f>
        <v/>
      </c>
      <c r="G1258" s="298" t="str">
        <f aca="true">IF(ISNUMBER($J1258),INDIRECT("R"&amp;($J1258+4)),"")</f>
        <v/>
      </c>
      <c r="H1258" s="298" t="str">
        <f aca="true">IF(ISNUMBER($J1258),INDIRECT("S"&amp;($J1258+4)),"")</f>
        <v/>
      </c>
      <c r="J1258" s="292" t="str">
        <f aca="true">IF(1254&lt;=$K$1,MATCH(1253.5,INDIRECT("$K$4:$K$1374"),1),"")</f>
        <v/>
      </c>
      <c r="K1258" s="292" t="n">
        <f aca="false">$K$1156+COUNTIF($Q$1157:Q1258,"&gt;0")</f>
        <v>0</v>
      </c>
      <c r="L1258" s="292" t="str">
        <f aca="false">"Стёкла серии Elephant"&amp;" · "&amp;'Стёкла серии Elephant'!$N$394</f>
        <v>Стёкла серии Elephant · Elephant</v>
      </c>
      <c r="M1258" s="292" t="str">
        <f aca="false">IF(ISBLANK('Стёкла серии Elephant'!$O$394),"",'Стёкла серии Elephant'!$O$394)</f>
        <v>Enjoy10E/Play9A/Y6P</v>
      </c>
      <c r="N1258" s="292" t="str">
        <f aca="false">""</f>
        <v/>
      </c>
      <c r="O1258" s="292" t="str">
        <f aca="false">""</f>
        <v/>
      </c>
      <c r="P1258" s="292" t="str">
        <f aca="false">IF(ISBLANK('Стёкла серии Elephant'!$P$394),"",'Стёкла серии Elephant'!$P$394)</f>
        <v>шт.</v>
      </c>
      <c r="Q1258" s="292" t="n">
        <f aca="false">N('Стёкла серии Elephant'!$R$394)</f>
        <v>0</v>
      </c>
      <c r="R1258" s="299" t="n">
        <f aca="false">IF(ISBLANK('Стёкла серии Elephant'!$Q$394),"",'Стёкла серии Elephant'!$Q$394)</f>
        <v>122.32</v>
      </c>
      <c r="S1258" s="292" t="str">
        <f aca="false">IF(ISBLANK('Стёкла серии Elephant'!$S$394),"",'Стёкла серии Elephant'!$S$394)</f>
        <v/>
      </c>
    </row>
    <row r="1259" customFormat="false" ht="66" hidden="false" customHeight="true" outlineLevel="0" collapsed="false">
      <c r="A1259" s="291" t="str">
        <f aca="true">IF(ISNUMBER($J1259),INDIRECT("L"&amp;($J1259+4)),"")</f>
        <v/>
      </c>
      <c r="B1259" s="291" t="str">
        <f aca="true">IF(ISNUMBER($J1259),INDIRECT("M"&amp;($J1259+4)),"")</f>
        <v/>
      </c>
      <c r="C1259" s="296" t="str">
        <f aca="true">IF(ISNUMBER($J1259),INDIRECT("N"&amp;($J1259+4)),"")</f>
        <v/>
      </c>
      <c r="D1259" s="291" t="str">
        <f aca="true">IF(ISNUMBER($J1259),INDIRECT("O"&amp;($J1259+4)),"")</f>
        <v/>
      </c>
      <c r="E1259" s="291" t="str">
        <f aca="true">IF(ISNUMBER($J1259),INDIRECT("P"&amp;($J1259+4)),"")</f>
        <v/>
      </c>
      <c r="F1259" s="300" t="str">
        <f aca="true">IF(ISNUMBER($J1259),INDIRECT("Q"&amp;($J1259+4)),"")</f>
        <v/>
      </c>
      <c r="G1259" s="298" t="str">
        <f aca="true">IF(ISNUMBER($J1259),INDIRECT("R"&amp;($J1259+4)),"")</f>
        <v/>
      </c>
      <c r="H1259" s="298" t="str">
        <f aca="true">IF(ISNUMBER($J1259),INDIRECT("S"&amp;($J1259+4)),"")</f>
        <v/>
      </c>
      <c r="J1259" s="292" t="str">
        <f aca="true">IF(1255&lt;=$K$1,MATCH(1254.5,INDIRECT("$K$4:$K$1374"),1),"")</f>
        <v/>
      </c>
      <c r="K1259" s="292" t="n">
        <f aca="false">$K$1156+COUNTIF($Q$1157:Q1259,"&gt;0")</f>
        <v>0</v>
      </c>
      <c r="L1259" s="292" t="str">
        <f aca="false">"Стёкла серии Elephant"&amp;" · "&amp;'Стёкла серии Elephant'!$N$395</f>
        <v>Стёкла серии Elephant · Elephant</v>
      </c>
      <c r="M1259" s="292" t="str">
        <f aca="false">IF(ISBLANK('Стёкла серии Elephant'!$O$395),"",'Стёкла серии Elephant'!$O$395)</f>
        <v>MI 9C</v>
      </c>
      <c r="N1259" s="292" t="str">
        <f aca="false">""</f>
        <v/>
      </c>
      <c r="O1259" s="292" t="str">
        <f aca="false">""</f>
        <v/>
      </c>
      <c r="P1259" s="292" t="str">
        <f aca="false">IF(ISBLANK('Стёкла серии Elephant'!$P$395),"",'Стёкла серии Elephant'!$P$395)</f>
        <v>шт.</v>
      </c>
      <c r="Q1259" s="292" t="n">
        <f aca="false">N('Стёкла серии Elephant'!$R$395)</f>
        <v>0</v>
      </c>
      <c r="R1259" s="299" t="n">
        <f aca="false">IF(ISBLANK('Стёкла серии Elephant'!$Q$395),"",'Стёкла серии Elephant'!$Q$395)</f>
        <v>122.32</v>
      </c>
      <c r="S1259" s="292" t="str">
        <f aca="false">IF(ISBLANK('Стёкла серии Elephant'!$S$395),"",'Стёкла серии Elephant'!$S$395)</f>
        <v/>
      </c>
    </row>
    <row r="1260" customFormat="false" ht="66" hidden="false" customHeight="true" outlineLevel="0" collapsed="false">
      <c r="A1260" s="291" t="str">
        <f aca="true">IF(ISNUMBER($J1260),INDIRECT("L"&amp;($J1260+4)),"")</f>
        <v/>
      </c>
      <c r="B1260" s="291" t="str">
        <f aca="true">IF(ISNUMBER($J1260),INDIRECT("M"&amp;($J1260+4)),"")</f>
        <v/>
      </c>
      <c r="C1260" s="296" t="str">
        <f aca="true">IF(ISNUMBER($J1260),INDIRECT("N"&amp;($J1260+4)),"")</f>
        <v/>
      </c>
      <c r="D1260" s="291" t="str">
        <f aca="true">IF(ISNUMBER($J1260),INDIRECT("O"&amp;($J1260+4)),"")</f>
        <v/>
      </c>
      <c r="E1260" s="291" t="str">
        <f aca="true">IF(ISNUMBER($J1260),INDIRECT("P"&amp;($J1260+4)),"")</f>
        <v/>
      </c>
      <c r="F1260" s="300" t="str">
        <f aca="true">IF(ISNUMBER($J1260),INDIRECT("Q"&amp;($J1260+4)),"")</f>
        <v/>
      </c>
      <c r="G1260" s="298" t="str">
        <f aca="true">IF(ISNUMBER($J1260),INDIRECT("R"&amp;($J1260+4)),"")</f>
        <v/>
      </c>
      <c r="H1260" s="298" t="str">
        <f aca="true">IF(ISNUMBER($J1260),INDIRECT("S"&amp;($J1260+4)),"")</f>
        <v/>
      </c>
      <c r="J1260" s="292" t="str">
        <f aca="true">IF(1256&lt;=$K$1,MATCH(1255.5,INDIRECT("$K$4:$K$1374"),1),"")</f>
        <v/>
      </c>
      <c r="K1260" s="292" t="n">
        <f aca="false">$K$1156+COUNTIF($Q$1157:Q1260,"&gt;0")</f>
        <v>0</v>
      </c>
      <c r="L1260" s="292" t="str">
        <f aca="false">"Стёкла серии Elephant"&amp;" · "&amp;'Стёкла серии Elephant'!$N$396</f>
        <v>Стёкла серии Elephant · Elephant</v>
      </c>
      <c r="M1260" s="292" t="str">
        <f aca="false">IF(ISBLANK('Стёкла серии Elephant'!$O$396),"",'Стёкла серии Elephant'!$O$396)</f>
        <v>M21</v>
      </c>
      <c r="N1260" s="292" t="str">
        <f aca="false">""</f>
        <v/>
      </c>
      <c r="O1260" s="292" t="str">
        <f aca="false">""</f>
        <v/>
      </c>
      <c r="P1260" s="292" t="str">
        <f aca="false">IF(ISBLANK('Стёкла серии Elephant'!$P$396),"",'Стёкла серии Elephant'!$P$396)</f>
        <v>шт.</v>
      </c>
      <c r="Q1260" s="292" t="n">
        <f aca="false">N('Стёкла серии Elephant'!$R$396)</f>
        <v>0</v>
      </c>
      <c r="R1260" s="299" t="n">
        <f aca="false">IF(ISBLANK('Стёкла серии Elephant'!$Q$396),"",'Стёкла серии Elephant'!$Q$396)</f>
        <v>122.32</v>
      </c>
      <c r="S1260" s="292" t="str">
        <f aca="false">IF(ISBLANK('Стёкла серии Elephant'!$S$396),"",'Стёкла серии Elephant'!$S$396)</f>
        <v/>
      </c>
    </row>
    <row r="1261" customFormat="false" ht="66" hidden="false" customHeight="true" outlineLevel="0" collapsed="false">
      <c r="A1261" s="291" t="str">
        <f aca="true">IF(ISNUMBER($J1261),INDIRECT("L"&amp;($J1261+4)),"")</f>
        <v/>
      </c>
      <c r="B1261" s="291" t="str">
        <f aca="true">IF(ISNUMBER($J1261),INDIRECT("M"&amp;($J1261+4)),"")</f>
        <v/>
      </c>
      <c r="C1261" s="296" t="str">
        <f aca="true">IF(ISNUMBER($J1261),INDIRECT("N"&amp;($J1261+4)),"")</f>
        <v/>
      </c>
      <c r="D1261" s="291" t="str">
        <f aca="true">IF(ISNUMBER($J1261),INDIRECT("O"&amp;($J1261+4)),"")</f>
        <v/>
      </c>
      <c r="E1261" s="291" t="str">
        <f aca="true">IF(ISNUMBER($J1261),INDIRECT("P"&amp;($J1261+4)),"")</f>
        <v/>
      </c>
      <c r="F1261" s="300" t="str">
        <f aca="true">IF(ISNUMBER($J1261),INDIRECT("Q"&amp;($J1261+4)),"")</f>
        <v/>
      </c>
      <c r="G1261" s="298" t="str">
        <f aca="true">IF(ISNUMBER($J1261),INDIRECT("R"&amp;($J1261+4)),"")</f>
        <v/>
      </c>
      <c r="H1261" s="298" t="str">
        <f aca="true">IF(ISNUMBER($J1261),INDIRECT("S"&amp;($J1261+4)),"")</f>
        <v/>
      </c>
      <c r="J1261" s="292" t="str">
        <f aca="true">IF(1257&lt;=$K$1,MATCH(1256.5,INDIRECT("$K$4:$K$1374"),1),"")</f>
        <v/>
      </c>
      <c r="K1261" s="292" t="n">
        <f aca="false">$K$1156+COUNTIF($Q$1157:Q1261,"&gt;0")</f>
        <v>0</v>
      </c>
      <c r="L1261" s="292" t="str">
        <f aca="false">"Стёкла серии Elephant"&amp;" · "&amp;'Стёкла серии Elephant'!$N$397</f>
        <v>Стёкла серии Elephant · Elephant</v>
      </c>
      <c r="M1261" s="292" t="str">
        <f aca="false">IF(ISBLANK('Стёкла серии Elephant'!$O$397),"",'Стёкла серии Elephant'!$O$397)</f>
        <v>Reno Zoom edition</v>
      </c>
      <c r="N1261" s="292" t="str">
        <f aca="false">""</f>
        <v/>
      </c>
      <c r="O1261" s="292" t="str">
        <f aca="false">""</f>
        <v/>
      </c>
      <c r="P1261" s="292" t="str">
        <f aca="false">IF(ISBLANK('Стёкла серии Elephant'!$P$397),"",'Стёкла серии Elephant'!$P$397)</f>
        <v>шт.</v>
      </c>
      <c r="Q1261" s="292" t="n">
        <f aca="false">N('Стёкла серии Elephant'!$R$397)</f>
        <v>0</v>
      </c>
      <c r="R1261" s="299" t="n">
        <f aca="false">IF(ISBLANK('Стёкла серии Elephant'!$Q$397),"",'Стёкла серии Elephant'!$Q$397)</f>
        <v>122.32</v>
      </c>
      <c r="S1261" s="292" t="str">
        <f aca="false">IF(ISBLANK('Стёкла серии Elephant'!$S$397),"",'Стёкла серии Elephant'!$S$397)</f>
        <v/>
      </c>
    </row>
    <row r="1262" customFormat="false" ht="66" hidden="false" customHeight="true" outlineLevel="0" collapsed="false">
      <c r="A1262" s="291" t="str">
        <f aca="true">IF(ISNUMBER($J1262),INDIRECT("L"&amp;($J1262+4)),"")</f>
        <v/>
      </c>
      <c r="B1262" s="291" t="str">
        <f aca="true">IF(ISNUMBER($J1262),INDIRECT("M"&amp;($J1262+4)),"")</f>
        <v/>
      </c>
      <c r="C1262" s="296" t="str">
        <f aca="true">IF(ISNUMBER($J1262),INDIRECT("N"&amp;($J1262+4)),"")</f>
        <v/>
      </c>
      <c r="D1262" s="291" t="str">
        <f aca="true">IF(ISNUMBER($J1262),INDIRECT("O"&amp;($J1262+4)),"")</f>
        <v/>
      </c>
      <c r="E1262" s="291" t="str">
        <f aca="true">IF(ISNUMBER($J1262),INDIRECT("P"&amp;($J1262+4)),"")</f>
        <v/>
      </c>
      <c r="F1262" s="300" t="str">
        <f aca="true">IF(ISNUMBER($J1262),INDIRECT("Q"&amp;($J1262+4)),"")</f>
        <v/>
      </c>
      <c r="G1262" s="298" t="str">
        <f aca="true">IF(ISNUMBER($J1262),INDIRECT("R"&amp;($J1262+4)),"")</f>
        <v/>
      </c>
      <c r="H1262" s="298" t="str">
        <f aca="true">IF(ISNUMBER($J1262),INDIRECT("S"&amp;($J1262+4)),"")</f>
        <v/>
      </c>
      <c r="J1262" s="292" t="str">
        <f aca="true">IF(1258&lt;=$K$1,MATCH(1257.5,INDIRECT("$K$4:$K$1374"),1),"")</f>
        <v/>
      </c>
      <c r="K1262" s="292" t="n">
        <f aca="false">$K$1156+COUNTIF($Q$1157:Q1262,"&gt;0")</f>
        <v>0</v>
      </c>
      <c r="L1262" s="292" t="str">
        <f aca="false">"Стёкла серии Elephant"&amp;" · "&amp;'Стёкла серии Elephant'!$N$398</f>
        <v>Стёкла серии Elephant · Elephant</v>
      </c>
      <c r="M1262" s="292" t="str">
        <f aca="false">IF(ISBLANK('Стёкла серии Elephant'!$O$398),"",'Стёкла серии Elephant'!$O$398)</f>
        <v>REALME 7 PRO</v>
      </c>
      <c r="N1262" s="292" t="str">
        <f aca="false">""</f>
        <v/>
      </c>
      <c r="O1262" s="292" t="str">
        <f aca="false">""</f>
        <v/>
      </c>
      <c r="P1262" s="292" t="str">
        <f aca="false">IF(ISBLANK('Стёкла серии Elephant'!$P$398),"",'Стёкла серии Elephant'!$P$398)</f>
        <v>шт.</v>
      </c>
      <c r="Q1262" s="292" t="n">
        <f aca="false">N('Стёкла серии Elephant'!$R$398)</f>
        <v>0</v>
      </c>
      <c r="R1262" s="299" t="n">
        <f aca="false">IF(ISBLANK('Стёкла серии Elephant'!$Q$398),"",'Стёкла серии Elephant'!$Q$398)</f>
        <v>122.32</v>
      </c>
      <c r="S1262" s="292" t="str">
        <f aca="false">IF(ISBLANK('Стёкла серии Elephant'!$S$398),"",'Стёкла серии Elephant'!$S$398)</f>
        <v/>
      </c>
    </row>
    <row r="1263" customFormat="false" ht="66" hidden="false" customHeight="true" outlineLevel="0" collapsed="false">
      <c r="A1263" s="291" t="str">
        <f aca="true">IF(ISNUMBER($J1263),INDIRECT("L"&amp;($J1263+4)),"")</f>
        <v/>
      </c>
      <c r="B1263" s="291" t="str">
        <f aca="true">IF(ISNUMBER($J1263),INDIRECT("M"&amp;($J1263+4)),"")</f>
        <v/>
      </c>
      <c r="C1263" s="296" t="str">
        <f aca="true">IF(ISNUMBER($J1263),INDIRECT("N"&amp;($J1263+4)),"")</f>
        <v/>
      </c>
      <c r="D1263" s="291" t="str">
        <f aca="true">IF(ISNUMBER($J1263),INDIRECT("O"&amp;($J1263+4)),"")</f>
        <v/>
      </c>
      <c r="E1263" s="291" t="str">
        <f aca="true">IF(ISNUMBER($J1263),INDIRECT("P"&amp;($J1263+4)),"")</f>
        <v/>
      </c>
      <c r="F1263" s="300" t="str">
        <f aca="true">IF(ISNUMBER($J1263),INDIRECT("Q"&amp;($J1263+4)),"")</f>
        <v/>
      </c>
      <c r="G1263" s="298" t="str">
        <f aca="true">IF(ISNUMBER($J1263),INDIRECT("R"&amp;($J1263+4)),"")</f>
        <v/>
      </c>
      <c r="H1263" s="298" t="str">
        <f aca="true">IF(ISNUMBER($J1263),INDIRECT("S"&amp;($J1263+4)),"")</f>
        <v/>
      </c>
      <c r="J1263" s="292" t="str">
        <f aca="true">IF(1259&lt;=$K$1,MATCH(1258.5,INDIRECT("$K$4:$K$1374"),1),"")</f>
        <v/>
      </c>
      <c r="K1263" s="292" t="n">
        <f aca="false">$K$1156+COUNTIF($Q$1157:Q1263,"&gt;0")</f>
        <v>0</v>
      </c>
      <c r="L1263" s="292" t="str">
        <f aca="false">"Стёкла серии Elephant"&amp;" · "&amp;'Стёкла серии Elephant'!$N$399</f>
        <v>Стёкла серии Elephant · Elephant</v>
      </c>
      <c r="M1263" s="292" t="str">
        <f aca="false">IF(ISBLANK('Стёкла серии Elephant'!$O$399),"",'Стёкла серии Elephant'!$O$399)</f>
        <v>G1</v>
      </c>
      <c r="N1263" s="292" t="str">
        <f aca="false">""</f>
        <v/>
      </c>
      <c r="O1263" s="292" t="str">
        <f aca="false">""</f>
        <v/>
      </c>
      <c r="P1263" s="292" t="str">
        <f aca="false">IF(ISBLANK('Стёкла серии Elephant'!$P$399),"",'Стёкла серии Elephant'!$P$399)</f>
        <v>шт.</v>
      </c>
      <c r="Q1263" s="292" t="n">
        <f aca="false">N('Стёкла серии Elephant'!$R$399)</f>
        <v>0</v>
      </c>
      <c r="R1263" s="299" t="n">
        <f aca="false">IF(ISBLANK('Стёкла серии Elephant'!$Q$399),"",'Стёкла серии Elephant'!$Q$399)</f>
        <v>122.32</v>
      </c>
      <c r="S1263" s="292" t="str">
        <f aca="false">IF(ISBLANK('Стёкла серии Elephant'!$S$399),"",'Стёкла серии Elephant'!$S$399)</f>
        <v/>
      </c>
    </row>
    <row r="1264" customFormat="false" ht="66" hidden="false" customHeight="true" outlineLevel="0" collapsed="false">
      <c r="A1264" s="291" t="str">
        <f aca="true">IF(ISNUMBER($J1264),INDIRECT("L"&amp;($J1264+4)),"")</f>
        <v/>
      </c>
      <c r="B1264" s="291" t="str">
        <f aca="true">IF(ISNUMBER($J1264),INDIRECT("M"&amp;($J1264+4)),"")</f>
        <v/>
      </c>
      <c r="C1264" s="296" t="str">
        <f aca="true">IF(ISNUMBER($J1264),INDIRECT("N"&amp;($J1264+4)),"")</f>
        <v/>
      </c>
      <c r="D1264" s="291" t="str">
        <f aca="true">IF(ISNUMBER($J1264),INDIRECT("O"&amp;($J1264+4)),"")</f>
        <v/>
      </c>
      <c r="E1264" s="291" t="str">
        <f aca="true">IF(ISNUMBER($J1264),INDIRECT("P"&amp;($J1264+4)),"")</f>
        <v/>
      </c>
      <c r="F1264" s="300" t="str">
        <f aca="true">IF(ISNUMBER($J1264),INDIRECT("Q"&amp;($J1264+4)),"")</f>
        <v/>
      </c>
      <c r="G1264" s="298" t="str">
        <f aca="true">IF(ISNUMBER($J1264),INDIRECT("R"&amp;($J1264+4)),"")</f>
        <v/>
      </c>
      <c r="H1264" s="298" t="str">
        <f aca="true">IF(ISNUMBER($J1264),INDIRECT("S"&amp;($J1264+4)),"")</f>
        <v/>
      </c>
      <c r="J1264" s="292" t="str">
        <f aca="true">IF(1260&lt;=$K$1,MATCH(1259.5,INDIRECT("$K$4:$K$1374"),1),"")</f>
        <v/>
      </c>
      <c r="K1264" s="292" t="n">
        <f aca="false">$K$1156+COUNTIF($Q$1157:Q1264,"&gt;0")</f>
        <v>0</v>
      </c>
      <c r="L1264" s="292" t="str">
        <f aca="false">"Стёкла серии Elephant"&amp;" · "&amp;'Стёкла серии Elephant'!$N$400</f>
        <v>Стёкла серии Elephant · Elephant</v>
      </c>
      <c r="M1264" s="292" t="str">
        <f aca="false">IF(ISBLANK('Стёкла серии Elephant'!$O$400),"",'Стёкла серии Elephant'!$O$400)</f>
        <v>Enjoy10S/Y8P</v>
      </c>
      <c r="N1264" s="292" t="str">
        <f aca="false">""</f>
        <v/>
      </c>
      <c r="O1264" s="292" t="str">
        <f aca="false">""</f>
        <v/>
      </c>
      <c r="P1264" s="292" t="str">
        <f aca="false">IF(ISBLANK('Стёкла серии Elephant'!$P$400),"",'Стёкла серии Elephant'!$P$400)</f>
        <v>шт.</v>
      </c>
      <c r="Q1264" s="292" t="n">
        <f aca="false">N('Стёкла серии Elephant'!$R$400)</f>
        <v>0</v>
      </c>
      <c r="R1264" s="299" t="n">
        <f aca="false">IF(ISBLANK('Стёкла серии Elephant'!$Q$400),"",'Стёкла серии Elephant'!$Q$400)</f>
        <v>122.32</v>
      </c>
      <c r="S1264" s="292" t="str">
        <f aca="false">IF(ISBLANK('Стёкла серии Elephant'!$S$400),"",'Стёкла серии Elephant'!$S$400)</f>
        <v/>
      </c>
    </row>
    <row r="1265" customFormat="false" ht="66" hidden="false" customHeight="true" outlineLevel="0" collapsed="false">
      <c r="A1265" s="291" t="str">
        <f aca="true">IF(ISNUMBER($J1265),INDIRECT("L"&amp;($J1265+4)),"")</f>
        <v/>
      </c>
      <c r="B1265" s="291" t="str">
        <f aca="true">IF(ISNUMBER($J1265),INDIRECT("M"&amp;($J1265+4)),"")</f>
        <v/>
      </c>
      <c r="C1265" s="296" t="str">
        <f aca="true">IF(ISNUMBER($J1265),INDIRECT("N"&amp;($J1265+4)),"")</f>
        <v/>
      </c>
      <c r="D1265" s="291" t="str">
        <f aca="true">IF(ISNUMBER($J1265),INDIRECT("O"&amp;($J1265+4)),"")</f>
        <v/>
      </c>
      <c r="E1265" s="291" t="str">
        <f aca="true">IF(ISNUMBER($J1265),INDIRECT("P"&amp;($J1265+4)),"")</f>
        <v/>
      </c>
      <c r="F1265" s="300" t="str">
        <f aca="true">IF(ISNUMBER($J1265),INDIRECT("Q"&amp;($J1265+4)),"")</f>
        <v/>
      </c>
      <c r="G1265" s="298" t="str">
        <f aca="true">IF(ISNUMBER($J1265),INDIRECT("R"&amp;($J1265+4)),"")</f>
        <v/>
      </c>
      <c r="H1265" s="298" t="str">
        <f aca="true">IF(ISNUMBER($J1265),INDIRECT("S"&amp;($J1265+4)),"")</f>
        <v/>
      </c>
      <c r="J1265" s="292" t="str">
        <f aca="true">IF(1261&lt;=$K$1,MATCH(1260.5,INDIRECT("$K$4:$K$1374"),1),"")</f>
        <v/>
      </c>
      <c r="K1265" s="292" t="n">
        <f aca="false">$K$1156+COUNTIF($Q$1157:Q1265,"&gt;0")</f>
        <v>0</v>
      </c>
      <c r="L1265" s="292" t="str">
        <f aca="false">"Стёкла серии Elephant"&amp;" · "&amp;'Стёкла серии Elephant'!$N$401</f>
        <v>Стёкла серии Elephant · Elephant</v>
      </c>
      <c r="M1265" s="292" t="str">
        <f aca="false">IF(ISBLANK('Стёкла серии Elephant'!$O$401),"",'Стёкла серии Elephant'!$O$401)</f>
        <v>Mi 9/9 Explore edition</v>
      </c>
      <c r="N1265" s="292" t="str">
        <f aca="false">""</f>
        <v/>
      </c>
      <c r="O1265" s="292" t="str">
        <f aca="false">""</f>
        <v/>
      </c>
      <c r="P1265" s="292" t="str">
        <f aca="false">IF(ISBLANK('Стёкла серии Elephant'!$P$401),"",'Стёкла серии Elephant'!$P$401)</f>
        <v>шт.</v>
      </c>
      <c r="Q1265" s="292" t="n">
        <f aca="false">N('Стёкла серии Elephant'!$R$401)</f>
        <v>0</v>
      </c>
      <c r="R1265" s="299" t="n">
        <f aca="false">IF(ISBLANK('Стёкла серии Elephant'!$Q$401),"",'Стёкла серии Elephant'!$Q$401)</f>
        <v>122.32</v>
      </c>
      <c r="S1265" s="292" t="str">
        <f aca="false">IF(ISBLANK('Стёкла серии Elephant'!$S$401),"",'Стёкла серии Elephant'!$S$401)</f>
        <v/>
      </c>
    </row>
    <row r="1266" customFormat="false" ht="66" hidden="false" customHeight="true" outlineLevel="0" collapsed="false">
      <c r="A1266" s="291" t="str">
        <f aca="true">IF(ISNUMBER($J1266),INDIRECT("L"&amp;($J1266+4)),"")</f>
        <v/>
      </c>
      <c r="B1266" s="291" t="str">
        <f aca="true">IF(ISNUMBER($J1266),INDIRECT("M"&amp;($J1266+4)),"")</f>
        <v/>
      </c>
      <c r="C1266" s="296" t="str">
        <f aca="true">IF(ISNUMBER($J1266),INDIRECT("N"&amp;($J1266+4)),"")</f>
        <v/>
      </c>
      <c r="D1266" s="291" t="str">
        <f aca="true">IF(ISNUMBER($J1266),INDIRECT("O"&amp;($J1266+4)),"")</f>
        <v/>
      </c>
      <c r="E1266" s="291" t="str">
        <f aca="true">IF(ISNUMBER($J1266),INDIRECT("P"&amp;($J1266+4)),"")</f>
        <v/>
      </c>
      <c r="F1266" s="300" t="str">
        <f aca="true">IF(ISNUMBER($J1266),INDIRECT("Q"&amp;($J1266+4)),"")</f>
        <v/>
      </c>
      <c r="G1266" s="298" t="str">
        <f aca="true">IF(ISNUMBER($J1266),INDIRECT("R"&amp;($J1266+4)),"")</f>
        <v/>
      </c>
      <c r="H1266" s="298" t="str">
        <f aca="true">IF(ISNUMBER($J1266),INDIRECT("S"&amp;($J1266+4)),"")</f>
        <v/>
      </c>
      <c r="J1266" s="292" t="str">
        <f aca="true">IF(1262&lt;=$K$1,MATCH(1261.5,INDIRECT("$K$4:$K$1374"),1),"")</f>
        <v/>
      </c>
      <c r="K1266" s="292" t="n">
        <f aca="false">$K$1156+COUNTIF($Q$1157:Q1266,"&gt;0")</f>
        <v>0</v>
      </c>
      <c r="L1266" s="292" t="str">
        <f aca="false">"Стёкла серии Elephant"&amp;" · "&amp;'Стёкла серии Elephant'!$N$402</f>
        <v>Стёкла серии Elephant · Elephant</v>
      </c>
      <c r="M1266" s="292" t="str">
        <f aca="false">IF(ISBLANK('Стёкла серии Elephant'!$O$402),"",'Стёкла серии Elephant'!$O$402)</f>
        <v>M31</v>
      </c>
      <c r="N1266" s="292" t="str">
        <f aca="false">""</f>
        <v/>
      </c>
      <c r="O1266" s="292" t="str">
        <f aca="false">""</f>
        <v/>
      </c>
      <c r="P1266" s="292" t="str">
        <f aca="false">IF(ISBLANK('Стёкла серии Elephant'!$P$402),"",'Стёкла серии Elephant'!$P$402)</f>
        <v>шт.</v>
      </c>
      <c r="Q1266" s="292" t="n">
        <f aca="false">N('Стёкла серии Elephant'!$R$402)</f>
        <v>0</v>
      </c>
      <c r="R1266" s="299" t="n">
        <f aca="false">IF(ISBLANK('Стёкла серии Elephant'!$Q$402),"",'Стёкла серии Elephant'!$Q$402)</f>
        <v>122.32</v>
      </c>
      <c r="S1266" s="292" t="str">
        <f aca="false">IF(ISBLANK('Стёкла серии Elephant'!$S$402),"",'Стёкла серии Elephant'!$S$402)</f>
        <v/>
      </c>
    </row>
    <row r="1267" customFormat="false" ht="66" hidden="false" customHeight="true" outlineLevel="0" collapsed="false">
      <c r="A1267" s="291" t="str">
        <f aca="true">IF(ISNUMBER($J1267),INDIRECT("L"&amp;($J1267+4)),"")</f>
        <v/>
      </c>
      <c r="B1267" s="291" t="str">
        <f aca="true">IF(ISNUMBER($J1267),INDIRECT("M"&amp;($J1267+4)),"")</f>
        <v/>
      </c>
      <c r="C1267" s="296" t="str">
        <f aca="true">IF(ISNUMBER($J1267),INDIRECT("N"&amp;($J1267+4)),"")</f>
        <v/>
      </c>
      <c r="D1267" s="291" t="str">
        <f aca="true">IF(ISNUMBER($J1267),INDIRECT("O"&amp;($J1267+4)),"")</f>
        <v/>
      </c>
      <c r="E1267" s="291" t="str">
        <f aca="true">IF(ISNUMBER($J1267),INDIRECT("P"&amp;($J1267+4)),"")</f>
        <v/>
      </c>
      <c r="F1267" s="300" t="str">
        <f aca="true">IF(ISNUMBER($J1267),INDIRECT("Q"&amp;($J1267+4)),"")</f>
        <v/>
      </c>
      <c r="G1267" s="298" t="str">
        <f aca="true">IF(ISNUMBER($J1267),INDIRECT("R"&amp;($J1267+4)),"")</f>
        <v/>
      </c>
      <c r="H1267" s="298" t="str">
        <f aca="true">IF(ISNUMBER($J1267),INDIRECT("S"&amp;($J1267+4)),"")</f>
        <v/>
      </c>
      <c r="J1267" s="292" t="str">
        <f aca="true">IF(1263&lt;=$K$1,MATCH(1262.5,INDIRECT("$K$4:$K$1374"),1),"")</f>
        <v/>
      </c>
      <c r="K1267" s="292" t="n">
        <f aca="false">$K$1156+COUNTIF($Q$1157:Q1267,"&gt;0")</f>
        <v>0</v>
      </c>
      <c r="L1267" s="292" t="str">
        <f aca="false">"Стёкла серии Elephant"&amp;" · "&amp;'Стёкла серии Elephant'!$N$403</f>
        <v>Стёкла серии Elephant · Elephant</v>
      </c>
      <c r="M1267" s="292" t="str">
        <f aca="false">IF(ISBLANK('Стёкла серии Elephant'!$O$403),"",'Стёкла серии Elephant'!$O$403)</f>
        <v>Reno (5G)</v>
      </c>
      <c r="N1267" s="292" t="str">
        <f aca="false">""</f>
        <v/>
      </c>
      <c r="O1267" s="292" t="str">
        <f aca="false">""</f>
        <v/>
      </c>
      <c r="P1267" s="292" t="str">
        <f aca="false">IF(ISBLANK('Стёкла серии Elephant'!$P$403),"",'Стёкла серии Elephant'!$P$403)</f>
        <v>шт.</v>
      </c>
      <c r="Q1267" s="292" t="n">
        <f aca="false">N('Стёкла серии Elephant'!$R$403)</f>
        <v>0</v>
      </c>
      <c r="R1267" s="299" t="n">
        <f aca="false">IF(ISBLANK('Стёкла серии Elephant'!$Q$403),"",'Стёкла серии Elephant'!$Q$403)</f>
        <v>122.32</v>
      </c>
      <c r="S1267" s="292" t="str">
        <f aca="false">IF(ISBLANK('Стёкла серии Elephant'!$S$403),"",'Стёкла серии Elephant'!$S$403)</f>
        <v/>
      </c>
    </row>
    <row r="1268" customFormat="false" ht="66" hidden="false" customHeight="true" outlineLevel="0" collapsed="false">
      <c r="A1268" s="291" t="str">
        <f aca="true">IF(ISNUMBER($J1268),INDIRECT("L"&amp;($J1268+4)),"")</f>
        <v/>
      </c>
      <c r="B1268" s="291" t="str">
        <f aca="true">IF(ISNUMBER($J1268),INDIRECT("M"&amp;($J1268+4)),"")</f>
        <v/>
      </c>
      <c r="C1268" s="296" t="str">
        <f aca="true">IF(ISNUMBER($J1268),INDIRECT("N"&amp;($J1268+4)),"")</f>
        <v/>
      </c>
      <c r="D1268" s="291" t="str">
        <f aca="true">IF(ISNUMBER($J1268),INDIRECT("O"&amp;($J1268+4)),"")</f>
        <v/>
      </c>
      <c r="E1268" s="291" t="str">
        <f aca="true">IF(ISNUMBER($J1268),INDIRECT("P"&amp;($J1268+4)),"")</f>
        <v/>
      </c>
      <c r="F1268" s="300" t="str">
        <f aca="true">IF(ISNUMBER($J1268),INDIRECT("Q"&amp;($J1268+4)),"")</f>
        <v/>
      </c>
      <c r="G1268" s="298" t="str">
        <f aca="true">IF(ISNUMBER($J1268),INDIRECT("R"&amp;($J1268+4)),"")</f>
        <v/>
      </c>
      <c r="H1268" s="298" t="str">
        <f aca="true">IF(ISNUMBER($J1268),INDIRECT("S"&amp;($J1268+4)),"")</f>
        <v/>
      </c>
      <c r="J1268" s="292" t="str">
        <f aca="true">IF(1264&lt;=$K$1,MATCH(1263.5,INDIRECT("$K$4:$K$1374"),1),"")</f>
        <v/>
      </c>
      <c r="K1268" s="292" t="n">
        <f aca="false">$K$1156+COUNTIF($Q$1157:Q1268,"&gt;0")</f>
        <v>0</v>
      </c>
      <c r="L1268" s="292" t="str">
        <f aca="false">"Стёкла серии Elephant"&amp;" · "&amp;'Стёкла серии Elephant'!$N$404</f>
        <v>Стёкла серии Elephant · Elephant</v>
      </c>
      <c r="M1268" s="292" t="str">
        <f aca="false">IF(ISBLANK('Стёкла серии Elephant'!$O$404),"",'Стёкла серии Elephant'!$O$404)</f>
        <v>REALME X7/REALME V15 5G</v>
      </c>
      <c r="N1268" s="292" t="str">
        <f aca="false">""</f>
        <v/>
      </c>
      <c r="O1268" s="292" t="str">
        <f aca="false">""</f>
        <v/>
      </c>
      <c r="P1268" s="292" t="str">
        <f aca="false">IF(ISBLANK('Стёкла серии Elephant'!$P$404),"",'Стёкла серии Elephant'!$P$404)</f>
        <v>шт.</v>
      </c>
      <c r="Q1268" s="292" t="n">
        <f aca="false">N('Стёкла серии Elephant'!$R$404)</f>
        <v>0</v>
      </c>
      <c r="R1268" s="299" t="n">
        <f aca="false">IF(ISBLANK('Стёкла серии Elephant'!$Q$404),"",'Стёкла серии Elephant'!$Q$404)</f>
        <v>122.32</v>
      </c>
      <c r="S1268" s="292" t="str">
        <f aca="false">IF(ISBLANK('Стёкла серии Elephant'!$S$404),"",'Стёкла серии Elephant'!$S$404)</f>
        <v/>
      </c>
    </row>
    <row r="1269" customFormat="false" ht="66" hidden="false" customHeight="true" outlineLevel="0" collapsed="false">
      <c r="A1269" s="291" t="str">
        <f aca="true">IF(ISNUMBER($J1269),INDIRECT("L"&amp;($J1269+4)),"")</f>
        <v/>
      </c>
      <c r="B1269" s="291" t="str">
        <f aca="true">IF(ISNUMBER($J1269),INDIRECT("M"&amp;($J1269+4)),"")</f>
        <v/>
      </c>
      <c r="C1269" s="296" t="str">
        <f aca="true">IF(ISNUMBER($J1269),INDIRECT("N"&amp;($J1269+4)),"")</f>
        <v/>
      </c>
      <c r="D1269" s="291" t="str">
        <f aca="true">IF(ISNUMBER($J1269),INDIRECT("O"&amp;($J1269+4)),"")</f>
        <v/>
      </c>
      <c r="E1269" s="291" t="str">
        <f aca="true">IF(ISNUMBER($J1269),INDIRECT("P"&amp;($J1269+4)),"")</f>
        <v/>
      </c>
      <c r="F1269" s="300" t="str">
        <f aca="true">IF(ISNUMBER($J1269),INDIRECT("Q"&amp;($J1269+4)),"")</f>
        <v/>
      </c>
      <c r="G1269" s="298" t="str">
        <f aca="true">IF(ISNUMBER($J1269),INDIRECT("R"&amp;($J1269+4)),"")</f>
        <v/>
      </c>
      <c r="H1269" s="298" t="str">
        <f aca="true">IF(ISNUMBER($J1269),INDIRECT("S"&amp;($J1269+4)),"")</f>
        <v/>
      </c>
      <c r="J1269" s="292" t="str">
        <f aca="true">IF(1265&lt;=$K$1,MATCH(1264.5,INDIRECT("$K$4:$K$1374"),1),"")</f>
        <v/>
      </c>
      <c r="K1269" s="292" t="n">
        <f aca="false">$K$1156+COUNTIF($Q$1157:Q1269,"&gt;0")</f>
        <v>0</v>
      </c>
      <c r="L1269" s="292" t="str">
        <f aca="false">"Стёкла серии Elephant"&amp;" · "&amp;'Стёкла серии Elephant'!$N$405</f>
        <v>Стёкла серии Elephant · Elephant</v>
      </c>
      <c r="M1269" s="292" t="str">
        <f aca="false">IF(ISBLANK('Стёкла серии Elephant'!$O$405),"",'Стёкла серии Elephant'!$O$405)</f>
        <v>Z6</v>
      </c>
      <c r="N1269" s="292" t="str">
        <f aca="false">""</f>
        <v/>
      </c>
      <c r="O1269" s="292" t="str">
        <f aca="false">""</f>
        <v/>
      </c>
      <c r="P1269" s="292" t="str">
        <f aca="false">IF(ISBLANK('Стёкла серии Elephant'!$P$405),"",'Стёкла серии Elephant'!$P$405)</f>
        <v>шт.</v>
      </c>
      <c r="Q1269" s="292" t="n">
        <f aca="false">N('Стёкла серии Elephant'!$R$405)</f>
        <v>0</v>
      </c>
      <c r="R1269" s="299" t="n">
        <f aca="false">IF(ISBLANK('Стёкла серии Elephant'!$Q$405),"",'Стёкла серии Elephant'!$Q$405)</f>
        <v>122.32</v>
      </c>
      <c r="S1269" s="292" t="str">
        <f aca="false">IF(ISBLANK('Стёкла серии Elephant'!$S$405),"",'Стёкла серии Elephant'!$S$405)</f>
        <v/>
      </c>
    </row>
    <row r="1270" customFormat="false" ht="66" hidden="false" customHeight="true" outlineLevel="0" collapsed="false">
      <c r="A1270" s="291" t="str">
        <f aca="true">IF(ISNUMBER($J1270),INDIRECT("L"&amp;($J1270+4)),"")</f>
        <v/>
      </c>
      <c r="B1270" s="291" t="str">
        <f aca="true">IF(ISNUMBER($J1270),INDIRECT("M"&amp;($J1270+4)),"")</f>
        <v/>
      </c>
      <c r="C1270" s="296" t="str">
        <f aca="true">IF(ISNUMBER($J1270),INDIRECT("N"&amp;($J1270+4)),"")</f>
        <v/>
      </c>
      <c r="D1270" s="291" t="str">
        <f aca="true">IF(ISNUMBER($J1270),INDIRECT("O"&amp;($J1270+4)),"")</f>
        <v/>
      </c>
      <c r="E1270" s="291" t="str">
        <f aca="true">IF(ISNUMBER($J1270),INDIRECT("P"&amp;($J1270+4)),"")</f>
        <v/>
      </c>
      <c r="F1270" s="300" t="str">
        <f aca="true">IF(ISNUMBER($J1270),INDIRECT("Q"&amp;($J1270+4)),"")</f>
        <v/>
      </c>
      <c r="G1270" s="298" t="str">
        <f aca="true">IF(ISNUMBER($J1270),INDIRECT("R"&amp;($J1270+4)),"")</f>
        <v/>
      </c>
      <c r="H1270" s="298" t="str">
        <f aca="true">IF(ISNUMBER($J1270),INDIRECT("S"&amp;($J1270+4)),"")</f>
        <v/>
      </c>
      <c r="J1270" s="292" t="str">
        <f aca="true">IF(1266&lt;=$K$1,MATCH(1265.5,INDIRECT("$K$4:$K$1374"),1),"")</f>
        <v/>
      </c>
      <c r="K1270" s="292" t="n">
        <f aca="false">$K$1156+COUNTIF($Q$1157:Q1270,"&gt;0")</f>
        <v>0</v>
      </c>
      <c r="L1270" s="292" t="str">
        <f aca="false">"Стёкла серии Elephant"&amp;" · "&amp;'Стёкла серии Elephant'!$N$406</f>
        <v>Стёкла серии Elephant · Elephant</v>
      </c>
      <c r="M1270" s="292" t="str">
        <f aca="false">IF(ISBLANK('Стёкла серии Elephant'!$O$406),"",'Стёкла серии Elephant'!$O$406)</f>
        <v>REALME X7 PRO</v>
      </c>
      <c r="N1270" s="292" t="str">
        <f aca="false">""</f>
        <v/>
      </c>
      <c r="O1270" s="292" t="str">
        <f aca="false">""</f>
        <v/>
      </c>
      <c r="P1270" s="292" t="str">
        <f aca="false">IF(ISBLANK('Стёкла серии Elephant'!$P$406),"",'Стёкла серии Elephant'!$P$406)</f>
        <v>шт.</v>
      </c>
      <c r="Q1270" s="292" t="n">
        <f aca="false">N('Стёкла серии Elephant'!$R$406)</f>
        <v>0</v>
      </c>
      <c r="R1270" s="299" t="n">
        <f aca="false">IF(ISBLANK('Стёкла серии Elephant'!$Q$406),"",'Стёкла серии Elephant'!$Q$406)</f>
        <v>122.32</v>
      </c>
      <c r="S1270" s="292" t="str">
        <f aca="false">IF(ISBLANK('Стёкла серии Elephant'!$S$406),"",'Стёкла серии Elephant'!$S$406)</f>
        <v/>
      </c>
    </row>
    <row r="1271" customFormat="false" ht="66" hidden="false" customHeight="true" outlineLevel="0" collapsed="false">
      <c r="A1271" s="291" t="str">
        <f aca="true">IF(ISNUMBER($J1271),INDIRECT("L"&amp;($J1271+4)),"")</f>
        <v/>
      </c>
      <c r="B1271" s="291" t="str">
        <f aca="true">IF(ISNUMBER($J1271),INDIRECT("M"&amp;($J1271+4)),"")</f>
        <v/>
      </c>
      <c r="C1271" s="296" t="str">
        <f aca="true">IF(ISNUMBER($J1271),INDIRECT("N"&amp;($J1271+4)),"")</f>
        <v/>
      </c>
      <c r="D1271" s="291" t="str">
        <f aca="true">IF(ISNUMBER($J1271),INDIRECT("O"&amp;($J1271+4)),"")</f>
        <v/>
      </c>
      <c r="E1271" s="291" t="str">
        <f aca="true">IF(ISNUMBER($J1271),INDIRECT("P"&amp;($J1271+4)),"")</f>
        <v/>
      </c>
      <c r="F1271" s="300" t="str">
        <f aca="true">IF(ISNUMBER($J1271),INDIRECT("Q"&amp;($J1271+4)),"")</f>
        <v/>
      </c>
      <c r="G1271" s="298" t="str">
        <f aca="true">IF(ISNUMBER($J1271),INDIRECT("R"&amp;($J1271+4)),"")</f>
        <v/>
      </c>
      <c r="H1271" s="298" t="str">
        <f aca="true">IF(ISNUMBER($J1271),INDIRECT("S"&amp;($J1271+4)),"")</f>
        <v/>
      </c>
      <c r="J1271" s="292" t="str">
        <f aca="true">IF(1267&lt;=$K$1,MATCH(1266.5,INDIRECT("$K$4:$K$1374"),1),"")</f>
        <v/>
      </c>
      <c r="K1271" s="292" t="n">
        <f aca="false">$K$1156+COUNTIF($Q$1157:Q1271,"&gt;0")</f>
        <v>0</v>
      </c>
      <c r="L1271" s="292" t="str">
        <f aca="false">"Стёкла серии Elephant"&amp;" · "&amp;'Стёкла серии Elephant'!$N$407</f>
        <v>Стёкла серии Elephant · Elephant</v>
      </c>
      <c r="M1271" s="292" t="str">
        <f aca="false">IF(ISBLANK('Стёкла серии Elephant'!$O$407),"",'Стёкла серии Elephant'!$O$407)</f>
        <v>REALME 8 4G/REALME 8 PRO</v>
      </c>
      <c r="N1271" s="292" t="str">
        <f aca="false">""</f>
        <v/>
      </c>
      <c r="O1271" s="292" t="str">
        <f aca="false">""</f>
        <v/>
      </c>
      <c r="P1271" s="292" t="str">
        <f aca="false">IF(ISBLANK('Стёкла серии Elephant'!$P$407),"",'Стёкла серии Elephant'!$P$407)</f>
        <v>шт.</v>
      </c>
      <c r="Q1271" s="292" t="n">
        <f aca="false">N('Стёкла серии Elephant'!$R$407)</f>
        <v>0</v>
      </c>
      <c r="R1271" s="299" t="n">
        <f aca="false">IF(ISBLANK('Стёкла серии Elephant'!$Q$407),"",'Стёкла серии Elephant'!$Q$407)</f>
        <v>122.32</v>
      </c>
      <c r="S1271" s="292" t="str">
        <f aca="false">IF(ISBLANK('Стёкла серии Elephant'!$S$407),"",'Стёкла серии Elephant'!$S$407)</f>
        <v/>
      </c>
    </row>
    <row r="1272" customFormat="false" ht="66" hidden="false" customHeight="true" outlineLevel="0" collapsed="false">
      <c r="A1272" s="291" t="str">
        <f aca="true">IF(ISNUMBER($J1272),INDIRECT("L"&amp;($J1272+4)),"")</f>
        <v/>
      </c>
      <c r="B1272" s="291" t="str">
        <f aca="true">IF(ISNUMBER($J1272),INDIRECT("M"&amp;($J1272+4)),"")</f>
        <v/>
      </c>
      <c r="C1272" s="296" t="str">
        <f aca="true">IF(ISNUMBER($J1272),INDIRECT("N"&amp;($J1272+4)),"")</f>
        <v/>
      </c>
      <c r="D1272" s="291" t="str">
        <f aca="true">IF(ISNUMBER($J1272),INDIRECT("O"&amp;($J1272+4)),"")</f>
        <v/>
      </c>
      <c r="E1272" s="291" t="str">
        <f aca="true">IF(ISNUMBER($J1272),INDIRECT("P"&amp;($J1272+4)),"")</f>
        <v/>
      </c>
      <c r="F1272" s="300" t="str">
        <f aca="true">IF(ISNUMBER($J1272),INDIRECT("Q"&amp;($J1272+4)),"")</f>
        <v/>
      </c>
      <c r="G1272" s="298" t="str">
        <f aca="true">IF(ISNUMBER($J1272),INDIRECT("R"&amp;($J1272+4)),"")</f>
        <v/>
      </c>
      <c r="H1272" s="298" t="str">
        <f aca="true">IF(ISNUMBER($J1272),INDIRECT("S"&amp;($J1272+4)),"")</f>
        <v/>
      </c>
      <c r="J1272" s="292" t="str">
        <f aca="true">IF(1268&lt;=$K$1,MATCH(1267.5,INDIRECT("$K$4:$K$1374"),1),"")</f>
        <v/>
      </c>
      <c r="K1272" s="292" t="n">
        <f aca="false">$K$1156+COUNTIF($Q$1157:Q1272,"&gt;0")</f>
        <v>0</v>
      </c>
      <c r="L1272" s="292" t="str">
        <f aca="false">"Стёкла BF5, BF4, BF3"&amp;" · "&amp;'Стёкла BF5, BF4, BF3'!$J$4</f>
        <v>Стёкла BF5, BF4, BF3 · BF5</v>
      </c>
      <c r="M1272" s="292" t="str">
        <f aca="false">IF(ISBLANK('Стёкла BF5, BF4, BF3'!$K$4),"",'Стёкла BF5, BF4, BF3'!$K$4)</f>
        <v>iP X/Xs/11 Pro чёрный</v>
      </c>
      <c r="N1272" s="292" t="str">
        <f aca="false">""</f>
        <v/>
      </c>
      <c r="O1272" s="292" t="str">
        <f aca="false">""</f>
        <v/>
      </c>
      <c r="P1272" s="292" t="str">
        <f aca="false">IF(ISBLANK('Стёкла BF5, BF4, BF3'!$L$4),"",'Стёкла BF5, BF4, BF3'!$L$4)</f>
        <v>шт.</v>
      </c>
      <c r="Q1272" s="292" t="n">
        <f aca="false">N('Стёкла BF5, BF4, BF3'!$N$4)</f>
        <v>0</v>
      </c>
      <c r="R1272" s="299" t="n">
        <f aca="false">IF(ISBLANK('Стёкла BF5, BF4, BF3'!$M$4),"",'Стёкла BF5, BF4, BF3'!$M$4)</f>
        <v>81.55</v>
      </c>
      <c r="S1272" s="292" t="str">
        <f aca="false">IF(ISBLANK('Стёкла BF5, BF4, BF3'!$O$4),"",'Стёкла BF5, BF4, BF3'!$O$4)</f>
        <v/>
      </c>
    </row>
    <row r="1273" customFormat="false" ht="66" hidden="false" customHeight="true" outlineLevel="0" collapsed="false">
      <c r="A1273" s="291" t="str">
        <f aca="true">IF(ISNUMBER($J1273),INDIRECT("L"&amp;($J1273+4)),"")</f>
        <v/>
      </c>
      <c r="B1273" s="291" t="str">
        <f aca="true">IF(ISNUMBER($J1273),INDIRECT("M"&amp;($J1273+4)),"")</f>
        <v/>
      </c>
      <c r="C1273" s="296" t="str">
        <f aca="true">IF(ISNUMBER($J1273),INDIRECT("N"&amp;($J1273+4)),"")</f>
        <v/>
      </c>
      <c r="D1273" s="291" t="str">
        <f aca="true">IF(ISNUMBER($J1273),INDIRECT("O"&amp;($J1273+4)),"")</f>
        <v/>
      </c>
      <c r="E1273" s="291" t="str">
        <f aca="true">IF(ISNUMBER($J1273),INDIRECT("P"&amp;($J1273+4)),"")</f>
        <v/>
      </c>
      <c r="F1273" s="300" t="str">
        <f aca="true">IF(ISNUMBER($J1273),INDIRECT("Q"&amp;($J1273+4)),"")</f>
        <v/>
      </c>
      <c r="G1273" s="298" t="str">
        <f aca="true">IF(ISNUMBER($J1273),INDIRECT("R"&amp;($J1273+4)),"")</f>
        <v/>
      </c>
      <c r="H1273" s="298" t="str">
        <f aca="true">IF(ISNUMBER($J1273),INDIRECT("S"&amp;($J1273+4)),"")</f>
        <v/>
      </c>
      <c r="J1273" s="292" t="str">
        <f aca="true">IF(1269&lt;=$K$1,MATCH(1268.5,INDIRECT("$K$4:$K$1374"),1),"")</f>
        <v/>
      </c>
      <c r="K1273" s="292" t="n">
        <f aca="false">$K$1156+COUNTIF($Q$1157:Q1273,"&gt;0")</f>
        <v>0</v>
      </c>
      <c r="L1273" s="292" t="str">
        <f aca="false">"Стёкла BF5, BF4, BF3"&amp;" · "&amp;'Стёкла BF5, BF4, BF3'!$J$5</f>
        <v>Стёкла BF5, BF4, BF3 · BF5</v>
      </c>
      <c r="M1273" s="292" t="str">
        <f aca="false">IF(ISBLANK('Стёкла BF5, BF4, BF3'!$K$5),"",'Стёкла BF5, BF4, BF3'!$K$5)</f>
        <v>iP13 mini чёрный</v>
      </c>
      <c r="N1273" s="292" t="str">
        <f aca="false">""</f>
        <v/>
      </c>
      <c r="O1273" s="292" t="str">
        <f aca="false">""</f>
        <v/>
      </c>
      <c r="P1273" s="292" t="str">
        <f aca="false">IF(ISBLANK('Стёкла BF5, BF4, BF3'!$L$5),"",'Стёкла BF5, BF4, BF3'!$L$5)</f>
        <v>шт.</v>
      </c>
      <c r="Q1273" s="292" t="n">
        <f aca="false">N('Стёкла BF5, BF4, BF3'!$N$5)</f>
        <v>0</v>
      </c>
      <c r="R1273" s="299" t="n">
        <f aca="false">IF(ISBLANK('Стёкла BF5, BF4, BF3'!$M$5),"",'Стёкла BF5, BF4, BF3'!$M$5)</f>
        <v>81.55</v>
      </c>
      <c r="S1273" s="292" t="str">
        <f aca="false">IF(ISBLANK('Стёкла BF5, BF4, BF3'!$O$5),"",'Стёкла BF5, BF4, BF3'!$O$5)</f>
        <v/>
      </c>
    </row>
    <row r="1274" customFormat="false" ht="66" hidden="false" customHeight="true" outlineLevel="0" collapsed="false">
      <c r="A1274" s="291" t="str">
        <f aca="true">IF(ISNUMBER($J1274),INDIRECT("L"&amp;($J1274+4)),"")</f>
        <v/>
      </c>
      <c r="B1274" s="291" t="str">
        <f aca="true">IF(ISNUMBER($J1274),INDIRECT("M"&amp;($J1274+4)),"")</f>
        <v/>
      </c>
      <c r="C1274" s="296" t="str">
        <f aca="true">IF(ISNUMBER($J1274),INDIRECT("N"&amp;($J1274+4)),"")</f>
        <v/>
      </c>
      <c r="D1274" s="291" t="str">
        <f aca="true">IF(ISNUMBER($J1274),INDIRECT("O"&amp;($J1274+4)),"")</f>
        <v/>
      </c>
      <c r="E1274" s="291" t="str">
        <f aca="true">IF(ISNUMBER($J1274),INDIRECT("P"&amp;($J1274+4)),"")</f>
        <v/>
      </c>
      <c r="F1274" s="300" t="str">
        <f aca="true">IF(ISNUMBER($J1274),INDIRECT("Q"&amp;($J1274+4)),"")</f>
        <v/>
      </c>
      <c r="G1274" s="298" t="str">
        <f aca="true">IF(ISNUMBER($J1274),INDIRECT("R"&amp;($J1274+4)),"")</f>
        <v/>
      </c>
      <c r="H1274" s="298" t="str">
        <f aca="true">IF(ISNUMBER($J1274),INDIRECT("S"&amp;($J1274+4)),"")</f>
        <v/>
      </c>
      <c r="J1274" s="292" t="str">
        <f aca="true">IF(1270&lt;=$K$1,MATCH(1269.5,INDIRECT("$K$4:$K$1374"),1),"")</f>
        <v/>
      </c>
      <c r="K1274" s="292" t="n">
        <f aca="false">$K$1156+COUNTIF($Q$1157:Q1274,"&gt;0")</f>
        <v>0</v>
      </c>
      <c r="L1274" s="292" t="str">
        <f aca="false">"Стёкла BF5, BF4, BF3"&amp;" · "&amp;'Стёкла BF5, BF4, BF3'!$J$6</f>
        <v>Стёкла BF5, BF4, BF3 · BF5</v>
      </c>
      <c r="M1274" s="292" t="str">
        <f aca="false">IF(ISBLANK('Стёкла BF5, BF4, BF3'!$K$6),"",'Стёкла BF5, BF4, BF3'!$K$6)</f>
        <v>iP 14 6.1</v>
      </c>
      <c r="N1274" s="292" t="str">
        <f aca="false">""</f>
        <v/>
      </c>
      <c r="O1274" s="292" t="str">
        <f aca="false">""</f>
        <v/>
      </c>
      <c r="P1274" s="292" t="str">
        <f aca="false">IF(ISBLANK('Стёкла BF5, BF4, BF3'!$L$6),"",'Стёкла BF5, BF4, BF3'!$L$6)</f>
        <v>шт.</v>
      </c>
      <c r="Q1274" s="292" t="n">
        <f aca="false">N('Стёкла BF5, BF4, BF3'!$N$6)</f>
        <v>0</v>
      </c>
      <c r="R1274" s="299" t="n">
        <f aca="false">IF(ISBLANK('Стёкла BF5, BF4, BF3'!$M$6),"",'Стёкла BF5, BF4, BF3'!$M$6)</f>
        <v>81.55</v>
      </c>
      <c r="S1274" s="292" t="str">
        <f aca="false">IF(ISBLANK('Стёкла BF5, BF4, BF3'!$O$6),"",'Стёкла BF5, BF4, BF3'!$O$6)</f>
        <v/>
      </c>
    </row>
    <row r="1275" customFormat="false" ht="66" hidden="false" customHeight="true" outlineLevel="0" collapsed="false">
      <c r="A1275" s="291" t="str">
        <f aca="true">IF(ISNUMBER($J1275),INDIRECT("L"&amp;($J1275+4)),"")</f>
        <v/>
      </c>
      <c r="B1275" s="291" t="str">
        <f aca="true">IF(ISNUMBER($J1275),INDIRECT("M"&amp;($J1275+4)),"")</f>
        <v/>
      </c>
      <c r="C1275" s="296" t="str">
        <f aca="true">IF(ISNUMBER($J1275),INDIRECT("N"&amp;($J1275+4)),"")</f>
        <v/>
      </c>
      <c r="D1275" s="291" t="str">
        <f aca="true">IF(ISNUMBER($J1275),INDIRECT("O"&amp;($J1275+4)),"")</f>
        <v/>
      </c>
      <c r="E1275" s="291" t="str">
        <f aca="true">IF(ISNUMBER($J1275),INDIRECT("P"&amp;($J1275+4)),"")</f>
        <v/>
      </c>
      <c r="F1275" s="300" t="str">
        <f aca="true">IF(ISNUMBER($J1275),INDIRECT("Q"&amp;($J1275+4)),"")</f>
        <v/>
      </c>
      <c r="G1275" s="298" t="str">
        <f aca="true">IF(ISNUMBER($J1275),INDIRECT("R"&amp;($J1275+4)),"")</f>
        <v/>
      </c>
      <c r="H1275" s="298" t="str">
        <f aca="true">IF(ISNUMBER($J1275),INDIRECT("S"&amp;($J1275+4)),"")</f>
        <v/>
      </c>
      <c r="J1275" s="292" t="str">
        <f aca="true">IF(1271&lt;=$K$1,MATCH(1270.5,INDIRECT("$K$4:$K$1374"),1),"")</f>
        <v/>
      </c>
      <c r="K1275" s="292" t="n">
        <f aca="false">$K$1156+COUNTIF($Q$1157:Q1275,"&gt;0")</f>
        <v>0</v>
      </c>
      <c r="L1275" s="292" t="str">
        <f aca="false">"Стёкла BF5, BF4, BF3"&amp;" · "&amp;'Стёкла BF5, BF4, BF3'!$J$7</f>
        <v>Стёкла BF5, BF4, BF3 · BF5</v>
      </c>
      <c r="M1275" s="292" t="str">
        <f aca="false">IF(ISBLANK('Стёкла BF5, BF4, BF3'!$K$7),"",'Стёкла BF5, BF4, BF3'!$K$7)</f>
        <v>iP16 / iP 15  6.1</v>
      </c>
      <c r="N1275" s="292" t="str">
        <f aca="false">""</f>
        <v/>
      </c>
      <c r="O1275" s="292" t="str">
        <f aca="false">""</f>
        <v/>
      </c>
      <c r="P1275" s="292" t="str">
        <f aca="false">IF(ISBLANK('Стёкла BF5, BF4, BF3'!$L$7),"",'Стёкла BF5, BF4, BF3'!$L$7)</f>
        <v>шт.</v>
      </c>
      <c r="Q1275" s="292" t="n">
        <f aca="false">N('Стёкла BF5, BF4, BF3'!$N$7)</f>
        <v>0</v>
      </c>
      <c r="R1275" s="299" t="n">
        <f aca="false">IF(ISBLANK('Стёкла BF5, BF4, BF3'!$M$7),"",'Стёкла BF5, BF4, BF3'!$M$7)</f>
        <v>81.55</v>
      </c>
      <c r="S1275" s="292" t="str">
        <f aca="false">IF(ISBLANK('Стёкла BF5, BF4, BF3'!$O$7),"",'Стёкла BF5, BF4, BF3'!$O$7)</f>
        <v/>
      </c>
    </row>
    <row r="1276" customFormat="false" ht="66" hidden="false" customHeight="true" outlineLevel="0" collapsed="false">
      <c r="A1276" s="291" t="str">
        <f aca="true">IF(ISNUMBER($J1276),INDIRECT("L"&amp;($J1276+4)),"")</f>
        <v/>
      </c>
      <c r="B1276" s="291" t="str">
        <f aca="true">IF(ISNUMBER($J1276),INDIRECT("M"&amp;($J1276+4)),"")</f>
        <v/>
      </c>
      <c r="C1276" s="296" t="str">
        <f aca="true">IF(ISNUMBER($J1276),INDIRECT("N"&amp;($J1276+4)),"")</f>
        <v/>
      </c>
      <c r="D1276" s="291" t="str">
        <f aca="true">IF(ISNUMBER($J1276),INDIRECT("O"&amp;($J1276+4)),"")</f>
        <v/>
      </c>
      <c r="E1276" s="291" t="str">
        <f aca="true">IF(ISNUMBER($J1276),INDIRECT("P"&amp;($J1276+4)),"")</f>
        <v/>
      </c>
      <c r="F1276" s="300" t="str">
        <f aca="true">IF(ISNUMBER($J1276),INDIRECT("Q"&amp;($J1276+4)),"")</f>
        <v/>
      </c>
      <c r="G1276" s="298" t="str">
        <f aca="true">IF(ISNUMBER($J1276),INDIRECT("R"&amp;($J1276+4)),"")</f>
        <v/>
      </c>
      <c r="H1276" s="298" t="str">
        <f aca="true">IF(ISNUMBER($J1276),INDIRECT("S"&amp;($J1276+4)),"")</f>
        <v/>
      </c>
      <c r="J1276" s="292" t="str">
        <f aca="true">IF(1272&lt;=$K$1,MATCH(1271.5,INDIRECT("$K$4:$K$1374"),1),"")</f>
        <v/>
      </c>
      <c r="K1276" s="292" t="n">
        <f aca="false">$K$1156+COUNTIF($Q$1157:Q1276,"&gt;0")</f>
        <v>0</v>
      </c>
      <c r="L1276" s="292" t="str">
        <f aca="false">"Стёкла BF5, BF4, BF3"&amp;" · "&amp;'Стёкла BF5, BF4, BF3'!$J$8</f>
        <v>Стёкла BF5, BF4, BF3 · BF5</v>
      </c>
      <c r="M1276" s="292" t="str">
        <f aca="false">IF(ISBLANK('Стёкла BF5, BF4, BF3'!$K$8),"",'Стёкла BF5, BF4, BF3'!$K$8)</f>
        <v>iP Xr/11 чёрный</v>
      </c>
      <c r="N1276" s="292" t="str">
        <f aca="false">""</f>
        <v/>
      </c>
      <c r="O1276" s="292" t="str">
        <f aca="false">""</f>
        <v/>
      </c>
      <c r="P1276" s="292" t="str">
        <f aca="false">IF(ISBLANK('Стёкла BF5, BF4, BF3'!$L$8),"",'Стёкла BF5, BF4, BF3'!$L$8)</f>
        <v>шт.</v>
      </c>
      <c r="Q1276" s="292" t="n">
        <f aca="false">N('Стёкла BF5, BF4, BF3'!$N$8)</f>
        <v>0</v>
      </c>
      <c r="R1276" s="299" t="n">
        <f aca="false">IF(ISBLANK('Стёкла BF5, BF4, BF3'!$M$8),"",'Стёкла BF5, BF4, BF3'!$M$8)</f>
        <v>81.55</v>
      </c>
      <c r="S1276" s="292" t="str">
        <f aca="false">IF(ISBLANK('Стёкла BF5, BF4, BF3'!$O$8),"",'Стёкла BF5, BF4, BF3'!$O$8)</f>
        <v/>
      </c>
    </row>
    <row r="1277" customFormat="false" ht="66" hidden="false" customHeight="true" outlineLevel="0" collapsed="false">
      <c r="A1277" s="291" t="str">
        <f aca="true">IF(ISNUMBER($J1277),INDIRECT("L"&amp;($J1277+4)),"")</f>
        <v/>
      </c>
      <c r="B1277" s="291" t="str">
        <f aca="true">IF(ISNUMBER($J1277),INDIRECT("M"&amp;($J1277+4)),"")</f>
        <v/>
      </c>
      <c r="C1277" s="296" t="str">
        <f aca="true">IF(ISNUMBER($J1277),INDIRECT("N"&amp;($J1277+4)),"")</f>
        <v/>
      </c>
      <c r="D1277" s="291" t="str">
        <f aca="true">IF(ISNUMBER($J1277),INDIRECT("O"&amp;($J1277+4)),"")</f>
        <v/>
      </c>
      <c r="E1277" s="291" t="str">
        <f aca="true">IF(ISNUMBER($J1277),INDIRECT("P"&amp;($J1277+4)),"")</f>
        <v/>
      </c>
      <c r="F1277" s="300" t="str">
        <f aca="true">IF(ISNUMBER($J1277),INDIRECT("Q"&amp;($J1277+4)),"")</f>
        <v/>
      </c>
      <c r="G1277" s="298" t="str">
        <f aca="true">IF(ISNUMBER($J1277),INDIRECT("R"&amp;($J1277+4)),"")</f>
        <v/>
      </c>
      <c r="H1277" s="298" t="str">
        <f aca="true">IF(ISNUMBER($J1277),INDIRECT("S"&amp;($J1277+4)),"")</f>
        <v/>
      </c>
      <c r="J1277" s="292" t="str">
        <f aca="true">IF(1273&lt;=$K$1,MATCH(1272.5,INDIRECT("$K$4:$K$1374"),1),"")</f>
        <v/>
      </c>
      <c r="K1277" s="292" t="n">
        <f aca="false">$K$1156+COUNTIF($Q$1157:Q1277,"&gt;0")</f>
        <v>0</v>
      </c>
      <c r="L1277" s="292" t="str">
        <f aca="false">"Стёкла BF5, BF4, BF3"&amp;" · "&amp;'Стёкла BF5, BF4, BF3'!$J$9</f>
        <v>Стёкла BF5, BF4, BF3 · BF5</v>
      </c>
      <c r="M1277" s="292" t="str">
        <f aca="false">IF(ISBLANK('Стёкла BF5, BF4, BF3'!$K$9),"",'Стёкла BF5, BF4, BF3'!$K$9)</f>
        <v>iP13 /13 Pro  чёрный</v>
      </c>
      <c r="N1277" s="292" t="str">
        <f aca="false">""</f>
        <v/>
      </c>
      <c r="O1277" s="292" t="str">
        <f aca="false">""</f>
        <v/>
      </c>
      <c r="P1277" s="292" t="str">
        <f aca="false">IF(ISBLANK('Стёкла BF5, BF4, BF3'!$L$9),"",'Стёкла BF5, BF4, BF3'!$L$9)</f>
        <v>шт.</v>
      </c>
      <c r="Q1277" s="292" t="n">
        <f aca="false">N('Стёкла BF5, BF4, BF3'!$N$9)</f>
        <v>0</v>
      </c>
      <c r="R1277" s="299" t="n">
        <f aca="false">IF(ISBLANK('Стёкла BF5, BF4, BF3'!$M$9),"",'Стёкла BF5, BF4, BF3'!$M$9)</f>
        <v>81.55</v>
      </c>
      <c r="S1277" s="292" t="str">
        <f aca="false">IF(ISBLANK('Стёкла BF5, BF4, BF3'!$O$9),"",'Стёкла BF5, BF4, BF3'!$O$9)</f>
        <v/>
      </c>
    </row>
    <row r="1278" customFormat="false" ht="66" hidden="false" customHeight="true" outlineLevel="0" collapsed="false">
      <c r="A1278" s="291" t="str">
        <f aca="true">IF(ISNUMBER($J1278),INDIRECT("L"&amp;($J1278+4)),"")</f>
        <v/>
      </c>
      <c r="B1278" s="291" t="str">
        <f aca="true">IF(ISNUMBER($J1278),INDIRECT("M"&amp;($J1278+4)),"")</f>
        <v/>
      </c>
      <c r="C1278" s="296" t="str">
        <f aca="true">IF(ISNUMBER($J1278),INDIRECT("N"&amp;($J1278+4)),"")</f>
        <v/>
      </c>
      <c r="D1278" s="291" t="str">
        <f aca="true">IF(ISNUMBER($J1278),INDIRECT("O"&amp;($J1278+4)),"")</f>
        <v/>
      </c>
      <c r="E1278" s="291" t="str">
        <f aca="true">IF(ISNUMBER($J1278),INDIRECT("P"&amp;($J1278+4)),"")</f>
        <v/>
      </c>
      <c r="F1278" s="300" t="str">
        <f aca="true">IF(ISNUMBER($J1278),INDIRECT("Q"&amp;($J1278+4)),"")</f>
        <v/>
      </c>
      <c r="G1278" s="298" t="str">
        <f aca="true">IF(ISNUMBER($J1278),INDIRECT("R"&amp;($J1278+4)),"")</f>
        <v/>
      </c>
      <c r="H1278" s="298" t="str">
        <f aca="true">IF(ISNUMBER($J1278),INDIRECT("S"&amp;($J1278+4)),"")</f>
        <v/>
      </c>
      <c r="J1278" s="292" t="str">
        <f aca="true">IF(1274&lt;=$K$1,MATCH(1273.5,INDIRECT("$K$4:$K$1374"),1),"")</f>
        <v/>
      </c>
      <c r="K1278" s="292" t="n">
        <f aca="false">$K$1156+COUNTIF($Q$1157:Q1278,"&gt;0")</f>
        <v>0</v>
      </c>
      <c r="L1278" s="292" t="str">
        <f aca="false">"Стёкла BF5, BF4, BF3"&amp;" · "&amp;'Стёкла BF5, BF4, BF3'!$J$10</f>
        <v>Стёкла BF5, BF4, BF3 · BF5</v>
      </c>
      <c r="M1278" s="292" t="str">
        <f aca="false">IF(ISBLANK('Стёкла BF5, BF4, BF3'!$K$10),"",'Стёкла BF5, BF4, BF3'!$K$10)</f>
        <v>iP 14 Plus  6.1</v>
      </c>
      <c r="N1278" s="292" t="str">
        <f aca="false">""</f>
        <v/>
      </c>
      <c r="O1278" s="292" t="str">
        <f aca="false">""</f>
        <v/>
      </c>
      <c r="P1278" s="292" t="str">
        <f aca="false">IF(ISBLANK('Стёкла BF5, BF4, BF3'!$L$10),"",'Стёкла BF5, BF4, BF3'!$L$10)</f>
        <v>шт.</v>
      </c>
      <c r="Q1278" s="292" t="n">
        <f aca="false">N('Стёкла BF5, BF4, BF3'!$N$10)</f>
        <v>0</v>
      </c>
      <c r="R1278" s="299" t="n">
        <f aca="false">IF(ISBLANK('Стёкла BF5, BF4, BF3'!$M$10),"",'Стёкла BF5, BF4, BF3'!$M$10)</f>
        <v>81.55</v>
      </c>
      <c r="S1278" s="292" t="str">
        <f aca="false">IF(ISBLANK('Стёкла BF5, BF4, BF3'!$O$10),"",'Стёкла BF5, BF4, BF3'!$O$10)</f>
        <v/>
      </c>
    </row>
    <row r="1279" customFormat="false" ht="66" hidden="false" customHeight="true" outlineLevel="0" collapsed="false">
      <c r="A1279" s="291" t="str">
        <f aca="true">IF(ISNUMBER($J1279),INDIRECT("L"&amp;($J1279+4)),"")</f>
        <v/>
      </c>
      <c r="B1279" s="291" t="str">
        <f aca="true">IF(ISNUMBER($J1279),INDIRECT("M"&amp;($J1279+4)),"")</f>
        <v/>
      </c>
      <c r="C1279" s="296" t="str">
        <f aca="true">IF(ISNUMBER($J1279),INDIRECT("N"&amp;($J1279+4)),"")</f>
        <v/>
      </c>
      <c r="D1279" s="291" t="str">
        <f aca="true">IF(ISNUMBER($J1279),INDIRECT("O"&amp;($J1279+4)),"")</f>
        <v/>
      </c>
      <c r="E1279" s="291" t="str">
        <f aca="true">IF(ISNUMBER($J1279),INDIRECT("P"&amp;($J1279+4)),"")</f>
        <v/>
      </c>
      <c r="F1279" s="300" t="str">
        <f aca="true">IF(ISNUMBER($J1279),INDIRECT("Q"&amp;($J1279+4)),"")</f>
        <v/>
      </c>
      <c r="G1279" s="298" t="str">
        <f aca="true">IF(ISNUMBER($J1279),INDIRECT("R"&amp;($J1279+4)),"")</f>
        <v/>
      </c>
      <c r="H1279" s="298" t="str">
        <f aca="true">IF(ISNUMBER($J1279),INDIRECT("S"&amp;($J1279+4)),"")</f>
        <v/>
      </c>
      <c r="J1279" s="292" t="str">
        <f aca="true">IF(1275&lt;=$K$1,MATCH(1274.5,INDIRECT("$K$4:$K$1374"),1),"")</f>
        <v/>
      </c>
      <c r="K1279" s="292" t="n">
        <f aca="false">$K$1156+COUNTIF($Q$1157:Q1279,"&gt;0")</f>
        <v>0</v>
      </c>
      <c r="L1279" s="292" t="str">
        <f aca="false">"Стёкла BF5, BF4, BF3"&amp;" · "&amp;'Стёкла BF5, BF4, BF3'!$J$11</f>
        <v>Стёкла BF5, BF4, BF3 · BF5</v>
      </c>
      <c r="M1279" s="292" t="str">
        <f aca="false">IF(ISBLANK('Стёкла BF5, BF4, BF3'!$K$11),"",'Стёкла BF5, BF4, BF3'!$K$11)</f>
        <v>iP16 Plus / iP 15 Plus  6.7</v>
      </c>
      <c r="N1279" s="292" t="str">
        <f aca="false">""</f>
        <v/>
      </c>
      <c r="O1279" s="292" t="str">
        <f aca="false">""</f>
        <v/>
      </c>
      <c r="P1279" s="292" t="str">
        <f aca="false">IF(ISBLANK('Стёкла BF5, BF4, BF3'!$L$11),"",'Стёкла BF5, BF4, BF3'!$L$11)</f>
        <v>шт.</v>
      </c>
      <c r="Q1279" s="292" t="n">
        <f aca="false">N('Стёкла BF5, BF4, BF3'!$N$11)</f>
        <v>0</v>
      </c>
      <c r="R1279" s="299" t="n">
        <f aca="false">IF(ISBLANK('Стёкла BF5, BF4, BF3'!$M$11),"",'Стёкла BF5, BF4, BF3'!$M$11)</f>
        <v>81.55</v>
      </c>
      <c r="S1279" s="292" t="str">
        <f aca="false">IF(ISBLANK('Стёкла BF5, BF4, BF3'!$O$11),"",'Стёкла BF5, BF4, BF3'!$O$11)</f>
        <v/>
      </c>
    </row>
    <row r="1280" customFormat="false" ht="66" hidden="false" customHeight="true" outlineLevel="0" collapsed="false">
      <c r="A1280" s="291" t="str">
        <f aca="true">IF(ISNUMBER($J1280),INDIRECT("L"&amp;($J1280+4)),"")</f>
        <v/>
      </c>
      <c r="B1280" s="291" t="str">
        <f aca="true">IF(ISNUMBER($J1280),INDIRECT("M"&amp;($J1280+4)),"")</f>
        <v/>
      </c>
      <c r="C1280" s="296" t="str">
        <f aca="true">IF(ISNUMBER($J1280),INDIRECT("N"&amp;($J1280+4)),"")</f>
        <v/>
      </c>
      <c r="D1280" s="291" t="str">
        <f aca="true">IF(ISNUMBER($J1280),INDIRECT("O"&amp;($J1280+4)),"")</f>
        <v/>
      </c>
      <c r="E1280" s="291" t="str">
        <f aca="true">IF(ISNUMBER($J1280),INDIRECT("P"&amp;($J1280+4)),"")</f>
        <v/>
      </c>
      <c r="F1280" s="300" t="str">
        <f aca="true">IF(ISNUMBER($J1280),INDIRECT("Q"&amp;($J1280+4)),"")</f>
        <v/>
      </c>
      <c r="G1280" s="298" t="str">
        <f aca="true">IF(ISNUMBER($J1280),INDIRECT("R"&amp;($J1280+4)),"")</f>
        <v/>
      </c>
      <c r="H1280" s="298" t="str">
        <f aca="true">IF(ISNUMBER($J1280),INDIRECT("S"&amp;($J1280+4)),"")</f>
        <v/>
      </c>
      <c r="J1280" s="292" t="str">
        <f aca="true">IF(1276&lt;=$K$1,MATCH(1275.5,INDIRECT("$K$4:$K$1374"),1),"")</f>
        <v/>
      </c>
      <c r="K1280" s="292" t="n">
        <f aca="false">$K$1156+COUNTIF($Q$1157:Q1280,"&gt;0")</f>
        <v>0</v>
      </c>
      <c r="L1280" s="292" t="str">
        <f aca="false">"Стёкла BF5, BF4, BF3"&amp;" · "&amp;'Стёкла BF5, BF4, BF3'!$J$12</f>
        <v>Стёкла BF5, BF4, BF3 · BF5</v>
      </c>
      <c r="M1280" s="292" t="str">
        <f aca="false">IF(ISBLANK('Стёкла BF5, BF4, BF3'!$K$12),"",'Стёкла BF5, BF4, BF3'!$K$12)</f>
        <v>iP Xs Max/11 Pro Max чёрный</v>
      </c>
      <c r="N1280" s="292" t="str">
        <f aca="false">""</f>
        <v/>
      </c>
      <c r="O1280" s="292" t="str">
        <f aca="false">""</f>
        <v/>
      </c>
      <c r="P1280" s="292" t="str">
        <f aca="false">IF(ISBLANK('Стёкла BF5, BF4, BF3'!$L$12),"",'Стёкла BF5, BF4, BF3'!$L$12)</f>
        <v>шт.</v>
      </c>
      <c r="Q1280" s="292" t="n">
        <f aca="false">N('Стёкла BF5, BF4, BF3'!$N$12)</f>
        <v>0</v>
      </c>
      <c r="R1280" s="299" t="n">
        <f aca="false">IF(ISBLANK('Стёкла BF5, BF4, BF3'!$M$12),"",'Стёкла BF5, BF4, BF3'!$M$12)</f>
        <v>81.55</v>
      </c>
      <c r="S1280" s="292" t="str">
        <f aca="false">IF(ISBLANK('Стёкла BF5, BF4, BF3'!$O$12),"",'Стёкла BF5, BF4, BF3'!$O$12)</f>
        <v/>
      </c>
    </row>
    <row r="1281" customFormat="false" ht="66" hidden="false" customHeight="true" outlineLevel="0" collapsed="false">
      <c r="A1281" s="291" t="str">
        <f aca="true">IF(ISNUMBER($J1281),INDIRECT("L"&amp;($J1281+4)),"")</f>
        <v/>
      </c>
      <c r="B1281" s="291" t="str">
        <f aca="true">IF(ISNUMBER($J1281),INDIRECT("M"&amp;($J1281+4)),"")</f>
        <v/>
      </c>
      <c r="C1281" s="296" t="str">
        <f aca="true">IF(ISNUMBER($J1281),INDIRECT("N"&amp;($J1281+4)),"")</f>
        <v/>
      </c>
      <c r="D1281" s="291" t="str">
        <f aca="true">IF(ISNUMBER($J1281),INDIRECT("O"&amp;($J1281+4)),"")</f>
        <v/>
      </c>
      <c r="E1281" s="291" t="str">
        <f aca="true">IF(ISNUMBER($J1281),INDIRECT("P"&amp;($J1281+4)),"")</f>
        <v/>
      </c>
      <c r="F1281" s="300" t="str">
        <f aca="true">IF(ISNUMBER($J1281),INDIRECT("Q"&amp;($J1281+4)),"")</f>
        <v/>
      </c>
      <c r="G1281" s="298" t="str">
        <f aca="true">IF(ISNUMBER($J1281),INDIRECT("R"&amp;($J1281+4)),"")</f>
        <v/>
      </c>
      <c r="H1281" s="298" t="str">
        <f aca="true">IF(ISNUMBER($J1281),INDIRECT("S"&amp;($J1281+4)),"")</f>
        <v/>
      </c>
      <c r="J1281" s="292" t="str">
        <f aca="true">IF(1277&lt;=$K$1,MATCH(1276.5,INDIRECT("$K$4:$K$1374"),1),"")</f>
        <v/>
      </c>
      <c r="K1281" s="292" t="n">
        <f aca="false">$K$1156+COUNTIF($Q$1157:Q1281,"&gt;0")</f>
        <v>0</v>
      </c>
      <c r="L1281" s="292" t="str">
        <f aca="false">"Стёкла BF5, BF4, BF3"&amp;" · "&amp;'Стёкла BF5, BF4, BF3'!$J$13</f>
        <v>Стёкла BF5, BF4, BF3 · BF5</v>
      </c>
      <c r="M1281" s="292" t="str">
        <f aca="false">IF(ISBLANK('Стёкла BF5, BF4, BF3'!$K$13),"",'Стёкла BF5, BF4, BF3'!$K$13)</f>
        <v>iP 13 Pro Max  чёрный</v>
      </c>
      <c r="N1281" s="292" t="str">
        <f aca="false">""</f>
        <v/>
      </c>
      <c r="O1281" s="292" t="str">
        <f aca="false">""</f>
        <v/>
      </c>
      <c r="P1281" s="292" t="str">
        <f aca="false">IF(ISBLANK('Стёкла BF5, BF4, BF3'!$L$13),"",'Стёкла BF5, BF4, BF3'!$L$13)</f>
        <v>шт.</v>
      </c>
      <c r="Q1281" s="292" t="n">
        <f aca="false">N('Стёкла BF5, BF4, BF3'!$N$13)</f>
        <v>0</v>
      </c>
      <c r="R1281" s="299" t="n">
        <f aca="false">IF(ISBLANK('Стёкла BF5, BF4, BF3'!$M$13),"",'Стёкла BF5, BF4, BF3'!$M$13)</f>
        <v>81.55</v>
      </c>
      <c r="S1281" s="292" t="str">
        <f aca="false">IF(ISBLANK('Стёкла BF5, BF4, BF3'!$O$13),"",'Стёкла BF5, BF4, BF3'!$O$13)</f>
        <v/>
      </c>
    </row>
    <row r="1282" customFormat="false" ht="66" hidden="false" customHeight="true" outlineLevel="0" collapsed="false">
      <c r="A1282" s="291" t="str">
        <f aca="true">IF(ISNUMBER($J1282),INDIRECT("L"&amp;($J1282+4)),"")</f>
        <v/>
      </c>
      <c r="B1282" s="291" t="str">
        <f aca="true">IF(ISNUMBER($J1282),INDIRECT("M"&amp;($J1282+4)),"")</f>
        <v/>
      </c>
      <c r="C1282" s="296" t="str">
        <f aca="true">IF(ISNUMBER($J1282),INDIRECT("N"&amp;($J1282+4)),"")</f>
        <v/>
      </c>
      <c r="D1282" s="291" t="str">
        <f aca="true">IF(ISNUMBER($J1282),INDIRECT("O"&amp;($J1282+4)),"")</f>
        <v/>
      </c>
      <c r="E1282" s="291" t="str">
        <f aca="true">IF(ISNUMBER($J1282),INDIRECT("P"&amp;($J1282+4)),"")</f>
        <v/>
      </c>
      <c r="F1282" s="300" t="str">
        <f aca="true">IF(ISNUMBER($J1282),INDIRECT("Q"&amp;($J1282+4)),"")</f>
        <v/>
      </c>
      <c r="G1282" s="298" t="str">
        <f aca="true">IF(ISNUMBER($J1282),INDIRECT("R"&amp;($J1282+4)),"")</f>
        <v/>
      </c>
      <c r="H1282" s="298" t="str">
        <f aca="true">IF(ISNUMBER($J1282),INDIRECT("S"&amp;($J1282+4)),"")</f>
        <v/>
      </c>
      <c r="J1282" s="292" t="str">
        <f aca="true">IF(1278&lt;=$K$1,MATCH(1277.5,INDIRECT("$K$4:$K$1374"),1),"")</f>
        <v/>
      </c>
      <c r="K1282" s="292" t="n">
        <f aca="false">$K$1156+COUNTIF($Q$1157:Q1282,"&gt;0")</f>
        <v>0</v>
      </c>
      <c r="L1282" s="292" t="str">
        <f aca="false">"Стёкла BF5, BF4, BF3"&amp;" · "&amp;'Стёкла BF5, BF4, BF3'!$J$14</f>
        <v>Стёкла BF5, BF4, BF3 · BF5</v>
      </c>
      <c r="M1282" s="292" t="str">
        <f aca="false">IF(ISBLANK('Стёкла BF5, BF4, BF3'!$K$14),"",'Стёкла BF5, BF4, BF3'!$K$14)</f>
        <v>iP 14 pro 6.7</v>
      </c>
      <c r="N1282" s="292" t="str">
        <f aca="false">""</f>
        <v/>
      </c>
      <c r="O1282" s="292" t="str">
        <f aca="false">""</f>
        <v/>
      </c>
      <c r="P1282" s="292" t="str">
        <f aca="false">IF(ISBLANK('Стёкла BF5, BF4, BF3'!$L$14),"",'Стёкла BF5, BF4, BF3'!$L$14)</f>
        <v>шт.</v>
      </c>
      <c r="Q1282" s="292" t="n">
        <f aca="false">N('Стёкла BF5, BF4, BF3'!$N$14)</f>
        <v>0</v>
      </c>
      <c r="R1282" s="299" t="n">
        <f aca="false">IF(ISBLANK('Стёкла BF5, BF4, BF3'!$M$14),"",'Стёкла BF5, BF4, BF3'!$M$14)</f>
        <v>81.55</v>
      </c>
      <c r="S1282" s="292" t="str">
        <f aca="false">IF(ISBLANK('Стёкла BF5, BF4, BF3'!$O$14),"",'Стёкла BF5, BF4, BF3'!$O$14)</f>
        <v/>
      </c>
    </row>
    <row r="1283" customFormat="false" ht="66" hidden="false" customHeight="true" outlineLevel="0" collapsed="false">
      <c r="A1283" s="291" t="str">
        <f aca="true">IF(ISNUMBER($J1283),INDIRECT("L"&amp;($J1283+4)),"")</f>
        <v/>
      </c>
      <c r="B1283" s="291" t="str">
        <f aca="true">IF(ISNUMBER($J1283),INDIRECT("M"&amp;($J1283+4)),"")</f>
        <v/>
      </c>
      <c r="C1283" s="296" t="str">
        <f aca="true">IF(ISNUMBER($J1283),INDIRECT("N"&amp;($J1283+4)),"")</f>
        <v/>
      </c>
      <c r="D1283" s="291" t="str">
        <f aca="true">IF(ISNUMBER($J1283),INDIRECT("O"&amp;($J1283+4)),"")</f>
        <v/>
      </c>
      <c r="E1283" s="291" t="str">
        <f aca="true">IF(ISNUMBER($J1283),INDIRECT("P"&amp;($J1283+4)),"")</f>
        <v/>
      </c>
      <c r="F1283" s="300" t="str">
        <f aca="true">IF(ISNUMBER($J1283),INDIRECT("Q"&amp;($J1283+4)),"")</f>
        <v/>
      </c>
      <c r="G1283" s="298" t="str">
        <f aca="true">IF(ISNUMBER($J1283),INDIRECT("R"&amp;($J1283+4)),"")</f>
        <v/>
      </c>
      <c r="H1283" s="298" t="str">
        <f aca="true">IF(ISNUMBER($J1283),INDIRECT("S"&amp;($J1283+4)),"")</f>
        <v/>
      </c>
      <c r="J1283" s="292" t="str">
        <f aca="true">IF(1279&lt;=$K$1,MATCH(1278.5,INDIRECT("$K$4:$K$1374"),1),"")</f>
        <v/>
      </c>
      <c r="K1283" s="292" t="n">
        <f aca="false">$K$1156+COUNTIF($Q$1157:Q1283,"&gt;0")</f>
        <v>0</v>
      </c>
      <c r="L1283" s="292" t="str">
        <f aca="false">"Стёкла BF5, BF4, BF3"&amp;" · "&amp;'Стёкла BF5, BF4, BF3'!$J$15</f>
        <v>Стёкла BF5, BF4, BF3 · BF5</v>
      </c>
      <c r="M1283" s="292" t="str">
        <f aca="false">IF(ISBLANK('Стёкла BF5, BF4, BF3'!$K$15),"",'Стёкла BF5, BF4, BF3'!$K$15)</f>
        <v>iP 15 Pro 6.1</v>
      </c>
      <c r="N1283" s="292" t="str">
        <f aca="false">""</f>
        <v/>
      </c>
      <c r="O1283" s="292" t="str">
        <f aca="false">""</f>
        <v/>
      </c>
      <c r="P1283" s="292" t="str">
        <f aca="false">IF(ISBLANK('Стёкла BF5, BF4, BF3'!$L$15),"",'Стёкла BF5, BF4, BF3'!$L$15)</f>
        <v>шт.</v>
      </c>
      <c r="Q1283" s="292" t="n">
        <f aca="false">N('Стёкла BF5, BF4, BF3'!$N$15)</f>
        <v>0</v>
      </c>
      <c r="R1283" s="299" t="n">
        <f aca="false">IF(ISBLANK('Стёкла BF5, BF4, BF3'!$M$15),"",'Стёкла BF5, BF4, BF3'!$M$15)</f>
        <v>81.55</v>
      </c>
      <c r="S1283" s="292" t="str">
        <f aca="false">IF(ISBLANK('Стёкла BF5, BF4, BF3'!$O$15),"",'Стёкла BF5, BF4, BF3'!$O$15)</f>
        <v/>
      </c>
    </row>
    <row r="1284" customFormat="false" ht="66" hidden="false" customHeight="true" outlineLevel="0" collapsed="false">
      <c r="A1284" s="291" t="str">
        <f aca="true">IF(ISNUMBER($J1284),INDIRECT("L"&amp;($J1284+4)),"")</f>
        <v/>
      </c>
      <c r="B1284" s="291" t="str">
        <f aca="true">IF(ISNUMBER($J1284),INDIRECT("M"&amp;($J1284+4)),"")</f>
        <v/>
      </c>
      <c r="C1284" s="296" t="str">
        <f aca="true">IF(ISNUMBER($J1284),INDIRECT("N"&amp;($J1284+4)),"")</f>
        <v/>
      </c>
      <c r="D1284" s="291" t="str">
        <f aca="true">IF(ISNUMBER($J1284),INDIRECT("O"&amp;($J1284+4)),"")</f>
        <v/>
      </c>
      <c r="E1284" s="291" t="str">
        <f aca="true">IF(ISNUMBER($J1284),INDIRECT("P"&amp;($J1284+4)),"")</f>
        <v/>
      </c>
      <c r="F1284" s="300" t="str">
        <f aca="true">IF(ISNUMBER($J1284),INDIRECT("Q"&amp;($J1284+4)),"")</f>
        <v/>
      </c>
      <c r="G1284" s="298" t="str">
        <f aca="true">IF(ISNUMBER($J1284),INDIRECT("R"&amp;($J1284+4)),"")</f>
        <v/>
      </c>
      <c r="H1284" s="298" t="str">
        <f aca="true">IF(ISNUMBER($J1284),INDIRECT("S"&amp;($J1284+4)),"")</f>
        <v/>
      </c>
      <c r="J1284" s="292" t="str">
        <f aca="true">IF(1280&lt;=$K$1,MATCH(1279.5,INDIRECT("$K$4:$K$1374"),1),"")</f>
        <v/>
      </c>
      <c r="K1284" s="292" t="n">
        <f aca="false">$K$1156+COUNTIF($Q$1157:Q1284,"&gt;0")</f>
        <v>0</v>
      </c>
      <c r="L1284" s="292" t="str">
        <f aca="false">"Стёкла BF5, BF4, BF3"&amp;" · "&amp;'Стёкла BF5, BF4, BF3'!$J$16</f>
        <v>Стёкла BF5, BF4, BF3 · BF5</v>
      </c>
      <c r="M1284" s="292" t="str">
        <f aca="false">IF(ISBLANK('Стёкла BF5, BF4, BF3'!$K$16),"",'Стёкла BF5, BF4, BF3'!$K$16)</f>
        <v>iP 12 mini чёрный</v>
      </c>
      <c r="N1284" s="292" t="str">
        <f aca="false">""</f>
        <v/>
      </c>
      <c r="O1284" s="292" t="str">
        <f aca="false">""</f>
        <v/>
      </c>
      <c r="P1284" s="292" t="str">
        <f aca="false">IF(ISBLANK('Стёкла BF5, BF4, BF3'!$L$16),"",'Стёкла BF5, BF4, BF3'!$L$16)</f>
        <v>шт.</v>
      </c>
      <c r="Q1284" s="292" t="n">
        <f aca="false">N('Стёкла BF5, BF4, BF3'!$N$16)</f>
        <v>0</v>
      </c>
      <c r="R1284" s="299" t="n">
        <f aca="false">IF(ISBLANK('Стёкла BF5, BF4, BF3'!$M$16),"",'Стёкла BF5, BF4, BF3'!$M$16)</f>
        <v>81.55</v>
      </c>
      <c r="S1284" s="292" t="str">
        <f aca="false">IF(ISBLANK('Стёкла BF5, BF4, BF3'!$O$16),"",'Стёкла BF5, BF4, BF3'!$O$16)</f>
        <v/>
      </c>
    </row>
    <row r="1285" customFormat="false" ht="66" hidden="false" customHeight="true" outlineLevel="0" collapsed="false">
      <c r="A1285" s="291" t="str">
        <f aca="true">IF(ISNUMBER($J1285),INDIRECT("L"&amp;($J1285+4)),"")</f>
        <v/>
      </c>
      <c r="B1285" s="291" t="str">
        <f aca="true">IF(ISNUMBER($J1285),INDIRECT("M"&amp;($J1285+4)),"")</f>
        <v/>
      </c>
      <c r="C1285" s="296" t="str">
        <f aca="true">IF(ISNUMBER($J1285),INDIRECT("N"&amp;($J1285+4)),"")</f>
        <v/>
      </c>
      <c r="D1285" s="291" t="str">
        <f aca="true">IF(ISNUMBER($J1285),INDIRECT("O"&amp;($J1285+4)),"")</f>
        <v/>
      </c>
      <c r="E1285" s="291" t="str">
        <f aca="true">IF(ISNUMBER($J1285),INDIRECT("P"&amp;($J1285+4)),"")</f>
        <v/>
      </c>
      <c r="F1285" s="300" t="str">
        <f aca="true">IF(ISNUMBER($J1285),INDIRECT("Q"&amp;($J1285+4)),"")</f>
        <v/>
      </c>
      <c r="G1285" s="298" t="str">
        <f aca="true">IF(ISNUMBER($J1285),INDIRECT("R"&amp;($J1285+4)),"")</f>
        <v/>
      </c>
      <c r="H1285" s="298" t="str">
        <f aca="true">IF(ISNUMBER($J1285),INDIRECT("S"&amp;($J1285+4)),"")</f>
        <v/>
      </c>
      <c r="J1285" s="292" t="str">
        <f aca="true">IF(1281&lt;=$K$1,MATCH(1280.5,INDIRECT("$K$4:$K$1374"),1),"")</f>
        <v/>
      </c>
      <c r="K1285" s="292" t="n">
        <f aca="false">$K$1284+COUNTIF($Q$1285:Q1285,"&gt;0")</f>
        <v>0</v>
      </c>
      <c r="L1285" s="292" t="str">
        <f aca="false">"Стёкла BF5, BF4, BF3"&amp;" · "&amp;'Стёкла BF5, BF4, BF3'!$J$17</f>
        <v>Стёкла BF5, BF4, BF3 · BF5</v>
      </c>
      <c r="M1285" s="292" t="str">
        <f aca="false">IF(ISBLANK('Стёкла BF5, BF4, BF3'!$K$17),"",'Стёкла BF5, BF4, BF3'!$K$17)</f>
        <v>iP 14 Pro Max 6.7</v>
      </c>
      <c r="N1285" s="292" t="str">
        <f aca="false">""</f>
        <v/>
      </c>
      <c r="O1285" s="292" t="str">
        <f aca="false">""</f>
        <v/>
      </c>
      <c r="P1285" s="292" t="str">
        <f aca="false">IF(ISBLANK('Стёкла BF5, BF4, BF3'!$L$17),"",'Стёкла BF5, BF4, BF3'!$L$17)</f>
        <v>шт.</v>
      </c>
      <c r="Q1285" s="292" t="n">
        <f aca="false">N('Стёкла BF5, BF4, BF3'!$N$17)</f>
        <v>0</v>
      </c>
      <c r="R1285" s="299" t="n">
        <f aca="false">IF(ISBLANK('Стёкла BF5, BF4, BF3'!$M$17),"",'Стёкла BF5, BF4, BF3'!$M$17)</f>
        <v>81.55</v>
      </c>
      <c r="S1285" s="292" t="str">
        <f aca="false">IF(ISBLANK('Стёкла BF5, BF4, BF3'!$O$17),"",'Стёкла BF5, BF4, BF3'!$O$17)</f>
        <v/>
      </c>
    </row>
    <row r="1286" customFormat="false" ht="66" hidden="false" customHeight="true" outlineLevel="0" collapsed="false">
      <c r="A1286" s="291" t="str">
        <f aca="true">IF(ISNUMBER($J1286),INDIRECT("L"&amp;($J1286+4)),"")</f>
        <v/>
      </c>
      <c r="B1286" s="291" t="str">
        <f aca="true">IF(ISNUMBER($J1286),INDIRECT("M"&amp;($J1286+4)),"")</f>
        <v/>
      </c>
      <c r="C1286" s="296" t="str">
        <f aca="true">IF(ISNUMBER($J1286),INDIRECT("N"&amp;($J1286+4)),"")</f>
        <v/>
      </c>
      <c r="D1286" s="291" t="str">
        <f aca="true">IF(ISNUMBER($J1286),INDIRECT("O"&amp;($J1286+4)),"")</f>
        <v/>
      </c>
      <c r="E1286" s="291" t="str">
        <f aca="true">IF(ISNUMBER($J1286),INDIRECT("P"&amp;($J1286+4)),"")</f>
        <v/>
      </c>
      <c r="F1286" s="300" t="str">
        <f aca="true">IF(ISNUMBER($J1286),INDIRECT("Q"&amp;($J1286+4)),"")</f>
        <v/>
      </c>
      <c r="G1286" s="298" t="str">
        <f aca="true">IF(ISNUMBER($J1286),INDIRECT("R"&amp;($J1286+4)),"")</f>
        <v/>
      </c>
      <c r="H1286" s="298" t="str">
        <f aca="true">IF(ISNUMBER($J1286),INDIRECT("S"&amp;($J1286+4)),"")</f>
        <v/>
      </c>
      <c r="J1286" s="292" t="str">
        <f aca="true">IF(1282&lt;=$K$1,MATCH(1281.5,INDIRECT("$K$4:$K$1374"),1),"")</f>
        <v/>
      </c>
      <c r="K1286" s="292" t="n">
        <f aca="false">$K$1284+COUNTIF($Q$1285:Q1286,"&gt;0")</f>
        <v>0</v>
      </c>
      <c r="L1286" s="292" t="str">
        <f aca="false">"Стёкла BF5, BF4, BF3"&amp;" · "&amp;'Стёкла BF5, BF4, BF3'!$J$18</f>
        <v>Стёкла BF5, BF4, BF3 · BF5</v>
      </c>
      <c r="M1286" s="292" t="str">
        <f aca="false">IF(ISBLANK('Стёкла BF5, BF4, BF3'!$K$18),"",'Стёкла BF5, BF4, BF3'!$K$18)</f>
        <v>iP 15 Pro Max 6.7</v>
      </c>
      <c r="N1286" s="292" t="str">
        <f aca="false">""</f>
        <v/>
      </c>
      <c r="O1286" s="292" t="str">
        <f aca="false">""</f>
        <v/>
      </c>
      <c r="P1286" s="292" t="str">
        <f aca="false">IF(ISBLANK('Стёкла BF5, BF4, BF3'!$L$18),"",'Стёкла BF5, BF4, BF3'!$L$18)</f>
        <v>шт.</v>
      </c>
      <c r="Q1286" s="292" t="n">
        <f aca="false">N('Стёкла BF5, BF4, BF3'!$N$18)</f>
        <v>0</v>
      </c>
      <c r="R1286" s="299" t="n">
        <f aca="false">IF(ISBLANK('Стёкла BF5, BF4, BF3'!$M$18),"",'Стёкла BF5, BF4, BF3'!$M$18)</f>
        <v>81.55</v>
      </c>
      <c r="S1286" s="292" t="str">
        <f aca="false">IF(ISBLANK('Стёкла BF5, BF4, BF3'!$O$18),"",'Стёкла BF5, BF4, BF3'!$O$18)</f>
        <v/>
      </c>
    </row>
    <row r="1287" customFormat="false" ht="66" hidden="false" customHeight="true" outlineLevel="0" collapsed="false">
      <c r="A1287" s="291" t="str">
        <f aca="true">IF(ISNUMBER($J1287),INDIRECT("L"&amp;($J1287+4)),"")</f>
        <v/>
      </c>
      <c r="B1287" s="291" t="str">
        <f aca="true">IF(ISNUMBER($J1287),INDIRECT("M"&amp;($J1287+4)),"")</f>
        <v/>
      </c>
      <c r="C1287" s="296" t="str">
        <f aca="true">IF(ISNUMBER($J1287),INDIRECT("N"&amp;($J1287+4)),"")</f>
        <v/>
      </c>
      <c r="D1287" s="291" t="str">
        <f aca="true">IF(ISNUMBER($J1287),INDIRECT("O"&amp;($J1287+4)),"")</f>
        <v/>
      </c>
      <c r="E1287" s="291" t="str">
        <f aca="true">IF(ISNUMBER($J1287),INDIRECT("P"&amp;($J1287+4)),"")</f>
        <v/>
      </c>
      <c r="F1287" s="300" t="str">
        <f aca="true">IF(ISNUMBER($J1287),INDIRECT("Q"&amp;($J1287+4)),"")</f>
        <v/>
      </c>
      <c r="G1287" s="298" t="str">
        <f aca="true">IF(ISNUMBER($J1287),INDIRECT("R"&amp;($J1287+4)),"")</f>
        <v/>
      </c>
      <c r="H1287" s="298" t="str">
        <f aca="true">IF(ISNUMBER($J1287),INDIRECT("S"&amp;($J1287+4)),"")</f>
        <v/>
      </c>
      <c r="J1287" s="292" t="str">
        <f aca="true">IF(1283&lt;=$K$1,MATCH(1282.5,INDIRECT("$K$4:$K$1374"),1),"")</f>
        <v/>
      </c>
      <c r="K1287" s="292" t="n">
        <f aca="false">$K$1284+COUNTIF($Q$1285:Q1287,"&gt;0")</f>
        <v>0</v>
      </c>
      <c r="L1287" s="292" t="str">
        <f aca="false">"Стёкла BF5, BF4, BF3"&amp;" · "&amp;'Стёкла BF5, BF4, BF3'!$J$19</f>
        <v>Стёкла BF5, BF4, BF3 · BF5</v>
      </c>
      <c r="M1287" s="292" t="str">
        <f aca="false">IF(ISBLANK('Стёкла BF5, BF4, BF3'!$K$19),"",'Стёкла BF5, BF4, BF3'!$K$19)</f>
        <v>iP 12/12 Pro чёрный</v>
      </c>
      <c r="N1287" s="292" t="str">
        <f aca="false">""</f>
        <v/>
      </c>
      <c r="O1287" s="292" t="str">
        <f aca="false">""</f>
        <v/>
      </c>
      <c r="P1287" s="292" t="str">
        <f aca="false">IF(ISBLANK('Стёкла BF5, BF4, BF3'!$L$19),"",'Стёкла BF5, BF4, BF3'!$L$19)</f>
        <v>шт.</v>
      </c>
      <c r="Q1287" s="292" t="n">
        <f aca="false">N('Стёкла BF5, BF4, BF3'!$N$19)</f>
        <v>0</v>
      </c>
      <c r="R1287" s="299" t="n">
        <f aca="false">IF(ISBLANK('Стёкла BF5, BF4, BF3'!$M$19),"",'Стёкла BF5, BF4, BF3'!$M$19)</f>
        <v>81.55</v>
      </c>
      <c r="S1287" s="292" t="str">
        <f aca="false">IF(ISBLANK('Стёкла BF5, BF4, BF3'!$O$19),"",'Стёкла BF5, BF4, BF3'!$O$19)</f>
        <v/>
      </c>
    </row>
    <row r="1288" customFormat="false" ht="66" hidden="false" customHeight="true" outlineLevel="0" collapsed="false">
      <c r="A1288" s="291" t="str">
        <f aca="true">IF(ISNUMBER($J1288),INDIRECT("L"&amp;($J1288+4)),"")</f>
        <v/>
      </c>
      <c r="B1288" s="291" t="str">
        <f aca="true">IF(ISNUMBER($J1288),INDIRECT("M"&amp;($J1288+4)),"")</f>
        <v/>
      </c>
      <c r="C1288" s="296" t="str">
        <f aca="true">IF(ISNUMBER($J1288),INDIRECT("N"&amp;($J1288+4)),"")</f>
        <v/>
      </c>
      <c r="D1288" s="291" t="str">
        <f aca="true">IF(ISNUMBER($J1288),INDIRECT("O"&amp;($J1288+4)),"")</f>
        <v/>
      </c>
      <c r="E1288" s="291" t="str">
        <f aca="true">IF(ISNUMBER($J1288),INDIRECT("P"&amp;($J1288+4)),"")</f>
        <v/>
      </c>
      <c r="F1288" s="300" t="str">
        <f aca="true">IF(ISNUMBER($J1288),INDIRECT("Q"&amp;($J1288+4)),"")</f>
        <v/>
      </c>
      <c r="G1288" s="298" t="str">
        <f aca="true">IF(ISNUMBER($J1288),INDIRECT("R"&amp;($J1288+4)),"")</f>
        <v/>
      </c>
      <c r="H1288" s="298" t="str">
        <f aca="true">IF(ISNUMBER($J1288),INDIRECT("S"&amp;($J1288+4)),"")</f>
        <v/>
      </c>
      <c r="J1288" s="292" t="str">
        <f aca="true">IF(1284&lt;=$K$1,MATCH(1283.5,INDIRECT("$K$4:$K$1374"),1),"")</f>
        <v/>
      </c>
      <c r="K1288" s="292" t="n">
        <f aca="false">$K$1284+COUNTIF($Q$1285:Q1288,"&gt;0")</f>
        <v>0</v>
      </c>
      <c r="L1288" s="292" t="str">
        <f aca="false">"Стёкла BF5, BF4, BF3"&amp;" · "&amp;'Стёкла BF5, BF4, BF3'!$J$20</f>
        <v>Стёкла BF5, BF4, BF3 · BF5</v>
      </c>
      <c r="M1288" s="292" t="str">
        <f aca="false">IF(ISBLANK('Стёкла BF5, BF4, BF3'!$K$20),"",'Стёкла BF5, BF4, BF3'!$K$20)</f>
        <v>iP 16 Pro/iP 17 6.3</v>
      </c>
      <c r="N1288" s="292" t="str">
        <f aca="false">""</f>
        <v/>
      </c>
      <c r="O1288" s="292" t="str">
        <f aca="false">""</f>
        <v/>
      </c>
      <c r="P1288" s="292" t="str">
        <f aca="false">IF(ISBLANK('Стёкла BF5, BF4, BF3'!$L$20),"",'Стёкла BF5, BF4, BF3'!$L$20)</f>
        <v>шт.</v>
      </c>
      <c r="Q1288" s="292" t="n">
        <f aca="false">N('Стёкла BF5, BF4, BF3'!$N$20)</f>
        <v>0</v>
      </c>
      <c r="R1288" s="299" t="n">
        <f aca="false">IF(ISBLANK('Стёкла BF5, BF4, BF3'!$M$20),"",'Стёкла BF5, BF4, BF3'!$M$20)</f>
        <v>81.55</v>
      </c>
      <c r="S1288" s="292" t="str">
        <f aca="false">IF(ISBLANK('Стёкла BF5, BF4, BF3'!$O$20),"",'Стёкла BF5, BF4, BF3'!$O$20)</f>
        <v/>
      </c>
    </row>
    <row r="1289" customFormat="false" ht="66" hidden="false" customHeight="true" outlineLevel="0" collapsed="false">
      <c r="A1289" s="291" t="str">
        <f aca="true">IF(ISNUMBER($J1289),INDIRECT("L"&amp;($J1289+4)),"")</f>
        <v/>
      </c>
      <c r="B1289" s="291" t="str">
        <f aca="true">IF(ISNUMBER($J1289),INDIRECT("M"&amp;($J1289+4)),"")</f>
        <v/>
      </c>
      <c r="C1289" s="296" t="str">
        <f aca="true">IF(ISNUMBER($J1289),INDIRECT("N"&amp;($J1289+4)),"")</f>
        <v/>
      </c>
      <c r="D1289" s="291" t="str">
        <f aca="true">IF(ISNUMBER($J1289),INDIRECT("O"&amp;($J1289+4)),"")</f>
        <v/>
      </c>
      <c r="E1289" s="291" t="str">
        <f aca="true">IF(ISNUMBER($J1289),INDIRECT("P"&amp;($J1289+4)),"")</f>
        <v/>
      </c>
      <c r="F1289" s="300" t="str">
        <f aca="true">IF(ISNUMBER($J1289),INDIRECT("Q"&amp;($J1289+4)),"")</f>
        <v/>
      </c>
      <c r="G1289" s="298" t="str">
        <f aca="true">IF(ISNUMBER($J1289),INDIRECT("R"&amp;($J1289+4)),"")</f>
        <v/>
      </c>
      <c r="H1289" s="298" t="str">
        <f aca="true">IF(ISNUMBER($J1289),INDIRECT("S"&amp;($J1289+4)),"")</f>
        <v/>
      </c>
      <c r="J1289" s="292" t="str">
        <f aca="true">IF(1285&lt;=$K$1,MATCH(1284.5,INDIRECT("$K$4:$K$1374"),1),"")</f>
        <v/>
      </c>
      <c r="K1289" s="292" t="n">
        <f aca="false">$K$1284+COUNTIF($Q$1285:Q1289,"&gt;0")</f>
        <v>0</v>
      </c>
      <c r="L1289" s="292" t="str">
        <f aca="false">"Стёкла BF5, BF4, BF3"&amp;" · "&amp;'Стёкла BF5, BF4, BF3'!$J$21</f>
        <v>Стёкла BF5, BF4, BF3 · BF5</v>
      </c>
      <c r="M1289" s="292" t="str">
        <f aca="false">IF(ISBLANK('Стёкла BF5, BF4, BF3'!$K$21),"",'Стёкла BF5, BF4, BF3'!$K$21)</f>
        <v>iP 12 Pro Max чёрный</v>
      </c>
      <c r="N1289" s="292" t="str">
        <f aca="false">""</f>
        <v/>
      </c>
      <c r="O1289" s="292" t="str">
        <f aca="false">""</f>
        <v/>
      </c>
      <c r="P1289" s="292" t="str">
        <f aca="false">IF(ISBLANK('Стёкла BF5, BF4, BF3'!$L$21),"",'Стёкла BF5, BF4, BF3'!$L$21)</f>
        <v>шт.</v>
      </c>
      <c r="Q1289" s="292" t="n">
        <f aca="false">N('Стёкла BF5, BF4, BF3'!$N$21)</f>
        <v>0</v>
      </c>
      <c r="R1289" s="299" t="n">
        <f aca="false">IF(ISBLANK('Стёкла BF5, BF4, BF3'!$M$21),"",'Стёкла BF5, BF4, BF3'!$M$21)</f>
        <v>81.55</v>
      </c>
      <c r="S1289" s="292" t="str">
        <f aca="false">IF(ISBLANK('Стёкла BF5, BF4, BF3'!$O$21),"",'Стёкла BF5, BF4, BF3'!$O$21)</f>
        <v/>
      </c>
    </row>
    <row r="1290" customFormat="false" ht="66" hidden="false" customHeight="true" outlineLevel="0" collapsed="false">
      <c r="A1290" s="291" t="str">
        <f aca="true">IF(ISNUMBER($J1290),INDIRECT("L"&amp;($J1290+4)),"")</f>
        <v/>
      </c>
      <c r="B1290" s="291" t="str">
        <f aca="true">IF(ISNUMBER($J1290),INDIRECT("M"&amp;($J1290+4)),"")</f>
        <v/>
      </c>
      <c r="C1290" s="296" t="str">
        <f aca="true">IF(ISNUMBER($J1290),INDIRECT("N"&amp;($J1290+4)),"")</f>
        <v/>
      </c>
      <c r="D1290" s="291" t="str">
        <f aca="true">IF(ISNUMBER($J1290),INDIRECT("O"&amp;($J1290+4)),"")</f>
        <v/>
      </c>
      <c r="E1290" s="291" t="str">
        <f aca="true">IF(ISNUMBER($J1290),INDIRECT("P"&amp;($J1290+4)),"")</f>
        <v/>
      </c>
      <c r="F1290" s="300" t="str">
        <f aca="true">IF(ISNUMBER($J1290),INDIRECT("Q"&amp;($J1290+4)),"")</f>
        <v/>
      </c>
      <c r="G1290" s="298" t="str">
        <f aca="true">IF(ISNUMBER($J1290),INDIRECT("R"&amp;($J1290+4)),"")</f>
        <v/>
      </c>
      <c r="H1290" s="298" t="str">
        <f aca="true">IF(ISNUMBER($J1290),INDIRECT("S"&amp;($J1290+4)),"")</f>
        <v/>
      </c>
      <c r="J1290" s="292" t="str">
        <f aca="true">IF(1286&lt;=$K$1,MATCH(1285.5,INDIRECT("$K$4:$K$1374"),1),"")</f>
        <v/>
      </c>
      <c r="K1290" s="292" t="n">
        <f aca="false">$K$1284+COUNTIF($Q$1285:Q1290,"&gt;0")</f>
        <v>0</v>
      </c>
      <c r="L1290" s="292" t="str">
        <f aca="false">"Стёкла BF5, BF4, BF3"&amp;" · "&amp;'Стёкла BF5, BF4, BF3'!$J$22</f>
        <v>Стёкла BF5, BF4, BF3 · BF5</v>
      </c>
      <c r="M1290" s="292" t="str">
        <f aca="false">IF(ISBLANK('Стёкла BF5, BF4, BF3'!$K$22),"",'Стёкла BF5, BF4, BF3'!$K$22)</f>
        <v>iP 16 Pro Max 6.9</v>
      </c>
      <c r="N1290" s="292" t="str">
        <f aca="false">""</f>
        <v/>
      </c>
      <c r="O1290" s="292" t="str">
        <f aca="false">""</f>
        <v/>
      </c>
      <c r="P1290" s="292" t="str">
        <f aca="false">IF(ISBLANK('Стёкла BF5, BF4, BF3'!$L$22),"",'Стёкла BF5, BF4, BF3'!$L$22)</f>
        <v>шт.</v>
      </c>
      <c r="Q1290" s="292" t="n">
        <f aca="false">N('Стёкла BF5, BF4, BF3'!$N$22)</f>
        <v>0</v>
      </c>
      <c r="R1290" s="299" t="n">
        <f aca="false">IF(ISBLANK('Стёкла BF5, BF4, BF3'!$M$22),"",'Стёкла BF5, BF4, BF3'!$M$22)</f>
        <v>81.55</v>
      </c>
      <c r="S1290" s="292" t="str">
        <f aca="false">IF(ISBLANK('Стёкла BF5, BF4, BF3'!$O$22),"",'Стёкла BF5, BF4, BF3'!$O$22)</f>
        <v/>
      </c>
    </row>
    <row r="1291" customFormat="false" ht="66" hidden="false" customHeight="true" outlineLevel="0" collapsed="false">
      <c r="A1291" s="291" t="str">
        <f aca="true">IF(ISNUMBER($J1291),INDIRECT("L"&amp;($J1291+4)),"")</f>
        <v/>
      </c>
      <c r="B1291" s="291" t="str">
        <f aca="true">IF(ISNUMBER($J1291),INDIRECT("M"&amp;($J1291+4)),"")</f>
        <v/>
      </c>
      <c r="C1291" s="296" t="str">
        <f aca="true">IF(ISNUMBER($J1291),INDIRECT("N"&amp;($J1291+4)),"")</f>
        <v/>
      </c>
      <c r="D1291" s="291" t="str">
        <f aca="true">IF(ISNUMBER($J1291),INDIRECT("O"&amp;($J1291+4)),"")</f>
        <v/>
      </c>
      <c r="E1291" s="291" t="str">
        <f aca="true">IF(ISNUMBER($J1291),INDIRECT("P"&amp;($J1291+4)),"")</f>
        <v/>
      </c>
      <c r="F1291" s="300" t="str">
        <f aca="true">IF(ISNUMBER($J1291),INDIRECT("Q"&amp;($J1291+4)),"")</f>
        <v/>
      </c>
      <c r="G1291" s="298" t="str">
        <f aca="true">IF(ISNUMBER($J1291),INDIRECT("R"&amp;($J1291+4)),"")</f>
        <v/>
      </c>
      <c r="H1291" s="298" t="str">
        <f aca="true">IF(ISNUMBER($J1291),INDIRECT("S"&amp;($J1291+4)),"")</f>
        <v/>
      </c>
      <c r="J1291" s="292" t="str">
        <f aca="true">IF(1287&lt;=$K$1,MATCH(1286.5,INDIRECT("$K$4:$K$1374"),1),"")</f>
        <v/>
      </c>
      <c r="K1291" s="292" t="n">
        <f aca="false">$K$1284+COUNTIF($Q$1285:Q1291,"&gt;0")</f>
        <v>0</v>
      </c>
      <c r="L1291" s="292" t="str">
        <f aca="false">"Стёкла BF5, BF4, BF3"&amp;" · "&amp;'Стёкла BF5, BF4, BF3'!$J$23</f>
        <v>Стёкла BF5, BF4, BF3 · BF5</v>
      </c>
      <c r="M1291" s="292" t="str">
        <f aca="false">IF(ISBLANK('Стёкла BF5, BF4, BF3'!$K$23),"",'Стёкла BF5, BF4, BF3'!$K$23)</f>
        <v>iP 17 Air</v>
      </c>
      <c r="N1291" s="292" t="str">
        <f aca="false">""</f>
        <v/>
      </c>
      <c r="O1291" s="292" t="str">
        <f aca="false">""</f>
        <v/>
      </c>
      <c r="P1291" s="292" t="str">
        <f aca="false">IF(ISBLANK('Стёкла BF5, BF4, BF3'!$L$23),"",'Стёкла BF5, BF4, BF3'!$L$23)</f>
        <v>шт.</v>
      </c>
      <c r="Q1291" s="292" t="n">
        <f aca="false">N('Стёкла BF5, BF4, BF3'!$N$23)</f>
        <v>0</v>
      </c>
      <c r="R1291" s="299" t="n">
        <f aca="false">IF(ISBLANK('Стёкла BF5, BF4, BF3'!$M$23),"",'Стёкла BF5, BF4, BF3'!$M$23)</f>
        <v>81.55</v>
      </c>
      <c r="S1291" s="292" t="str">
        <f aca="false">IF(ISBLANK('Стёкла BF5, BF4, BF3'!$O$23),"",'Стёкла BF5, BF4, BF3'!$O$23)</f>
        <v/>
      </c>
    </row>
    <row r="1292" customFormat="false" ht="66" hidden="false" customHeight="true" outlineLevel="0" collapsed="false">
      <c r="A1292" s="291" t="str">
        <f aca="true">IF(ISNUMBER($J1292),INDIRECT("L"&amp;($J1292+4)),"")</f>
        <v/>
      </c>
      <c r="B1292" s="291" t="str">
        <f aca="true">IF(ISNUMBER($J1292),INDIRECT("M"&amp;($J1292+4)),"")</f>
        <v/>
      </c>
      <c r="C1292" s="296" t="str">
        <f aca="true">IF(ISNUMBER($J1292),INDIRECT("N"&amp;($J1292+4)),"")</f>
        <v/>
      </c>
      <c r="D1292" s="291" t="str">
        <f aca="true">IF(ISNUMBER($J1292),INDIRECT("O"&amp;($J1292+4)),"")</f>
        <v/>
      </c>
      <c r="E1292" s="291" t="str">
        <f aca="true">IF(ISNUMBER($J1292),INDIRECT("P"&amp;($J1292+4)),"")</f>
        <v/>
      </c>
      <c r="F1292" s="300" t="str">
        <f aca="true">IF(ISNUMBER($J1292),INDIRECT("Q"&amp;($J1292+4)),"")</f>
        <v/>
      </c>
      <c r="G1292" s="298" t="str">
        <f aca="true">IF(ISNUMBER($J1292),INDIRECT("R"&amp;($J1292+4)),"")</f>
        <v/>
      </c>
      <c r="H1292" s="298" t="str">
        <f aca="true">IF(ISNUMBER($J1292),INDIRECT("S"&amp;($J1292+4)),"")</f>
        <v/>
      </c>
      <c r="J1292" s="292" t="str">
        <f aca="true">IF(1288&lt;=$K$1,MATCH(1287.5,INDIRECT("$K$4:$K$1374"),1),"")</f>
        <v/>
      </c>
      <c r="K1292" s="292" t="n">
        <f aca="false">$K$1284+COUNTIF($Q$1285:Q1292,"&gt;0")</f>
        <v>0</v>
      </c>
      <c r="L1292" s="292" t="str">
        <f aca="false">"Стёкла BF5, BF4, BF3"&amp;" · "&amp;'Стёкла BF5, BF4, BF3'!$J$24</f>
        <v>Стёкла BF5, BF4, BF3 · BF5</v>
      </c>
      <c r="M1292" s="292" t="str">
        <f aca="false">IF(ISBLANK('Стёкла BF5, BF4, BF3'!$K$24),"",'Стёкла BF5, BF4, BF3'!$K$24)</f>
        <v>iP 17 Pro</v>
      </c>
      <c r="N1292" s="292" t="str">
        <f aca="false">""</f>
        <v/>
      </c>
      <c r="O1292" s="292" t="str">
        <f aca="false">""</f>
        <v/>
      </c>
      <c r="P1292" s="292" t="str">
        <f aca="false">IF(ISBLANK('Стёкла BF5, BF4, BF3'!$L$24),"",'Стёкла BF5, BF4, BF3'!$L$24)</f>
        <v>шт.</v>
      </c>
      <c r="Q1292" s="292" t="n">
        <f aca="false">N('Стёкла BF5, BF4, BF3'!$N$24)</f>
        <v>0</v>
      </c>
      <c r="R1292" s="299" t="n">
        <f aca="false">IF(ISBLANK('Стёкла BF5, BF4, BF3'!$M$24),"",'Стёкла BF5, BF4, BF3'!$M$24)</f>
        <v>81.55</v>
      </c>
      <c r="S1292" s="292" t="str">
        <f aca="false">IF(ISBLANK('Стёкла BF5, BF4, BF3'!$O$24),"",'Стёкла BF5, BF4, BF3'!$O$24)</f>
        <v/>
      </c>
    </row>
    <row r="1293" customFormat="false" ht="66" hidden="false" customHeight="true" outlineLevel="0" collapsed="false">
      <c r="A1293" s="291" t="str">
        <f aca="true">IF(ISNUMBER($J1293),INDIRECT("L"&amp;($J1293+4)),"")</f>
        <v/>
      </c>
      <c r="B1293" s="291" t="str">
        <f aca="true">IF(ISNUMBER($J1293),INDIRECT("M"&amp;($J1293+4)),"")</f>
        <v/>
      </c>
      <c r="C1293" s="296" t="str">
        <f aca="true">IF(ISNUMBER($J1293),INDIRECT("N"&amp;($J1293+4)),"")</f>
        <v/>
      </c>
      <c r="D1293" s="291" t="str">
        <f aca="true">IF(ISNUMBER($J1293),INDIRECT("O"&amp;($J1293+4)),"")</f>
        <v/>
      </c>
      <c r="E1293" s="291" t="str">
        <f aca="true">IF(ISNUMBER($J1293),INDIRECT("P"&amp;($J1293+4)),"")</f>
        <v/>
      </c>
      <c r="F1293" s="300" t="str">
        <f aca="true">IF(ISNUMBER($J1293),INDIRECT("Q"&amp;($J1293+4)),"")</f>
        <v/>
      </c>
      <c r="G1293" s="298" t="str">
        <f aca="true">IF(ISNUMBER($J1293),INDIRECT("R"&amp;($J1293+4)),"")</f>
        <v/>
      </c>
      <c r="H1293" s="298" t="str">
        <f aca="true">IF(ISNUMBER($J1293),INDIRECT("S"&amp;($J1293+4)),"")</f>
        <v/>
      </c>
      <c r="J1293" s="292" t="str">
        <f aca="true">IF(1289&lt;=$K$1,MATCH(1288.5,INDIRECT("$K$4:$K$1374"),1),"")</f>
        <v/>
      </c>
      <c r="K1293" s="292" t="n">
        <f aca="false">$K$1284+COUNTIF($Q$1285:Q1293,"&gt;0")</f>
        <v>0</v>
      </c>
      <c r="L1293" s="292" t="str">
        <f aca="false">"Стёкла BF5, BF4, BF3"&amp;" · "&amp;'Стёкла BF5, BF4, BF3'!$J$25</f>
        <v>Стёкла BF5, BF4, BF3 · BF5</v>
      </c>
      <c r="M1293" s="292" t="str">
        <f aca="false">IF(ISBLANK('Стёкла BF5, BF4, BF3'!$K$25),"",'Стёкла BF5, BF4, BF3'!$K$25)</f>
        <v>iP 17 Pro Max</v>
      </c>
      <c r="N1293" s="292" t="str">
        <f aca="false">""</f>
        <v/>
      </c>
      <c r="O1293" s="292" t="str">
        <f aca="false">""</f>
        <v/>
      </c>
      <c r="P1293" s="292" t="str">
        <f aca="false">IF(ISBLANK('Стёкла BF5, BF4, BF3'!$L$25),"",'Стёкла BF5, BF4, BF3'!$L$25)</f>
        <v>шт.</v>
      </c>
      <c r="Q1293" s="292" t="n">
        <f aca="false">N('Стёкла BF5, BF4, BF3'!$N$25)</f>
        <v>0</v>
      </c>
      <c r="R1293" s="299" t="n">
        <f aca="false">IF(ISBLANK('Стёкла BF5, BF4, BF3'!$M$25),"",'Стёкла BF5, BF4, BF3'!$M$25)</f>
        <v>81.55</v>
      </c>
      <c r="S1293" s="292" t="str">
        <f aca="false">IF(ISBLANK('Стёкла BF5, BF4, BF3'!$O$25),"",'Стёкла BF5, BF4, BF3'!$O$25)</f>
        <v/>
      </c>
    </row>
    <row r="1294" customFormat="false" ht="66" hidden="false" customHeight="true" outlineLevel="0" collapsed="false">
      <c r="A1294" s="291" t="str">
        <f aca="true">IF(ISNUMBER($J1294),INDIRECT("L"&amp;($J1294+4)),"")</f>
        <v/>
      </c>
      <c r="B1294" s="291" t="str">
        <f aca="true">IF(ISNUMBER($J1294),INDIRECT("M"&amp;($J1294+4)),"")</f>
        <v/>
      </c>
      <c r="C1294" s="296" t="str">
        <f aca="true">IF(ISNUMBER($J1294),INDIRECT("N"&amp;($J1294+4)),"")</f>
        <v/>
      </c>
      <c r="D1294" s="291" t="str">
        <f aca="true">IF(ISNUMBER($J1294),INDIRECT("O"&amp;($J1294+4)),"")</f>
        <v/>
      </c>
      <c r="E1294" s="291" t="str">
        <f aca="true">IF(ISNUMBER($J1294),INDIRECT("P"&amp;($J1294+4)),"")</f>
        <v/>
      </c>
      <c r="F1294" s="300" t="str">
        <f aca="true">IF(ISNUMBER($J1294),INDIRECT("Q"&amp;($J1294+4)),"")</f>
        <v/>
      </c>
      <c r="G1294" s="298" t="str">
        <f aca="true">IF(ISNUMBER($J1294),INDIRECT("R"&amp;($J1294+4)),"")</f>
        <v/>
      </c>
      <c r="H1294" s="298" t="str">
        <f aca="true">IF(ISNUMBER($J1294),INDIRECT("S"&amp;($J1294+4)),"")</f>
        <v/>
      </c>
      <c r="J1294" s="292" t="str">
        <f aca="true">IF(1290&lt;=$K$1,MATCH(1289.5,INDIRECT("$K$4:$K$1374"),1),"")</f>
        <v/>
      </c>
      <c r="K1294" s="292" t="n">
        <f aca="false">$K$1284+COUNTIF($Q$1285:Q1294,"&gt;0")</f>
        <v>0</v>
      </c>
      <c r="L1294" s="292" t="str">
        <f aca="false">"Стёкла BF5, BF4, BF3"&amp;" · "&amp;'Стёкла BF5, BF4, BF3'!$J$28</f>
        <v>Стёкла BF5, BF4, BF3 · BF4</v>
      </c>
      <c r="M1294" s="292" t="str">
        <f aca="false">IF(ISBLANK('Стёкла BF5, BF4, BF3'!$K$28),"",'Стёкла BF5, BF4, BF3'!$K$28)</f>
        <v>iP 5/5s/SE-4</v>
      </c>
      <c r="N1294" s="292" t="str">
        <f aca="false">""</f>
        <v/>
      </c>
      <c r="O1294" s="292" t="str">
        <f aca="false">""</f>
        <v/>
      </c>
      <c r="P1294" s="292" t="str">
        <f aca="false">IF(ISBLANK('Стёкла BF5, BF4, BF3'!$L$28),"",'Стёкла BF5, BF4, BF3'!$L$28)</f>
        <v>шт.</v>
      </c>
      <c r="Q1294" s="292" t="n">
        <f aca="false">N('Стёкла BF5, BF4, BF3'!$N$28)</f>
        <v>0</v>
      </c>
      <c r="R1294" s="299" t="n">
        <f aca="false">IF(ISBLANK('Стёкла BF5, BF4, BF3'!$M$28),"",'Стёкла BF5, BF4, BF3'!$M$28)</f>
        <v>35.88</v>
      </c>
      <c r="S1294" s="292" t="str">
        <f aca="false">IF(ISBLANK('Стёкла BF5, BF4, BF3'!$O$28),"",'Стёкла BF5, BF4, BF3'!$O$28)</f>
        <v/>
      </c>
    </row>
    <row r="1295" customFormat="false" ht="66" hidden="false" customHeight="true" outlineLevel="0" collapsed="false">
      <c r="A1295" s="291" t="str">
        <f aca="true">IF(ISNUMBER($J1295),INDIRECT("L"&amp;($J1295+4)),"")</f>
        <v/>
      </c>
      <c r="B1295" s="291" t="str">
        <f aca="true">IF(ISNUMBER($J1295),INDIRECT("M"&amp;($J1295+4)),"")</f>
        <v/>
      </c>
      <c r="C1295" s="296" t="str">
        <f aca="true">IF(ISNUMBER($J1295),INDIRECT("N"&amp;($J1295+4)),"")</f>
        <v/>
      </c>
      <c r="D1295" s="291" t="str">
        <f aca="true">IF(ISNUMBER($J1295),INDIRECT("O"&amp;($J1295+4)),"")</f>
        <v/>
      </c>
      <c r="E1295" s="291" t="str">
        <f aca="true">IF(ISNUMBER($J1295),INDIRECT("P"&amp;($J1295+4)),"")</f>
        <v/>
      </c>
      <c r="F1295" s="300" t="str">
        <f aca="true">IF(ISNUMBER($J1295),INDIRECT("Q"&amp;($J1295+4)),"")</f>
        <v/>
      </c>
      <c r="G1295" s="298" t="str">
        <f aca="true">IF(ISNUMBER($J1295),INDIRECT("R"&amp;($J1295+4)),"")</f>
        <v/>
      </c>
      <c r="H1295" s="298" t="str">
        <f aca="true">IF(ISNUMBER($J1295),INDIRECT("S"&amp;($J1295+4)),"")</f>
        <v/>
      </c>
      <c r="J1295" s="292" t="str">
        <f aca="true">IF(1291&lt;=$K$1,MATCH(1290.5,INDIRECT("$K$4:$K$1374"),1),"")</f>
        <v/>
      </c>
      <c r="K1295" s="292" t="n">
        <f aca="false">$K$1284+COUNTIF($Q$1285:Q1295,"&gt;0")</f>
        <v>0</v>
      </c>
      <c r="L1295" s="292" t="str">
        <f aca="false">"Стёкла BF5, BF4, BF3"&amp;" · "&amp;'Стёкла BF5, BF4, BF3'!$J$29</f>
        <v>Стёкла BF5, BF4, BF3 · BF4</v>
      </c>
      <c r="M1295" s="292" t="str">
        <f aca="false">IF(ISBLANK('Стёкла BF5, BF4, BF3'!$K$29),"",'Стёкла BF5, BF4, BF3'!$K$29)</f>
        <v>iP 7/8-4.7</v>
      </c>
      <c r="N1295" s="292" t="str">
        <f aca="false">""</f>
        <v/>
      </c>
      <c r="O1295" s="292" t="str">
        <f aca="false">""</f>
        <v/>
      </c>
      <c r="P1295" s="292" t="str">
        <f aca="false">IF(ISBLANK('Стёкла BF5, BF4, BF3'!$L$29),"",'Стёкла BF5, BF4, BF3'!$L$29)</f>
        <v>шт.</v>
      </c>
      <c r="Q1295" s="292" t="n">
        <f aca="false">N('Стёкла BF5, BF4, BF3'!$N$29)</f>
        <v>0</v>
      </c>
      <c r="R1295" s="299" t="n">
        <f aca="false">IF(ISBLANK('Стёкла BF5, BF4, BF3'!$M$29),"",'Стёкла BF5, BF4, BF3'!$M$29)</f>
        <v>35.88</v>
      </c>
      <c r="S1295" s="292" t="str">
        <f aca="false">IF(ISBLANK('Стёкла BF5, BF4, BF3'!$O$29),"",'Стёкла BF5, BF4, BF3'!$O$29)</f>
        <v/>
      </c>
    </row>
    <row r="1296" customFormat="false" ht="66" hidden="false" customHeight="true" outlineLevel="0" collapsed="false">
      <c r="A1296" s="291" t="str">
        <f aca="true">IF(ISNUMBER($J1296),INDIRECT("L"&amp;($J1296+4)),"")</f>
        <v/>
      </c>
      <c r="B1296" s="291" t="str">
        <f aca="true">IF(ISNUMBER($J1296),INDIRECT("M"&amp;($J1296+4)),"")</f>
        <v/>
      </c>
      <c r="C1296" s="296" t="str">
        <f aca="true">IF(ISNUMBER($J1296),INDIRECT("N"&amp;($J1296+4)),"")</f>
        <v/>
      </c>
      <c r="D1296" s="291" t="str">
        <f aca="true">IF(ISNUMBER($J1296),INDIRECT("O"&amp;($J1296+4)),"")</f>
        <v/>
      </c>
      <c r="E1296" s="291" t="str">
        <f aca="true">IF(ISNUMBER($J1296),INDIRECT("P"&amp;($J1296+4)),"")</f>
        <v/>
      </c>
      <c r="F1296" s="300" t="str">
        <f aca="true">IF(ISNUMBER($J1296),INDIRECT("Q"&amp;($J1296+4)),"")</f>
        <v/>
      </c>
      <c r="G1296" s="298" t="str">
        <f aca="true">IF(ISNUMBER($J1296),INDIRECT("R"&amp;($J1296+4)),"")</f>
        <v/>
      </c>
      <c r="H1296" s="298" t="str">
        <f aca="true">IF(ISNUMBER($J1296),INDIRECT("S"&amp;($J1296+4)),"")</f>
        <v/>
      </c>
      <c r="J1296" s="292" t="str">
        <f aca="true">IF(1292&lt;=$K$1,MATCH(1291.5,INDIRECT("$K$4:$K$1374"),1),"")</f>
        <v/>
      </c>
      <c r="K1296" s="292" t="n">
        <f aca="false">$K$1284+COUNTIF($Q$1285:Q1296,"&gt;0")</f>
        <v>0</v>
      </c>
      <c r="L1296" s="292" t="str">
        <f aca="false">"Стёкла BF5, BF4, BF3"&amp;" · "&amp;'Стёкла BF5, BF4, BF3'!$J$30</f>
        <v>Стёкла BF5, BF4, BF3 · BF4</v>
      </c>
      <c r="M1296" s="292" t="str">
        <f aca="false">IF(ISBLANK('Стёкла BF5, BF4, BF3'!$K$30),"",'Стёкла BF5, BF4, BF3'!$K$30)</f>
        <v>iP X/Xs/11 pro(5.8)</v>
      </c>
      <c r="N1296" s="292" t="str">
        <f aca="false">""</f>
        <v/>
      </c>
      <c r="O1296" s="292" t="str">
        <f aca="false">""</f>
        <v/>
      </c>
      <c r="P1296" s="292" t="str">
        <f aca="false">IF(ISBLANK('Стёкла BF5, BF4, BF3'!$L$30),"",'Стёкла BF5, BF4, BF3'!$L$30)</f>
        <v>шт.</v>
      </c>
      <c r="Q1296" s="292" t="n">
        <f aca="false">N('Стёкла BF5, BF4, BF3'!$N$30)</f>
        <v>0</v>
      </c>
      <c r="R1296" s="299" t="n">
        <f aca="false">IF(ISBLANK('Стёкла BF5, BF4, BF3'!$M$30),"",'Стёкла BF5, BF4, BF3'!$M$30)</f>
        <v>35.88</v>
      </c>
      <c r="S1296" s="292" t="str">
        <f aca="false">IF(ISBLANK('Стёкла BF5, BF4, BF3'!$O$30),"",'Стёкла BF5, BF4, BF3'!$O$30)</f>
        <v/>
      </c>
    </row>
    <row r="1297" customFormat="false" ht="66" hidden="false" customHeight="true" outlineLevel="0" collapsed="false">
      <c r="A1297" s="291" t="str">
        <f aca="true">IF(ISNUMBER($J1297),INDIRECT("L"&amp;($J1297+4)),"")</f>
        <v/>
      </c>
      <c r="B1297" s="291" t="str">
        <f aca="true">IF(ISNUMBER($J1297),INDIRECT("M"&amp;($J1297+4)),"")</f>
        <v/>
      </c>
      <c r="C1297" s="296" t="str">
        <f aca="true">IF(ISNUMBER($J1297),INDIRECT("N"&amp;($J1297+4)),"")</f>
        <v/>
      </c>
      <c r="D1297" s="291" t="str">
        <f aca="true">IF(ISNUMBER($J1297),INDIRECT("O"&amp;($J1297+4)),"")</f>
        <v/>
      </c>
      <c r="E1297" s="291" t="str">
        <f aca="true">IF(ISNUMBER($J1297),INDIRECT("P"&amp;($J1297+4)),"")</f>
        <v/>
      </c>
      <c r="F1297" s="300" t="str">
        <f aca="true">IF(ISNUMBER($J1297),INDIRECT("Q"&amp;($J1297+4)),"")</f>
        <v/>
      </c>
      <c r="G1297" s="298" t="str">
        <f aca="true">IF(ISNUMBER($J1297),INDIRECT("R"&amp;($J1297+4)),"")</f>
        <v/>
      </c>
      <c r="H1297" s="298" t="str">
        <f aca="true">IF(ISNUMBER($J1297),INDIRECT("S"&amp;($J1297+4)),"")</f>
        <v/>
      </c>
      <c r="J1297" s="292" t="str">
        <f aca="true">IF(1293&lt;=$K$1,MATCH(1292.5,INDIRECT("$K$4:$K$1374"),1),"")</f>
        <v/>
      </c>
      <c r="K1297" s="292" t="n">
        <f aca="false">$K$1284+COUNTIF($Q$1285:Q1297,"&gt;0")</f>
        <v>0</v>
      </c>
      <c r="L1297" s="292" t="str">
        <f aca="false">"Стёкла BF5, BF4, BF3"&amp;" · "&amp;'Стёкла BF5, BF4, BF3'!$J$31</f>
        <v>Стёкла BF5, BF4, BF3 · BF4</v>
      </c>
      <c r="M1297" s="292" t="str">
        <f aca="false">IF(ISBLANK('Стёкла BF5, BF4, BF3'!$K$31),"",'Стёкла BF5, BF4, BF3'!$K$31)</f>
        <v>iP12 mini</v>
      </c>
      <c r="N1297" s="292" t="str">
        <f aca="false">""</f>
        <v/>
      </c>
      <c r="O1297" s="292" t="str">
        <f aca="false">""</f>
        <v/>
      </c>
      <c r="P1297" s="292" t="str">
        <f aca="false">IF(ISBLANK('Стёкла BF5, BF4, BF3'!$L$31),"",'Стёкла BF5, BF4, BF3'!$L$31)</f>
        <v>шт.</v>
      </c>
      <c r="Q1297" s="292" t="n">
        <f aca="false">N('Стёкла BF5, BF4, BF3'!$N$31)</f>
        <v>0</v>
      </c>
      <c r="R1297" s="299" t="n">
        <f aca="false">IF(ISBLANK('Стёкла BF5, BF4, BF3'!$M$31),"",'Стёкла BF5, BF4, BF3'!$M$31)</f>
        <v>35.88</v>
      </c>
      <c r="S1297" s="292" t="str">
        <f aca="false">IF(ISBLANK('Стёкла BF5, BF4, BF3'!$O$31),"",'Стёкла BF5, BF4, BF3'!$O$31)</f>
        <v/>
      </c>
    </row>
    <row r="1298" customFormat="false" ht="66" hidden="false" customHeight="true" outlineLevel="0" collapsed="false">
      <c r="A1298" s="291" t="str">
        <f aca="true">IF(ISNUMBER($J1298),INDIRECT("L"&amp;($J1298+4)),"")</f>
        <v/>
      </c>
      <c r="B1298" s="291" t="str">
        <f aca="true">IF(ISNUMBER($J1298),INDIRECT("M"&amp;($J1298+4)),"")</f>
        <v/>
      </c>
      <c r="C1298" s="296" t="str">
        <f aca="true">IF(ISNUMBER($J1298),INDIRECT("N"&amp;($J1298+4)),"")</f>
        <v/>
      </c>
      <c r="D1298" s="291" t="str">
        <f aca="true">IF(ISNUMBER($J1298),INDIRECT("O"&amp;($J1298+4)),"")</f>
        <v/>
      </c>
      <c r="E1298" s="291" t="str">
        <f aca="true">IF(ISNUMBER($J1298),INDIRECT("P"&amp;($J1298+4)),"")</f>
        <v/>
      </c>
      <c r="F1298" s="300" t="str">
        <f aca="true">IF(ISNUMBER($J1298),INDIRECT("Q"&amp;($J1298+4)),"")</f>
        <v/>
      </c>
      <c r="G1298" s="298" t="str">
        <f aca="true">IF(ISNUMBER($J1298),INDIRECT("R"&amp;($J1298+4)),"")</f>
        <v/>
      </c>
      <c r="H1298" s="298" t="str">
        <f aca="true">IF(ISNUMBER($J1298),INDIRECT("S"&amp;($J1298+4)),"")</f>
        <v/>
      </c>
      <c r="J1298" s="292" t="str">
        <f aca="true">IF(1294&lt;=$K$1,MATCH(1293.5,INDIRECT("$K$4:$K$1374"),1),"")</f>
        <v/>
      </c>
      <c r="K1298" s="292" t="n">
        <f aca="false">$K$1284+COUNTIF($Q$1285:Q1298,"&gt;0")</f>
        <v>0</v>
      </c>
      <c r="L1298" s="292" t="str">
        <f aca="false">"Стёкла BF5, BF4, BF3"&amp;" · "&amp;'Стёкла BF5, BF4, BF3'!$J$32</f>
        <v>Стёкла BF5, BF4, BF3 · BF4</v>
      </c>
      <c r="M1298" s="292" t="str">
        <f aca="false">IF(ISBLANK('Стёкла BF5, BF4, BF3'!$K$32),"",'Стёкла BF5, BF4, BF3'!$K$32)</f>
        <v>iP13 mini</v>
      </c>
      <c r="N1298" s="292" t="str">
        <f aca="false">""</f>
        <v/>
      </c>
      <c r="O1298" s="292" t="str">
        <f aca="false">""</f>
        <v/>
      </c>
      <c r="P1298" s="292" t="str">
        <f aca="false">IF(ISBLANK('Стёкла BF5, BF4, BF3'!$L$32),"",'Стёкла BF5, BF4, BF3'!$L$32)</f>
        <v>шт.</v>
      </c>
      <c r="Q1298" s="292" t="n">
        <f aca="false">N('Стёкла BF5, BF4, BF3'!$N$32)</f>
        <v>0</v>
      </c>
      <c r="R1298" s="299" t="n">
        <f aca="false">IF(ISBLANK('Стёкла BF5, BF4, BF3'!$M$32),"",'Стёкла BF5, BF4, BF3'!$M$32)</f>
        <v>35.88</v>
      </c>
      <c r="S1298" s="292" t="str">
        <f aca="false">IF(ISBLANK('Стёкла BF5, BF4, BF3'!$O$32),"",'Стёкла BF5, BF4, BF3'!$O$32)</f>
        <v/>
      </c>
    </row>
    <row r="1299" customFormat="false" ht="66" hidden="false" customHeight="true" outlineLevel="0" collapsed="false">
      <c r="A1299" s="291" t="str">
        <f aca="true">IF(ISNUMBER($J1299),INDIRECT("L"&amp;($J1299+4)),"")</f>
        <v/>
      </c>
      <c r="B1299" s="291" t="str">
        <f aca="true">IF(ISNUMBER($J1299),INDIRECT("M"&amp;($J1299+4)),"")</f>
        <v/>
      </c>
      <c r="C1299" s="296" t="str">
        <f aca="true">IF(ISNUMBER($J1299),INDIRECT("N"&amp;($J1299+4)),"")</f>
        <v/>
      </c>
      <c r="D1299" s="291" t="str">
        <f aca="true">IF(ISNUMBER($J1299),INDIRECT("O"&amp;($J1299+4)),"")</f>
        <v/>
      </c>
      <c r="E1299" s="291" t="str">
        <f aca="true">IF(ISNUMBER($J1299),INDIRECT("P"&amp;($J1299+4)),"")</f>
        <v/>
      </c>
      <c r="F1299" s="300" t="str">
        <f aca="true">IF(ISNUMBER($J1299),INDIRECT("Q"&amp;($J1299+4)),"")</f>
        <v/>
      </c>
      <c r="G1299" s="298" t="str">
        <f aca="true">IF(ISNUMBER($J1299),INDIRECT("R"&amp;($J1299+4)),"")</f>
        <v/>
      </c>
      <c r="H1299" s="298" t="str">
        <f aca="true">IF(ISNUMBER($J1299),INDIRECT("S"&amp;($J1299+4)),"")</f>
        <v/>
      </c>
      <c r="J1299" s="292" t="str">
        <f aca="true">IF(1295&lt;=$K$1,MATCH(1294.5,INDIRECT("$K$4:$K$1374"),1),"")</f>
        <v/>
      </c>
      <c r="K1299" s="292" t="n">
        <f aca="false">$K$1284+COUNTIF($Q$1285:Q1299,"&gt;0")</f>
        <v>0</v>
      </c>
      <c r="L1299" s="292" t="str">
        <f aca="false">"Стёкла BF5, BF4, BF3"&amp;" · "&amp;'Стёкла BF5, BF4, BF3'!$J$33</f>
        <v>Стёкла BF5, BF4, BF3 · BF4</v>
      </c>
      <c r="M1299" s="292" t="str">
        <f aca="false">IF(ISBLANK('Стёкла BF5, BF4, BF3'!$K$33),"",'Стёкла BF5, BF4, BF3'!$K$33)</f>
        <v>iP 14 Pro</v>
      </c>
      <c r="N1299" s="292" t="str">
        <f aca="false">""</f>
        <v/>
      </c>
      <c r="O1299" s="292" t="str">
        <f aca="false">""</f>
        <v/>
      </c>
      <c r="P1299" s="292" t="str">
        <f aca="false">IF(ISBLANK('Стёкла BF5, BF4, BF3'!$L$33),"",'Стёкла BF5, BF4, BF3'!$L$33)</f>
        <v>шт.</v>
      </c>
      <c r="Q1299" s="292" t="n">
        <f aca="false">N('Стёкла BF5, BF4, BF3'!$N$33)</f>
        <v>0</v>
      </c>
      <c r="R1299" s="299" t="n">
        <f aca="false">IF(ISBLANK('Стёкла BF5, BF4, BF3'!$M$33),"",'Стёкла BF5, BF4, BF3'!$M$33)</f>
        <v>35.88</v>
      </c>
      <c r="S1299" s="292" t="str">
        <f aca="false">IF(ISBLANK('Стёкла BF5, BF4, BF3'!$O$33),"",'Стёкла BF5, BF4, BF3'!$O$33)</f>
        <v/>
      </c>
    </row>
    <row r="1300" customFormat="false" ht="66" hidden="false" customHeight="true" outlineLevel="0" collapsed="false">
      <c r="A1300" s="291" t="str">
        <f aca="true">IF(ISNUMBER($J1300),INDIRECT("L"&amp;($J1300+4)),"")</f>
        <v/>
      </c>
      <c r="B1300" s="291" t="str">
        <f aca="true">IF(ISNUMBER($J1300),INDIRECT("M"&amp;($J1300+4)),"")</f>
        <v/>
      </c>
      <c r="C1300" s="296" t="str">
        <f aca="true">IF(ISNUMBER($J1300),INDIRECT("N"&amp;($J1300+4)),"")</f>
        <v/>
      </c>
      <c r="D1300" s="291" t="str">
        <f aca="true">IF(ISNUMBER($J1300),INDIRECT("O"&amp;($J1300+4)),"")</f>
        <v/>
      </c>
      <c r="E1300" s="291" t="str">
        <f aca="true">IF(ISNUMBER($J1300),INDIRECT("P"&amp;($J1300+4)),"")</f>
        <v/>
      </c>
      <c r="F1300" s="300" t="str">
        <f aca="true">IF(ISNUMBER($J1300),INDIRECT("Q"&amp;($J1300+4)),"")</f>
        <v/>
      </c>
      <c r="G1300" s="298" t="str">
        <f aca="true">IF(ISNUMBER($J1300),INDIRECT("R"&amp;($J1300+4)),"")</f>
        <v/>
      </c>
      <c r="H1300" s="298" t="str">
        <f aca="true">IF(ISNUMBER($J1300),INDIRECT("S"&amp;($J1300+4)),"")</f>
        <v/>
      </c>
      <c r="J1300" s="292" t="str">
        <f aca="true">IF(1296&lt;=$K$1,MATCH(1295.5,INDIRECT("$K$4:$K$1374"),1),"")</f>
        <v/>
      </c>
      <c r="K1300" s="292" t="n">
        <f aca="false">$K$1284+COUNTIF($Q$1285:Q1300,"&gt;0")</f>
        <v>0</v>
      </c>
      <c r="L1300" s="292" t="str">
        <f aca="false">"Стёкла BF5, BF4, BF3"&amp;" · "&amp;'Стёкла BF5, BF4, BF3'!$J$34</f>
        <v>Стёкла BF5, BF4, BF3 · BF4</v>
      </c>
      <c r="M1300" s="292" t="str">
        <f aca="false">IF(ISBLANK('Стёкла BF5, BF4, BF3'!$K$34),"",'Стёкла BF5, BF4, BF3'!$K$34)</f>
        <v>iP 16 Pro 6.3</v>
      </c>
      <c r="N1300" s="292" t="str">
        <f aca="false">""</f>
        <v/>
      </c>
      <c r="O1300" s="292" t="str">
        <f aca="false">""</f>
        <v/>
      </c>
      <c r="P1300" s="292" t="str">
        <f aca="false">IF(ISBLANK('Стёкла BF5, BF4, BF3'!$L$34),"",'Стёкла BF5, BF4, BF3'!$L$34)</f>
        <v>шт.</v>
      </c>
      <c r="Q1300" s="292" t="n">
        <f aca="false">N('Стёкла BF5, BF4, BF3'!$N$34)</f>
        <v>0</v>
      </c>
      <c r="R1300" s="299" t="n">
        <f aca="false">IF(ISBLANK('Стёкла BF5, BF4, BF3'!$M$34),"",'Стёкла BF5, BF4, BF3'!$M$34)</f>
        <v>35.88</v>
      </c>
      <c r="S1300" s="292" t="str">
        <f aca="false">IF(ISBLANK('Стёкла BF5, BF4, BF3'!$O$34),"",'Стёкла BF5, BF4, BF3'!$O$34)</f>
        <v/>
      </c>
    </row>
    <row r="1301" customFormat="false" ht="66" hidden="false" customHeight="true" outlineLevel="0" collapsed="false">
      <c r="A1301" s="291" t="str">
        <f aca="true">IF(ISNUMBER($J1301),INDIRECT("L"&amp;($J1301+4)),"")</f>
        <v/>
      </c>
      <c r="B1301" s="291" t="str">
        <f aca="true">IF(ISNUMBER($J1301),INDIRECT("M"&amp;($J1301+4)),"")</f>
        <v/>
      </c>
      <c r="C1301" s="296" t="str">
        <f aca="true">IF(ISNUMBER($J1301),INDIRECT("N"&amp;($J1301+4)),"")</f>
        <v/>
      </c>
      <c r="D1301" s="291" t="str">
        <f aca="true">IF(ISNUMBER($J1301),INDIRECT("O"&amp;($J1301+4)),"")</f>
        <v/>
      </c>
      <c r="E1301" s="291" t="str">
        <f aca="true">IF(ISNUMBER($J1301),INDIRECT("P"&amp;($J1301+4)),"")</f>
        <v/>
      </c>
      <c r="F1301" s="300" t="str">
        <f aca="true">IF(ISNUMBER($J1301),INDIRECT("Q"&amp;($J1301+4)),"")</f>
        <v/>
      </c>
      <c r="G1301" s="298" t="str">
        <f aca="true">IF(ISNUMBER($J1301),INDIRECT("R"&amp;($J1301+4)),"")</f>
        <v/>
      </c>
      <c r="H1301" s="298" t="str">
        <f aca="true">IF(ISNUMBER($J1301),INDIRECT("S"&amp;($J1301+4)),"")</f>
        <v/>
      </c>
      <c r="J1301" s="292" t="str">
        <f aca="true">IF(1297&lt;=$K$1,MATCH(1296.5,INDIRECT("$K$4:$K$1374"),1),"")</f>
        <v/>
      </c>
      <c r="K1301" s="292" t="n">
        <f aca="false">$K$1284+COUNTIF($Q$1285:Q1301,"&gt;0")</f>
        <v>0</v>
      </c>
      <c r="L1301" s="292" t="str">
        <f aca="false">"Стёкла BF5, BF4, BF3"&amp;" · "&amp;'Стёкла BF5, BF4, BF3'!$J$35</f>
        <v>Стёкла BF5, BF4, BF3 · BF4</v>
      </c>
      <c r="M1301" s="292" t="str">
        <f aca="false">IF(ISBLANK('Стёкла BF5, BF4, BF3'!$K$35),"",'Стёкла BF5, BF4, BF3'!$K$35)</f>
        <v>iP 6/6s-4.7</v>
      </c>
      <c r="N1301" s="292" t="str">
        <f aca="false">""</f>
        <v/>
      </c>
      <c r="O1301" s="292" t="str">
        <f aca="false">""</f>
        <v/>
      </c>
      <c r="P1301" s="292" t="str">
        <f aca="false">IF(ISBLANK('Стёкла BF5, BF4, BF3'!$L$35),"",'Стёкла BF5, BF4, BF3'!$L$35)</f>
        <v>шт.</v>
      </c>
      <c r="Q1301" s="292" t="n">
        <f aca="false">N('Стёкла BF5, BF4, BF3'!$N$35)</f>
        <v>0</v>
      </c>
      <c r="R1301" s="299" t="n">
        <f aca="false">IF(ISBLANK('Стёкла BF5, BF4, BF3'!$M$35),"",'Стёкла BF5, BF4, BF3'!$M$35)</f>
        <v>35.88</v>
      </c>
      <c r="S1301" s="292" t="str">
        <f aca="false">IF(ISBLANK('Стёкла BF5, BF4, BF3'!$O$35),"",'Стёкла BF5, BF4, BF3'!$O$35)</f>
        <v/>
      </c>
    </row>
    <row r="1302" customFormat="false" ht="66" hidden="false" customHeight="true" outlineLevel="0" collapsed="false">
      <c r="A1302" s="291" t="str">
        <f aca="true">IF(ISNUMBER($J1302),INDIRECT("L"&amp;($J1302+4)),"")</f>
        <v/>
      </c>
      <c r="B1302" s="291" t="str">
        <f aca="true">IF(ISNUMBER($J1302),INDIRECT("M"&amp;($J1302+4)),"")</f>
        <v/>
      </c>
      <c r="C1302" s="296" t="str">
        <f aca="true">IF(ISNUMBER($J1302),INDIRECT("N"&amp;($J1302+4)),"")</f>
        <v/>
      </c>
      <c r="D1302" s="291" t="str">
        <f aca="true">IF(ISNUMBER($J1302),INDIRECT("O"&amp;($J1302+4)),"")</f>
        <v/>
      </c>
      <c r="E1302" s="291" t="str">
        <f aca="true">IF(ISNUMBER($J1302),INDIRECT("P"&amp;($J1302+4)),"")</f>
        <v/>
      </c>
      <c r="F1302" s="300" t="str">
        <f aca="true">IF(ISNUMBER($J1302),INDIRECT("Q"&amp;($J1302+4)),"")</f>
        <v/>
      </c>
      <c r="G1302" s="298" t="str">
        <f aca="true">IF(ISNUMBER($J1302),INDIRECT("R"&amp;($J1302+4)),"")</f>
        <v/>
      </c>
      <c r="H1302" s="298" t="str">
        <f aca="true">IF(ISNUMBER($J1302),INDIRECT("S"&amp;($J1302+4)),"")</f>
        <v/>
      </c>
      <c r="J1302" s="292" t="str">
        <f aca="true">IF(1298&lt;=$K$1,MATCH(1297.5,INDIRECT("$K$4:$K$1374"),1),"")</f>
        <v/>
      </c>
      <c r="K1302" s="292" t="n">
        <f aca="false">$K$1284+COUNTIF($Q$1285:Q1302,"&gt;0")</f>
        <v>0</v>
      </c>
      <c r="L1302" s="292" t="str">
        <f aca="false">"Стёкла BF5, BF4, BF3"&amp;" · "&amp;'Стёкла BF5, BF4, BF3'!$J$36</f>
        <v>Стёкла BF5, BF4, BF3 · BF4</v>
      </c>
      <c r="M1302" s="292" t="str">
        <f aca="false">IF(ISBLANK('Стёкла BF5, BF4, BF3'!$K$36),"",'Стёкла BF5, BF4, BF3'!$K$36)</f>
        <v>iP 7 plus/8 plus-5.5</v>
      </c>
      <c r="N1302" s="292" t="str">
        <f aca="false">""</f>
        <v/>
      </c>
      <c r="O1302" s="292" t="str">
        <f aca="false">""</f>
        <v/>
      </c>
      <c r="P1302" s="292" t="str">
        <f aca="false">IF(ISBLANK('Стёкла BF5, BF4, BF3'!$L$36),"",'Стёкла BF5, BF4, BF3'!$L$36)</f>
        <v>шт.</v>
      </c>
      <c r="Q1302" s="292" t="n">
        <f aca="false">N('Стёкла BF5, BF4, BF3'!$N$36)</f>
        <v>0</v>
      </c>
      <c r="R1302" s="299" t="n">
        <f aca="false">IF(ISBLANK('Стёкла BF5, BF4, BF3'!$M$36),"",'Стёкла BF5, BF4, BF3'!$M$36)</f>
        <v>35.88</v>
      </c>
      <c r="S1302" s="292" t="str">
        <f aca="false">IF(ISBLANK('Стёкла BF5, BF4, BF3'!$O$36),"",'Стёкла BF5, BF4, BF3'!$O$36)</f>
        <v/>
      </c>
    </row>
    <row r="1303" customFormat="false" ht="66" hidden="false" customHeight="true" outlineLevel="0" collapsed="false">
      <c r="A1303" s="291" t="str">
        <f aca="true">IF(ISNUMBER($J1303),INDIRECT("L"&amp;($J1303+4)),"")</f>
        <v/>
      </c>
      <c r="B1303" s="291" t="str">
        <f aca="true">IF(ISNUMBER($J1303),INDIRECT("M"&amp;($J1303+4)),"")</f>
        <v/>
      </c>
      <c r="C1303" s="296" t="str">
        <f aca="true">IF(ISNUMBER($J1303),INDIRECT("N"&amp;($J1303+4)),"")</f>
        <v/>
      </c>
      <c r="D1303" s="291" t="str">
        <f aca="true">IF(ISNUMBER($J1303),INDIRECT("O"&amp;($J1303+4)),"")</f>
        <v/>
      </c>
      <c r="E1303" s="291" t="str">
        <f aca="true">IF(ISNUMBER($J1303),INDIRECT("P"&amp;($J1303+4)),"")</f>
        <v/>
      </c>
      <c r="F1303" s="300" t="str">
        <f aca="true">IF(ISNUMBER($J1303),INDIRECT("Q"&amp;($J1303+4)),"")</f>
        <v/>
      </c>
      <c r="G1303" s="298" t="str">
        <f aca="true">IF(ISNUMBER($J1303),INDIRECT("R"&amp;($J1303+4)),"")</f>
        <v/>
      </c>
      <c r="H1303" s="298" t="str">
        <f aca="true">IF(ISNUMBER($J1303),INDIRECT("S"&amp;($J1303+4)),"")</f>
        <v/>
      </c>
      <c r="J1303" s="292" t="str">
        <f aca="true">IF(1299&lt;=$K$1,MATCH(1298.5,INDIRECT("$K$4:$K$1374"),1),"")</f>
        <v/>
      </c>
      <c r="K1303" s="292" t="n">
        <f aca="false">$K$1284+COUNTIF($Q$1285:Q1303,"&gt;0")</f>
        <v>0</v>
      </c>
      <c r="L1303" s="292" t="str">
        <f aca="false">"Стёкла BF5, BF4, BF3"&amp;" · "&amp;'Стёкла BF5, BF4, BF3'!$J$37</f>
        <v>Стёкла BF5, BF4, BF3 · BF4</v>
      </c>
      <c r="M1303" s="292" t="str">
        <f aca="false">IF(ISBLANK('Стёкла BF5, BF4, BF3'!$K$37),"",'Стёкла BF5, BF4, BF3'!$K$37)</f>
        <v>iP Xr/11 (6.1)</v>
      </c>
      <c r="N1303" s="292" t="str">
        <f aca="false">""</f>
        <v/>
      </c>
      <c r="O1303" s="292" t="str">
        <f aca="false">""</f>
        <v/>
      </c>
      <c r="P1303" s="292" t="str">
        <f aca="false">IF(ISBLANK('Стёкла BF5, BF4, BF3'!$L$37),"",'Стёкла BF5, BF4, BF3'!$L$37)</f>
        <v>шт.</v>
      </c>
      <c r="Q1303" s="292" t="n">
        <f aca="false">N('Стёкла BF5, BF4, BF3'!$N$37)</f>
        <v>0</v>
      </c>
      <c r="R1303" s="299" t="n">
        <f aca="false">IF(ISBLANK('Стёкла BF5, BF4, BF3'!$M$37),"",'Стёкла BF5, BF4, BF3'!$M$37)</f>
        <v>35.88</v>
      </c>
      <c r="S1303" s="292" t="str">
        <f aca="false">IF(ISBLANK('Стёкла BF5, BF4, BF3'!$O$37),"",'Стёкла BF5, BF4, BF3'!$O$37)</f>
        <v/>
      </c>
    </row>
    <row r="1304" customFormat="false" ht="66" hidden="false" customHeight="true" outlineLevel="0" collapsed="false">
      <c r="A1304" s="291" t="str">
        <f aca="true">IF(ISNUMBER($J1304),INDIRECT("L"&amp;($J1304+4)),"")</f>
        <v/>
      </c>
      <c r="B1304" s="291" t="str">
        <f aca="true">IF(ISNUMBER($J1304),INDIRECT("M"&amp;($J1304+4)),"")</f>
        <v/>
      </c>
      <c r="C1304" s="296" t="str">
        <f aca="true">IF(ISNUMBER($J1304),INDIRECT("N"&amp;($J1304+4)),"")</f>
        <v/>
      </c>
      <c r="D1304" s="291" t="str">
        <f aca="true">IF(ISNUMBER($J1304),INDIRECT("O"&amp;($J1304+4)),"")</f>
        <v/>
      </c>
      <c r="E1304" s="291" t="str">
        <f aca="true">IF(ISNUMBER($J1304),INDIRECT("P"&amp;($J1304+4)),"")</f>
        <v/>
      </c>
      <c r="F1304" s="300" t="str">
        <f aca="true">IF(ISNUMBER($J1304),INDIRECT("Q"&amp;($J1304+4)),"")</f>
        <v/>
      </c>
      <c r="G1304" s="298" t="str">
        <f aca="true">IF(ISNUMBER($J1304),INDIRECT("R"&amp;($J1304+4)),"")</f>
        <v/>
      </c>
      <c r="H1304" s="298" t="str">
        <f aca="true">IF(ISNUMBER($J1304),INDIRECT("S"&amp;($J1304+4)),"")</f>
        <v/>
      </c>
      <c r="J1304" s="292" t="str">
        <f aca="true">IF(1300&lt;=$K$1,MATCH(1299.5,INDIRECT("$K$4:$K$1374"),1),"")</f>
        <v/>
      </c>
      <c r="K1304" s="292" t="n">
        <f aca="false">$K$1284+COUNTIF($Q$1285:Q1304,"&gt;0")</f>
        <v>0</v>
      </c>
      <c r="L1304" s="292" t="str">
        <f aca="false">"Стёкла BF5, BF4, BF3"&amp;" · "&amp;'Стёкла BF5, BF4, BF3'!$J$38</f>
        <v>Стёкла BF5, BF4, BF3 · BF4</v>
      </c>
      <c r="M1304" s="292" t="str">
        <f aca="false">IF(ISBLANK('Стёкла BF5, BF4, BF3'!$K$38),"",'Стёкла BF5, BF4, BF3'!$K$38)</f>
        <v>iP12/12 Pro</v>
      </c>
      <c r="N1304" s="292" t="str">
        <f aca="false">""</f>
        <v/>
      </c>
      <c r="O1304" s="292" t="str">
        <f aca="false">""</f>
        <v/>
      </c>
      <c r="P1304" s="292" t="str">
        <f aca="false">IF(ISBLANK('Стёкла BF5, BF4, BF3'!$L$38),"",'Стёкла BF5, BF4, BF3'!$L$38)</f>
        <v>шт.</v>
      </c>
      <c r="Q1304" s="292" t="n">
        <f aca="false">N('Стёкла BF5, BF4, BF3'!$N$38)</f>
        <v>0</v>
      </c>
      <c r="R1304" s="299" t="n">
        <f aca="false">IF(ISBLANK('Стёкла BF5, BF4, BF3'!$M$38),"",'Стёкла BF5, BF4, BF3'!$M$38)</f>
        <v>35.88</v>
      </c>
      <c r="S1304" s="292" t="str">
        <f aca="false">IF(ISBLANK('Стёкла BF5, BF4, BF3'!$O$38),"",'Стёкла BF5, BF4, BF3'!$O$38)</f>
        <v/>
      </c>
    </row>
    <row r="1305" customFormat="false" ht="66" hidden="false" customHeight="true" outlineLevel="0" collapsed="false">
      <c r="A1305" s="291" t="str">
        <f aca="true">IF(ISNUMBER($J1305),INDIRECT("L"&amp;($J1305+4)),"")</f>
        <v/>
      </c>
      <c r="B1305" s="291" t="str">
        <f aca="true">IF(ISNUMBER($J1305),INDIRECT("M"&amp;($J1305+4)),"")</f>
        <v/>
      </c>
      <c r="C1305" s="296" t="str">
        <f aca="true">IF(ISNUMBER($J1305),INDIRECT("N"&amp;($J1305+4)),"")</f>
        <v/>
      </c>
      <c r="D1305" s="291" t="str">
        <f aca="true">IF(ISNUMBER($J1305),INDIRECT("O"&amp;($J1305+4)),"")</f>
        <v/>
      </c>
      <c r="E1305" s="291" t="str">
        <f aca="true">IF(ISNUMBER($J1305),INDIRECT("P"&amp;($J1305+4)),"")</f>
        <v/>
      </c>
      <c r="F1305" s="300" t="str">
        <f aca="true">IF(ISNUMBER($J1305),INDIRECT("Q"&amp;($J1305+4)),"")</f>
        <v/>
      </c>
      <c r="G1305" s="298" t="str">
        <f aca="true">IF(ISNUMBER($J1305),INDIRECT("R"&amp;($J1305+4)),"")</f>
        <v/>
      </c>
      <c r="H1305" s="298" t="str">
        <f aca="true">IF(ISNUMBER($J1305),INDIRECT("S"&amp;($J1305+4)),"")</f>
        <v/>
      </c>
      <c r="J1305" s="292" t="str">
        <f aca="true">IF(1301&lt;=$K$1,MATCH(1300.5,INDIRECT("$K$4:$K$1374"),1),"")</f>
        <v/>
      </c>
      <c r="K1305" s="292" t="n">
        <f aca="false">$K$1284+COUNTIF($Q$1285:Q1305,"&gt;0")</f>
        <v>0</v>
      </c>
      <c r="L1305" s="292" t="str">
        <f aca="false">"Стёкла BF5, BF4, BF3"&amp;" · "&amp;'Стёкла BF5, BF4, BF3'!$J$39</f>
        <v>Стёкла BF5, BF4, BF3 · BF4</v>
      </c>
      <c r="M1305" s="292" t="str">
        <f aca="false">IF(ISBLANK('Стёкла BF5, BF4, BF3'!$K$39),"",'Стёкла BF5, BF4, BF3'!$K$39)</f>
        <v>iP13 /13 Pro</v>
      </c>
      <c r="N1305" s="292" t="str">
        <f aca="false">""</f>
        <v/>
      </c>
      <c r="O1305" s="292" t="str">
        <f aca="false">""</f>
        <v/>
      </c>
      <c r="P1305" s="292" t="str">
        <f aca="false">IF(ISBLANK('Стёкла BF5, BF4, BF3'!$L$39),"",'Стёкла BF5, BF4, BF3'!$L$39)</f>
        <v>шт.</v>
      </c>
      <c r="Q1305" s="292" t="n">
        <f aca="false">N('Стёкла BF5, BF4, BF3'!$N$39)</f>
        <v>0</v>
      </c>
      <c r="R1305" s="299" t="n">
        <f aca="false">IF(ISBLANK('Стёкла BF5, BF4, BF3'!$M$39),"",'Стёкла BF5, BF4, BF3'!$M$39)</f>
        <v>35.88</v>
      </c>
      <c r="S1305" s="292" t="str">
        <f aca="false">IF(ISBLANK('Стёкла BF5, BF4, BF3'!$O$39),"",'Стёкла BF5, BF4, BF3'!$O$39)</f>
        <v/>
      </c>
    </row>
    <row r="1306" customFormat="false" ht="66" hidden="false" customHeight="true" outlineLevel="0" collapsed="false">
      <c r="A1306" s="291" t="str">
        <f aca="true">IF(ISNUMBER($J1306),INDIRECT("L"&amp;($J1306+4)),"")</f>
        <v/>
      </c>
      <c r="B1306" s="291" t="str">
        <f aca="true">IF(ISNUMBER($J1306),INDIRECT("M"&amp;($J1306+4)),"")</f>
        <v/>
      </c>
      <c r="C1306" s="296" t="str">
        <f aca="true">IF(ISNUMBER($J1306),INDIRECT("N"&amp;($J1306+4)),"")</f>
        <v/>
      </c>
      <c r="D1306" s="291" t="str">
        <f aca="true">IF(ISNUMBER($J1306),INDIRECT("O"&amp;($J1306+4)),"")</f>
        <v/>
      </c>
      <c r="E1306" s="291" t="str">
        <f aca="true">IF(ISNUMBER($J1306),INDIRECT("P"&amp;($J1306+4)),"")</f>
        <v/>
      </c>
      <c r="F1306" s="300" t="str">
        <f aca="true">IF(ISNUMBER($J1306),INDIRECT("Q"&amp;($J1306+4)),"")</f>
        <v/>
      </c>
      <c r="G1306" s="298" t="str">
        <f aca="true">IF(ISNUMBER($J1306),INDIRECT("R"&amp;($J1306+4)),"")</f>
        <v/>
      </c>
      <c r="H1306" s="298" t="str">
        <f aca="true">IF(ISNUMBER($J1306),INDIRECT("S"&amp;($J1306+4)),"")</f>
        <v/>
      </c>
      <c r="J1306" s="292" t="str">
        <f aca="true">IF(1302&lt;=$K$1,MATCH(1301.5,INDIRECT("$K$4:$K$1374"),1),"")</f>
        <v/>
      </c>
      <c r="K1306" s="292" t="n">
        <f aca="false">$K$1284+COUNTIF($Q$1285:Q1306,"&gt;0")</f>
        <v>0</v>
      </c>
      <c r="L1306" s="292" t="str">
        <f aca="false">"Стёкла BF5, BF4, BF3"&amp;" · "&amp;'Стёкла BF5, BF4, BF3'!$J$40</f>
        <v>Стёкла BF5, BF4, BF3 · BF4</v>
      </c>
      <c r="M1306" s="292" t="str">
        <f aca="false">IF(ISBLANK('Стёкла BF5, BF4, BF3'!$K$40),"",'Стёкла BF5, BF4, BF3'!$K$40)</f>
        <v>iP 14Pro Max</v>
      </c>
      <c r="N1306" s="292" t="str">
        <f aca="false">""</f>
        <v/>
      </c>
      <c r="O1306" s="292" t="str">
        <f aca="false">""</f>
        <v/>
      </c>
      <c r="P1306" s="292" t="str">
        <f aca="false">IF(ISBLANK('Стёкла BF5, BF4, BF3'!$L$40),"",'Стёкла BF5, BF4, BF3'!$L$40)</f>
        <v>шт.</v>
      </c>
      <c r="Q1306" s="292" t="n">
        <f aca="false">N('Стёкла BF5, BF4, BF3'!$N$40)</f>
        <v>0</v>
      </c>
      <c r="R1306" s="299" t="n">
        <f aca="false">IF(ISBLANK('Стёкла BF5, BF4, BF3'!$M$40),"",'Стёкла BF5, BF4, BF3'!$M$40)</f>
        <v>35.88</v>
      </c>
      <c r="S1306" s="292" t="str">
        <f aca="false">IF(ISBLANK('Стёкла BF5, BF4, BF3'!$O$40),"",'Стёкла BF5, BF4, BF3'!$O$40)</f>
        <v/>
      </c>
    </row>
    <row r="1307" customFormat="false" ht="66" hidden="false" customHeight="true" outlineLevel="0" collapsed="false">
      <c r="A1307" s="291" t="str">
        <f aca="true">IF(ISNUMBER($J1307),INDIRECT("L"&amp;($J1307+4)),"")</f>
        <v/>
      </c>
      <c r="B1307" s="291" t="str">
        <f aca="true">IF(ISNUMBER($J1307),INDIRECT("M"&amp;($J1307+4)),"")</f>
        <v/>
      </c>
      <c r="C1307" s="296" t="str">
        <f aca="true">IF(ISNUMBER($J1307),INDIRECT("N"&amp;($J1307+4)),"")</f>
        <v/>
      </c>
      <c r="D1307" s="291" t="str">
        <f aca="true">IF(ISNUMBER($J1307),INDIRECT("O"&amp;($J1307+4)),"")</f>
        <v/>
      </c>
      <c r="E1307" s="291" t="str">
        <f aca="true">IF(ISNUMBER($J1307),INDIRECT("P"&amp;($J1307+4)),"")</f>
        <v/>
      </c>
      <c r="F1307" s="300" t="str">
        <f aca="true">IF(ISNUMBER($J1307),INDIRECT("Q"&amp;($J1307+4)),"")</f>
        <v/>
      </c>
      <c r="G1307" s="298" t="str">
        <f aca="true">IF(ISNUMBER($J1307),INDIRECT("R"&amp;($J1307+4)),"")</f>
        <v/>
      </c>
      <c r="H1307" s="298" t="str">
        <f aca="true">IF(ISNUMBER($J1307),INDIRECT("S"&amp;($J1307+4)),"")</f>
        <v/>
      </c>
      <c r="J1307" s="292" t="str">
        <f aca="true">IF(1303&lt;=$K$1,MATCH(1302.5,INDIRECT("$K$4:$K$1374"),1),"")</f>
        <v/>
      </c>
      <c r="K1307" s="292" t="n">
        <f aca="false">$K$1284+COUNTIF($Q$1285:Q1307,"&gt;0")</f>
        <v>0</v>
      </c>
      <c r="L1307" s="292" t="str">
        <f aca="false">"Стёкла BF5, BF4, BF3"&amp;" · "&amp;'Стёкла BF5, BF4, BF3'!$J$41</f>
        <v>Стёкла BF5, BF4, BF3 · BF4</v>
      </c>
      <c r="M1307" s="292" t="str">
        <f aca="false">IF(ISBLANK('Стёкла BF5, BF4, BF3'!$K$41),"",'Стёкла BF5, BF4, BF3'!$K$41)</f>
        <v>iP 16 Pro Max 6.9</v>
      </c>
      <c r="N1307" s="292" t="str">
        <f aca="false">""</f>
        <v/>
      </c>
      <c r="O1307" s="292" t="str">
        <f aca="false">""</f>
        <v/>
      </c>
      <c r="P1307" s="292" t="str">
        <f aca="false">IF(ISBLANK('Стёкла BF5, BF4, BF3'!$L$41),"",'Стёкла BF5, BF4, BF3'!$L$41)</f>
        <v>шт.</v>
      </c>
      <c r="Q1307" s="292" t="n">
        <f aca="false">N('Стёкла BF5, BF4, BF3'!$N$41)</f>
        <v>0</v>
      </c>
      <c r="R1307" s="299" t="n">
        <f aca="false">IF(ISBLANK('Стёкла BF5, BF4, BF3'!$M$41),"",'Стёкла BF5, BF4, BF3'!$M$41)</f>
        <v>35.88</v>
      </c>
      <c r="S1307" s="292" t="str">
        <f aca="false">IF(ISBLANK('Стёкла BF5, BF4, BF3'!$O$41),"",'Стёкла BF5, BF4, BF3'!$O$41)</f>
        <v/>
      </c>
    </row>
    <row r="1308" customFormat="false" ht="66" hidden="false" customHeight="true" outlineLevel="0" collapsed="false">
      <c r="A1308" s="291" t="str">
        <f aca="true">IF(ISNUMBER($J1308),INDIRECT("L"&amp;($J1308+4)),"")</f>
        <v/>
      </c>
      <c r="B1308" s="291" t="str">
        <f aca="true">IF(ISNUMBER($J1308),INDIRECT("M"&amp;($J1308+4)),"")</f>
        <v/>
      </c>
      <c r="C1308" s="296" t="str">
        <f aca="true">IF(ISNUMBER($J1308),INDIRECT("N"&amp;($J1308+4)),"")</f>
        <v/>
      </c>
      <c r="D1308" s="291" t="str">
        <f aca="true">IF(ISNUMBER($J1308),INDIRECT("O"&amp;($J1308+4)),"")</f>
        <v/>
      </c>
      <c r="E1308" s="291" t="str">
        <f aca="true">IF(ISNUMBER($J1308),INDIRECT("P"&amp;($J1308+4)),"")</f>
        <v/>
      </c>
      <c r="F1308" s="300" t="str">
        <f aca="true">IF(ISNUMBER($J1308),INDIRECT("Q"&amp;($J1308+4)),"")</f>
        <v/>
      </c>
      <c r="G1308" s="298" t="str">
        <f aca="true">IF(ISNUMBER($J1308),INDIRECT("R"&amp;($J1308+4)),"")</f>
        <v/>
      </c>
      <c r="H1308" s="298" t="str">
        <f aca="true">IF(ISNUMBER($J1308),INDIRECT("S"&amp;($J1308+4)),"")</f>
        <v/>
      </c>
      <c r="J1308" s="292" t="str">
        <f aca="true">IF(1304&lt;=$K$1,MATCH(1303.5,INDIRECT("$K$4:$K$1374"),1),"")</f>
        <v/>
      </c>
      <c r="K1308" s="292" t="n">
        <f aca="false">$K$1284+COUNTIF($Q$1285:Q1308,"&gt;0")</f>
        <v>0</v>
      </c>
      <c r="L1308" s="292" t="str">
        <f aca="false">"Стёкла BF5, BF4, BF3"&amp;" · "&amp;'Стёкла BF5, BF4, BF3'!$J$42</f>
        <v>Стёкла BF5, BF4, BF3 · BF4</v>
      </c>
      <c r="M1308" s="292" t="str">
        <f aca="false">IF(ISBLANK('Стёкла BF5, BF4, BF3'!$K$42),"",'Стёкла BF5, BF4, BF3'!$K$42)</f>
        <v>iP 6 plus/6s plus-5.5</v>
      </c>
      <c r="N1308" s="292" t="str">
        <f aca="false">""</f>
        <v/>
      </c>
      <c r="O1308" s="292" t="str">
        <f aca="false">""</f>
        <v/>
      </c>
      <c r="P1308" s="292" t="str">
        <f aca="false">IF(ISBLANK('Стёкла BF5, BF4, BF3'!$L$42),"",'Стёкла BF5, BF4, BF3'!$L$42)</f>
        <v>шт.</v>
      </c>
      <c r="Q1308" s="292" t="n">
        <f aca="false">N('Стёкла BF5, BF4, BF3'!$N$42)</f>
        <v>0</v>
      </c>
      <c r="R1308" s="299" t="n">
        <f aca="false">IF(ISBLANK('Стёкла BF5, BF4, BF3'!$M$42),"",'Стёкла BF5, BF4, BF3'!$M$42)</f>
        <v>35.88</v>
      </c>
      <c r="S1308" s="292" t="str">
        <f aca="false">IF(ISBLANK('Стёкла BF5, BF4, BF3'!$O$42),"",'Стёкла BF5, BF4, BF3'!$O$42)</f>
        <v/>
      </c>
    </row>
    <row r="1309" customFormat="false" ht="66" hidden="false" customHeight="true" outlineLevel="0" collapsed="false">
      <c r="A1309" s="291" t="str">
        <f aca="true">IF(ISNUMBER($J1309),INDIRECT("L"&amp;($J1309+4)),"")</f>
        <v/>
      </c>
      <c r="B1309" s="291" t="str">
        <f aca="true">IF(ISNUMBER($J1309),INDIRECT("M"&amp;($J1309+4)),"")</f>
        <v/>
      </c>
      <c r="C1309" s="296" t="str">
        <f aca="true">IF(ISNUMBER($J1309),INDIRECT("N"&amp;($J1309+4)),"")</f>
        <v/>
      </c>
      <c r="D1309" s="291" t="str">
        <f aca="true">IF(ISNUMBER($J1309),INDIRECT("O"&amp;($J1309+4)),"")</f>
        <v/>
      </c>
      <c r="E1309" s="291" t="str">
        <f aca="true">IF(ISNUMBER($J1309),INDIRECT("P"&amp;($J1309+4)),"")</f>
        <v/>
      </c>
      <c r="F1309" s="300" t="str">
        <f aca="true">IF(ISNUMBER($J1309),INDIRECT("Q"&amp;($J1309+4)),"")</f>
        <v/>
      </c>
      <c r="G1309" s="298" t="str">
        <f aca="true">IF(ISNUMBER($J1309),INDIRECT("R"&amp;($J1309+4)),"")</f>
        <v/>
      </c>
      <c r="H1309" s="298" t="str">
        <f aca="true">IF(ISNUMBER($J1309),INDIRECT("S"&amp;($J1309+4)),"")</f>
        <v/>
      </c>
      <c r="J1309" s="292" t="str">
        <f aca="true">IF(1305&lt;=$K$1,MATCH(1304.5,INDIRECT("$K$4:$K$1374"),1),"")</f>
        <v/>
      </c>
      <c r="K1309" s="292" t="n">
        <f aca="false">$K$1284+COUNTIF($Q$1285:Q1309,"&gt;0")</f>
        <v>0</v>
      </c>
      <c r="L1309" s="292" t="str">
        <f aca="false">"Стёкла BF5, BF4, BF3"&amp;" · "&amp;'Стёкла BF5, BF4, BF3'!$J$43</f>
        <v>Стёкла BF5, BF4, BF3 · BF4</v>
      </c>
      <c r="M1309" s="292" t="str">
        <f aca="false">IF(ISBLANK('Стёкла BF5, BF4, BF3'!$K$43),"",'Стёкла BF5, BF4, BF3'!$K$43)</f>
        <v>iP Xs Max/11 Pro Max (6.5)</v>
      </c>
      <c r="N1309" s="292" t="str">
        <f aca="false">""</f>
        <v/>
      </c>
      <c r="O1309" s="292" t="str">
        <f aca="false">""</f>
        <v/>
      </c>
      <c r="P1309" s="292" t="str">
        <f aca="false">IF(ISBLANK('Стёкла BF5, BF4, BF3'!$L$43),"",'Стёкла BF5, BF4, BF3'!$L$43)</f>
        <v>шт.</v>
      </c>
      <c r="Q1309" s="292" t="n">
        <f aca="false">N('Стёкла BF5, BF4, BF3'!$N$43)</f>
        <v>0</v>
      </c>
      <c r="R1309" s="299" t="n">
        <f aca="false">IF(ISBLANK('Стёкла BF5, BF4, BF3'!$M$43),"",'Стёкла BF5, BF4, BF3'!$M$43)</f>
        <v>35.88</v>
      </c>
      <c r="S1309" s="292" t="str">
        <f aca="false">IF(ISBLANK('Стёкла BF5, BF4, BF3'!$O$43),"",'Стёкла BF5, BF4, BF3'!$O$43)</f>
        <v/>
      </c>
    </row>
    <row r="1310" customFormat="false" ht="66" hidden="false" customHeight="true" outlineLevel="0" collapsed="false">
      <c r="A1310" s="291" t="str">
        <f aca="true">IF(ISNUMBER($J1310),INDIRECT("L"&amp;($J1310+4)),"")</f>
        <v/>
      </c>
      <c r="B1310" s="291" t="str">
        <f aca="true">IF(ISNUMBER($J1310),INDIRECT("M"&amp;($J1310+4)),"")</f>
        <v/>
      </c>
      <c r="C1310" s="296" t="str">
        <f aca="true">IF(ISNUMBER($J1310),INDIRECT("N"&amp;($J1310+4)),"")</f>
        <v/>
      </c>
      <c r="D1310" s="291" t="str">
        <f aca="true">IF(ISNUMBER($J1310),INDIRECT("O"&amp;($J1310+4)),"")</f>
        <v/>
      </c>
      <c r="E1310" s="291" t="str">
        <f aca="true">IF(ISNUMBER($J1310),INDIRECT("P"&amp;($J1310+4)),"")</f>
        <v/>
      </c>
      <c r="F1310" s="300" t="str">
        <f aca="true">IF(ISNUMBER($J1310),INDIRECT("Q"&amp;($J1310+4)),"")</f>
        <v/>
      </c>
      <c r="G1310" s="298" t="str">
        <f aca="true">IF(ISNUMBER($J1310),INDIRECT("R"&amp;($J1310+4)),"")</f>
        <v/>
      </c>
      <c r="H1310" s="298" t="str">
        <f aca="true">IF(ISNUMBER($J1310),INDIRECT("S"&amp;($J1310+4)),"")</f>
        <v/>
      </c>
      <c r="J1310" s="292" t="str">
        <f aca="true">IF(1306&lt;=$K$1,MATCH(1305.5,INDIRECT("$K$4:$K$1374"),1),"")</f>
        <v/>
      </c>
      <c r="K1310" s="292" t="n">
        <f aca="false">$K$1284+COUNTIF($Q$1285:Q1310,"&gt;0")</f>
        <v>0</v>
      </c>
      <c r="L1310" s="292" t="str">
        <f aca="false">"Стёкла BF5, BF4, BF3"&amp;" · "&amp;'Стёкла BF5, BF4, BF3'!$J$44</f>
        <v>Стёкла BF5, BF4, BF3 · BF4</v>
      </c>
      <c r="M1310" s="292" t="str">
        <f aca="false">IF(ISBLANK('Стёкла BF5, BF4, BF3'!$K$44),"",'Стёкла BF5, BF4, BF3'!$K$44)</f>
        <v>iP 12 Pro Max</v>
      </c>
      <c r="N1310" s="292" t="str">
        <f aca="false">""</f>
        <v/>
      </c>
      <c r="O1310" s="292" t="str">
        <f aca="false">""</f>
        <v/>
      </c>
      <c r="P1310" s="292" t="str">
        <f aca="false">IF(ISBLANK('Стёкла BF5, BF4, BF3'!$L$44),"",'Стёкла BF5, BF4, BF3'!$L$44)</f>
        <v>шт.</v>
      </c>
      <c r="Q1310" s="292" t="n">
        <f aca="false">N('Стёкла BF5, BF4, BF3'!$N$44)</f>
        <v>0</v>
      </c>
      <c r="R1310" s="299" t="n">
        <f aca="false">IF(ISBLANK('Стёкла BF5, BF4, BF3'!$M$44),"",'Стёкла BF5, BF4, BF3'!$M$44)</f>
        <v>35.88</v>
      </c>
      <c r="S1310" s="292" t="str">
        <f aca="false">IF(ISBLANK('Стёкла BF5, BF4, BF3'!$O$44),"",'Стёкла BF5, BF4, BF3'!$O$44)</f>
        <v/>
      </c>
    </row>
    <row r="1311" customFormat="false" ht="66" hidden="false" customHeight="true" outlineLevel="0" collapsed="false">
      <c r="A1311" s="291" t="str">
        <f aca="true">IF(ISNUMBER($J1311),INDIRECT("L"&amp;($J1311+4)),"")</f>
        <v/>
      </c>
      <c r="B1311" s="291" t="str">
        <f aca="true">IF(ISNUMBER($J1311),INDIRECT("M"&amp;($J1311+4)),"")</f>
        <v/>
      </c>
      <c r="C1311" s="296" t="str">
        <f aca="true">IF(ISNUMBER($J1311),INDIRECT("N"&amp;($J1311+4)),"")</f>
        <v/>
      </c>
      <c r="D1311" s="291" t="str">
        <f aca="true">IF(ISNUMBER($J1311),INDIRECT("O"&amp;($J1311+4)),"")</f>
        <v/>
      </c>
      <c r="E1311" s="291" t="str">
        <f aca="true">IF(ISNUMBER($J1311),INDIRECT("P"&amp;($J1311+4)),"")</f>
        <v/>
      </c>
      <c r="F1311" s="300" t="str">
        <f aca="true">IF(ISNUMBER($J1311),INDIRECT("Q"&amp;($J1311+4)),"")</f>
        <v/>
      </c>
      <c r="G1311" s="298" t="str">
        <f aca="true">IF(ISNUMBER($J1311),INDIRECT("R"&amp;($J1311+4)),"")</f>
        <v/>
      </c>
      <c r="H1311" s="298" t="str">
        <f aca="true">IF(ISNUMBER($J1311),INDIRECT("S"&amp;($J1311+4)),"")</f>
        <v/>
      </c>
      <c r="J1311" s="292" t="str">
        <f aca="true">IF(1307&lt;=$K$1,MATCH(1306.5,INDIRECT("$K$4:$K$1374"),1),"")</f>
        <v/>
      </c>
      <c r="K1311" s="292" t="n">
        <f aca="false">$K$1284+COUNTIF($Q$1285:Q1311,"&gt;0")</f>
        <v>0</v>
      </c>
      <c r="L1311" s="292" t="str">
        <f aca="false">"Стёкла BF5, BF4, BF3"&amp;" · "&amp;'Стёкла BF5, BF4, BF3'!$J$45</f>
        <v>Стёкла BF5, BF4, BF3 · BF4</v>
      </c>
      <c r="M1311" s="292" t="str">
        <f aca="false">IF(ISBLANK('Стёкла BF5, BF4, BF3'!$K$45),"",'Стёкла BF5, BF4, BF3'!$K$45)</f>
        <v>iP 13 Pro Max</v>
      </c>
      <c r="N1311" s="292" t="str">
        <f aca="false">""</f>
        <v/>
      </c>
      <c r="O1311" s="292" t="str">
        <f aca="false">""</f>
        <v/>
      </c>
      <c r="P1311" s="292" t="str">
        <f aca="false">IF(ISBLANK('Стёкла BF5, BF4, BF3'!$L$45),"",'Стёкла BF5, BF4, BF3'!$L$45)</f>
        <v>шт.</v>
      </c>
      <c r="Q1311" s="292" t="n">
        <f aca="false">N('Стёкла BF5, BF4, BF3'!$N$45)</f>
        <v>0</v>
      </c>
      <c r="R1311" s="299" t="n">
        <f aca="false">IF(ISBLANK('Стёкла BF5, BF4, BF3'!$M$45),"",'Стёкла BF5, BF4, BF3'!$M$45)</f>
        <v>35.88</v>
      </c>
      <c r="S1311" s="292" t="str">
        <f aca="false">IF(ISBLANK('Стёкла BF5, BF4, BF3'!$O$45),"",'Стёкла BF5, BF4, BF3'!$O$45)</f>
        <v/>
      </c>
    </row>
    <row r="1312" customFormat="false" ht="66" hidden="false" customHeight="true" outlineLevel="0" collapsed="false">
      <c r="A1312" s="291" t="str">
        <f aca="true">IF(ISNUMBER($J1312),INDIRECT("L"&amp;($J1312+4)),"")</f>
        <v/>
      </c>
      <c r="B1312" s="291" t="str">
        <f aca="true">IF(ISNUMBER($J1312),INDIRECT("M"&amp;($J1312+4)),"")</f>
        <v/>
      </c>
      <c r="C1312" s="296" t="str">
        <f aca="true">IF(ISNUMBER($J1312),INDIRECT("N"&amp;($J1312+4)),"")</f>
        <v/>
      </c>
      <c r="D1312" s="291" t="str">
        <f aca="true">IF(ISNUMBER($J1312),INDIRECT("O"&amp;($J1312+4)),"")</f>
        <v/>
      </c>
      <c r="E1312" s="291" t="str">
        <f aca="true">IF(ISNUMBER($J1312),INDIRECT("P"&amp;($J1312+4)),"")</f>
        <v/>
      </c>
      <c r="F1312" s="300" t="str">
        <f aca="true">IF(ISNUMBER($J1312),INDIRECT("Q"&amp;($J1312+4)),"")</f>
        <v/>
      </c>
      <c r="G1312" s="298" t="str">
        <f aca="true">IF(ISNUMBER($J1312),INDIRECT("R"&amp;($J1312+4)),"")</f>
        <v/>
      </c>
      <c r="H1312" s="298" t="str">
        <f aca="true">IF(ISNUMBER($J1312),INDIRECT("S"&amp;($J1312+4)),"")</f>
        <v/>
      </c>
      <c r="J1312" s="292" t="str">
        <f aca="true">IF(1308&lt;=$K$1,MATCH(1307.5,INDIRECT("$K$4:$K$1374"),1),"")</f>
        <v/>
      </c>
      <c r="K1312" s="292" t="n">
        <f aca="false">$K$1284+COUNTIF($Q$1285:Q1312,"&gt;0")</f>
        <v>0</v>
      </c>
      <c r="L1312" s="292" t="str">
        <f aca="false">"Стёкла BF5, BF4, BF3"&amp;" · "&amp;'Стёкла BF5, BF4, BF3'!$J$46</f>
        <v>Стёкла BF5, BF4, BF3 · BF4</v>
      </c>
      <c r="M1312" s="292" t="str">
        <f aca="false">IF(ISBLANK('Стёкла BF5, BF4, BF3'!$K$46),"",'Стёкла BF5, BF4, BF3'!$K$46)</f>
        <v>iP16 / iP 15</v>
      </c>
      <c r="N1312" s="292" t="str">
        <f aca="false">""</f>
        <v/>
      </c>
      <c r="O1312" s="292" t="str">
        <f aca="false">""</f>
        <v/>
      </c>
      <c r="P1312" s="292" t="str">
        <f aca="false">IF(ISBLANK('Стёкла BF5, BF4, BF3'!$L$46),"",'Стёкла BF5, BF4, BF3'!$L$46)</f>
        <v>шт.</v>
      </c>
      <c r="Q1312" s="292" t="n">
        <f aca="false">N('Стёкла BF5, BF4, BF3'!$N$46)</f>
        <v>0</v>
      </c>
      <c r="R1312" s="299" t="n">
        <f aca="false">IF(ISBLANK('Стёкла BF5, BF4, BF3'!$M$46),"",'Стёкла BF5, BF4, BF3'!$M$46)</f>
        <v>35.88</v>
      </c>
      <c r="S1312" s="292" t="str">
        <f aca="false">IF(ISBLANK('Стёкла BF5, BF4, BF3'!$O$46),"",'Стёкла BF5, BF4, BF3'!$O$46)</f>
        <v/>
      </c>
    </row>
    <row r="1313" customFormat="false" ht="66" hidden="false" customHeight="true" outlineLevel="0" collapsed="false">
      <c r="A1313" s="291" t="str">
        <f aca="true">IF(ISNUMBER($J1313),INDIRECT("L"&amp;($J1313+4)),"")</f>
        <v/>
      </c>
      <c r="B1313" s="291" t="str">
        <f aca="true">IF(ISNUMBER($J1313),INDIRECT("M"&amp;($J1313+4)),"")</f>
        <v/>
      </c>
      <c r="C1313" s="296" t="str">
        <f aca="true">IF(ISNUMBER($J1313),INDIRECT("N"&amp;($J1313+4)),"")</f>
        <v/>
      </c>
      <c r="D1313" s="291" t="str">
        <f aca="true">IF(ISNUMBER($J1313),INDIRECT("O"&amp;($J1313+4)),"")</f>
        <v/>
      </c>
      <c r="E1313" s="291" t="str">
        <f aca="true">IF(ISNUMBER($J1313),INDIRECT("P"&amp;($J1313+4)),"")</f>
        <v/>
      </c>
      <c r="F1313" s="300" t="str">
        <f aca="true">IF(ISNUMBER($J1313),INDIRECT("Q"&amp;($J1313+4)),"")</f>
        <v/>
      </c>
      <c r="G1313" s="298" t="str">
        <f aca="true">IF(ISNUMBER($J1313),INDIRECT("R"&amp;($J1313+4)),"")</f>
        <v/>
      </c>
      <c r="H1313" s="298" t="str">
        <f aca="true">IF(ISNUMBER($J1313),INDIRECT("S"&amp;($J1313+4)),"")</f>
        <v/>
      </c>
      <c r="J1313" s="292" t="str">
        <f aca="true">IF(1309&lt;=$K$1,MATCH(1308.5,INDIRECT("$K$4:$K$1374"),1),"")</f>
        <v/>
      </c>
      <c r="K1313" s="292" t="n">
        <f aca="false">$K$1284+COUNTIF($Q$1285:Q1313,"&gt;0")</f>
        <v>0</v>
      </c>
      <c r="L1313" s="292" t="str">
        <f aca="false">"Стёкла BF5, BF4, BF3"&amp;" · "&amp;'Стёкла BF5, BF4, BF3'!$J$47</f>
        <v>Стёкла BF5, BF4, BF3 · BF4</v>
      </c>
      <c r="M1313" s="292" t="str">
        <f aca="false">IF(ISBLANK('Стёкла BF5, BF4, BF3'!$K$47),"",'Стёкла BF5, BF4, BF3'!$K$47)</f>
        <v>iP 17 Air</v>
      </c>
      <c r="N1313" s="292" t="str">
        <f aca="false">""</f>
        <v/>
      </c>
      <c r="O1313" s="292" t="str">
        <f aca="false">""</f>
        <v/>
      </c>
      <c r="P1313" s="292" t="str">
        <f aca="false">IF(ISBLANK('Стёкла BF5, BF4, BF3'!$L$47),"",'Стёкла BF5, BF4, BF3'!$L$47)</f>
        <v>шт.</v>
      </c>
      <c r="Q1313" s="292" t="n">
        <f aca="false">N('Стёкла BF5, BF4, BF3'!$N$47)</f>
        <v>0</v>
      </c>
      <c r="R1313" s="299" t="n">
        <f aca="false">IF(ISBLANK('Стёкла BF5, BF4, BF3'!$M$47),"",'Стёкла BF5, BF4, BF3'!$M$47)</f>
        <v>35.88</v>
      </c>
      <c r="S1313" s="292" t="str">
        <f aca="false">IF(ISBLANK('Стёкла BF5, BF4, BF3'!$O$47),"",'Стёкла BF5, BF4, BF3'!$O$47)</f>
        <v/>
      </c>
    </row>
    <row r="1314" customFormat="false" ht="66" hidden="false" customHeight="true" outlineLevel="0" collapsed="false">
      <c r="A1314" s="291" t="str">
        <f aca="true">IF(ISNUMBER($J1314),INDIRECT("L"&amp;($J1314+4)),"")</f>
        <v/>
      </c>
      <c r="B1314" s="291" t="str">
        <f aca="true">IF(ISNUMBER($J1314),INDIRECT("M"&amp;($J1314+4)),"")</f>
        <v/>
      </c>
      <c r="C1314" s="296" t="str">
        <f aca="true">IF(ISNUMBER($J1314),INDIRECT("N"&amp;($J1314+4)),"")</f>
        <v/>
      </c>
      <c r="D1314" s="291" t="str">
        <f aca="true">IF(ISNUMBER($J1314),INDIRECT("O"&amp;($J1314+4)),"")</f>
        <v/>
      </c>
      <c r="E1314" s="291" t="str">
        <f aca="true">IF(ISNUMBER($J1314),INDIRECT("P"&amp;($J1314+4)),"")</f>
        <v/>
      </c>
      <c r="F1314" s="300" t="str">
        <f aca="true">IF(ISNUMBER($J1314),INDIRECT("Q"&amp;($J1314+4)),"")</f>
        <v/>
      </c>
      <c r="G1314" s="298" t="str">
        <f aca="true">IF(ISNUMBER($J1314),INDIRECT("R"&amp;($J1314+4)),"")</f>
        <v/>
      </c>
      <c r="H1314" s="298" t="str">
        <f aca="true">IF(ISNUMBER($J1314),INDIRECT("S"&amp;($J1314+4)),"")</f>
        <v/>
      </c>
      <c r="J1314" s="292" t="str">
        <f aca="true">IF(1310&lt;=$K$1,MATCH(1309.5,INDIRECT("$K$4:$K$1374"),1),"")</f>
        <v/>
      </c>
      <c r="K1314" s="292" t="n">
        <f aca="false">$K$1284+COUNTIF($Q$1285:Q1314,"&gt;0")</f>
        <v>0</v>
      </c>
      <c r="L1314" s="292" t="str">
        <f aca="false">"Стёкла BF5, BF4, BF3"&amp;" · "&amp;'Стёкла BF5, BF4, BF3'!$J$48</f>
        <v>Стёкла BF5, BF4, BF3 · BF4</v>
      </c>
      <c r="M1314" s="292" t="str">
        <f aca="false">IF(ISBLANK('Стёкла BF5, BF4, BF3'!$K$48),"",'Стёкла BF5, BF4, BF3'!$K$48)</f>
        <v>iP16 Plus / iP 15 Plus  6.7</v>
      </c>
      <c r="N1314" s="292" t="str">
        <f aca="false">""</f>
        <v/>
      </c>
      <c r="O1314" s="292" t="str">
        <f aca="false">""</f>
        <v/>
      </c>
      <c r="P1314" s="292" t="str">
        <f aca="false">IF(ISBLANK('Стёкла BF5, BF4, BF3'!$L$48),"",'Стёкла BF5, BF4, BF3'!$L$48)</f>
        <v>шт.</v>
      </c>
      <c r="Q1314" s="292" t="n">
        <f aca="false">N('Стёкла BF5, BF4, BF3'!$N$48)</f>
        <v>0</v>
      </c>
      <c r="R1314" s="299" t="n">
        <f aca="false">IF(ISBLANK('Стёкла BF5, BF4, BF3'!$M$48),"",'Стёкла BF5, BF4, BF3'!$M$48)</f>
        <v>35.88</v>
      </c>
      <c r="S1314" s="292" t="str">
        <f aca="false">IF(ISBLANK('Стёкла BF5, BF4, BF3'!$O$48),"",'Стёкла BF5, BF4, BF3'!$O$48)</f>
        <v/>
      </c>
    </row>
    <row r="1315" customFormat="false" ht="66" hidden="false" customHeight="true" outlineLevel="0" collapsed="false">
      <c r="A1315" s="291" t="str">
        <f aca="true">IF(ISNUMBER($J1315),INDIRECT("L"&amp;($J1315+4)),"")</f>
        <v/>
      </c>
      <c r="B1315" s="291" t="str">
        <f aca="true">IF(ISNUMBER($J1315),INDIRECT("M"&amp;($J1315+4)),"")</f>
        <v/>
      </c>
      <c r="C1315" s="296" t="str">
        <f aca="true">IF(ISNUMBER($J1315),INDIRECT("N"&amp;($J1315+4)),"")</f>
        <v/>
      </c>
      <c r="D1315" s="291" t="str">
        <f aca="true">IF(ISNUMBER($J1315),INDIRECT("O"&amp;($J1315+4)),"")</f>
        <v/>
      </c>
      <c r="E1315" s="291" t="str">
        <f aca="true">IF(ISNUMBER($J1315),INDIRECT("P"&amp;($J1315+4)),"")</f>
        <v/>
      </c>
      <c r="F1315" s="300" t="str">
        <f aca="true">IF(ISNUMBER($J1315),INDIRECT("Q"&amp;($J1315+4)),"")</f>
        <v/>
      </c>
      <c r="G1315" s="298" t="str">
        <f aca="true">IF(ISNUMBER($J1315),INDIRECT("R"&amp;($J1315+4)),"")</f>
        <v/>
      </c>
      <c r="H1315" s="298" t="str">
        <f aca="true">IF(ISNUMBER($J1315),INDIRECT("S"&amp;($J1315+4)),"")</f>
        <v/>
      </c>
      <c r="J1315" s="292" t="str">
        <f aca="true">IF(1311&lt;=$K$1,MATCH(1310.5,INDIRECT("$K$4:$K$1374"),1),"")</f>
        <v/>
      </c>
      <c r="K1315" s="292" t="n">
        <f aca="false">$K$1284+COUNTIF($Q$1285:Q1315,"&gt;0")</f>
        <v>0</v>
      </c>
      <c r="L1315" s="292" t="str">
        <f aca="false">"Стёкла BF5, BF4, BF3"&amp;" · "&amp;'Стёкла BF5, BF4, BF3'!$J$49</f>
        <v>Стёкла BF5, BF4, BF3 · BF4</v>
      </c>
      <c r="M1315" s="292" t="str">
        <f aca="false">IF(ISBLANK('Стёкла BF5, BF4, BF3'!$K$49),"",'Стёкла BF5, BF4, BF3'!$K$49)</f>
        <v>iP 17 Pro</v>
      </c>
      <c r="N1315" s="292" t="str">
        <f aca="false">""</f>
        <v/>
      </c>
      <c r="O1315" s="292" t="str">
        <f aca="false">""</f>
        <v/>
      </c>
      <c r="P1315" s="292" t="str">
        <f aca="false">IF(ISBLANK('Стёкла BF5, BF4, BF3'!$L$49),"",'Стёкла BF5, BF4, BF3'!$L$49)</f>
        <v>шт.</v>
      </c>
      <c r="Q1315" s="292" t="n">
        <f aca="false">N('Стёкла BF5, BF4, BF3'!$N$49)</f>
        <v>0</v>
      </c>
      <c r="R1315" s="299" t="n">
        <f aca="false">IF(ISBLANK('Стёкла BF5, BF4, BF3'!$M$49),"",'Стёкла BF5, BF4, BF3'!$M$49)</f>
        <v>35.88</v>
      </c>
      <c r="S1315" s="292" t="str">
        <f aca="false">IF(ISBLANK('Стёкла BF5, BF4, BF3'!$O$49),"",'Стёкла BF5, BF4, BF3'!$O$49)</f>
        <v/>
      </c>
    </row>
    <row r="1316" customFormat="false" ht="66" hidden="false" customHeight="true" outlineLevel="0" collapsed="false">
      <c r="A1316" s="291" t="str">
        <f aca="true">IF(ISNUMBER($J1316),INDIRECT("L"&amp;($J1316+4)),"")</f>
        <v/>
      </c>
      <c r="B1316" s="291" t="str">
        <f aca="true">IF(ISNUMBER($J1316),INDIRECT("M"&amp;($J1316+4)),"")</f>
        <v/>
      </c>
      <c r="C1316" s="296" t="str">
        <f aca="true">IF(ISNUMBER($J1316),INDIRECT("N"&amp;($J1316+4)),"")</f>
        <v/>
      </c>
      <c r="D1316" s="291" t="str">
        <f aca="true">IF(ISNUMBER($J1316),INDIRECT("O"&amp;($J1316+4)),"")</f>
        <v/>
      </c>
      <c r="E1316" s="291" t="str">
        <f aca="true">IF(ISNUMBER($J1316),INDIRECT("P"&amp;($J1316+4)),"")</f>
        <v/>
      </c>
      <c r="F1316" s="300" t="str">
        <f aca="true">IF(ISNUMBER($J1316),INDIRECT("Q"&amp;($J1316+4)),"")</f>
        <v/>
      </c>
      <c r="G1316" s="298" t="str">
        <f aca="true">IF(ISNUMBER($J1316),INDIRECT("R"&amp;($J1316+4)),"")</f>
        <v/>
      </c>
      <c r="H1316" s="298" t="str">
        <f aca="true">IF(ISNUMBER($J1316),INDIRECT("S"&amp;($J1316+4)),"")</f>
        <v/>
      </c>
      <c r="J1316" s="292" t="str">
        <f aca="true">IF(1312&lt;=$K$1,MATCH(1311.5,INDIRECT("$K$4:$K$1374"),1),"")</f>
        <v/>
      </c>
      <c r="K1316" s="292" t="n">
        <f aca="false">$K$1284+COUNTIF($Q$1285:Q1316,"&gt;0")</f>
        <v>0</v>
      </c>
      <c r="L1316" s="292" t="str">
        <f aca="false">"Стёкла BF5, BF4, BF3"&amp;" · "&amp;'Стёкла BF5, BF4, BF3'!$J$50</f>
        <v>Стёкла BF5, BF4, BF3 · BF4</v>
      </c>
      <c r="M1316" s="292" t="str">
        <f aca="false">IF(ISBLANK('Стёкла BF5, BF4, BF3'!$K$50),"",'Стёкла BF5, BF4, BF3'!$K$50)</f>
        <v>iP 15 Pro 6.1</v>
      </c>
      <c r="N1316" s="292" t="str">
        <f aca="false">""</f>
        <v/>
      </c>
      <c r="O1316" s="292" t="str">
        <f aca="false">""</f>
        <v/>
      </c>
      <c r="P1316" s="292" t="str">
        <f aca="false">IF(ISBLANK('Стёкла BF5, BF4, BF3'!$L$50),"",'Стёкла BF5, BF4, BF3'!$L$50)</f>
        <v>шт.</v>
      </c>
      <c r="Q1316" s="292" t="n">
        <f aca="false">N('Стёкла BF5, BF4, BF3'!$N$50)</f>
        <v>0</v>
      </c>
      <c r="R1316" s="299" t="n">
        <f aca="false">IF(ISBLANK('Стёкла BF5, BF4, BF3'!$M$50),"",'Стёкла BF5, BF4, BF3'!$M$50)</f>
        <v>35.88</v>
      </c>
      <c r="S1316" s="292" t="str">
        <f aca="false">IF(ISBLANK('Стёкла BF5, BF4, BF3'!$O$50),"",'Стёкла BF5, BF4, BF3'!$O$50)</f>
        <v/>
      </c>
    </row>
    <row r="1317" customFormat="false" ht="66" hidden="false" customHeight="true" outlineLevel="0" collapsed="false">
      <c r="A1317" s="291" t="str">
        <f aca="true">IF(ISNUMBER($J1317),INDIRECT("L"&amp;($J1317+4)),"")</f>
        <v/>
      </c>
      <c r="B1317" s="291" t="str">
        <f aca="true">IF(ISNUMBER($J1317),INDIRECT("M"&amp;($J1317+4)),"")</f>
        <v/>
      </c>
      <c r="C1317" s="296" t="str">
        <f aca="true">IF(ISNUMBER($J1317),INDIRECT("N"&amp;($J1317+4)),"")</f>
        <v/>
      </c>
      <c r="D1317" s="291" t="str">
        <f aca="true">IF(ISNUMBER($J1317),INDIRECT("O"&amp;($J1317+4)),"")</f>
        <v/>
      </c>
      <c r="E1317" s="291" t="str">
        <f aca="true">IF(ISNUMBER($J1317),INDIRECT("P"&amp;($J1317+4)),"")</f>
        <v/>
      </c>
      <c r="F1317" s="300" t="str">
        <f aca="true">IF(ISNUMBER($J1317),INDIRECT("Q"&amp;($J1317+4)),"")</f>
        <v/>
      </c>
      <c r="G1317" s="298" t="str">
        <f aca="true">IF(ISNUMBER($J1317),INDIRECT("R"&amp;($J1317+4)),"")</f>
        <v/>
      </c>
      <c r="H1317" s="298" t="str">
        <f aca="true">IF(ISNUMBER($J1317),INDIRECT("S"&amp;($J1317+4)),"")</f>
        <v/>
      </c>
      <c r="J1317" s="292" t="str">
        <f aca="true">IF(1313&lt;=$K$1,MATCH(1312.5,INDIRECT("$K$4:$K$1374"),1),"")</f>
        <v/>
      </c>
      <c r="K1317" s="292" t="n">
        <f aca="false">$K$1284+COUNTIF($Q$1285:Q1317,"&gt;0")</f>
        <v>0</v>
      </c>
      <c r="L1317" s="292" t="str">
        <f aca="false">"Стёкла BF5, BF4, BF3"&amp;" · "&amp;'Стёкла BF5, BF4, BF3'!$J$51</f>
        <v>Стёкла BF5, BF4, BF3 · BF4</v>
      </c>
      <c r="M1317" s="292" t="str">
        <f aca="false">IF(ISBLANK('Стёкла BF5, BF4, BF3'!$K$51),"",'Стёкла BF5, BF4, BF3'!$K$51)</f>
        <v>iP 17 Pro Max</v>
      </c>
      <c r="N1317" s="292" t="str">
        <f aca="false">""</f>
        <v/>
      </c>
      <c r="O1317" s="292" t="str">
        <f aca="false">""</f>
        <v/>
      </c>
      <c r="P1317" s="292" t="str">
        <f aca="false">IF(ISBLANK('Стёкла BF5, BF4, BF3'!$L$51),"",'Стёкла BF5, BF4, BF3'!$L$51)</f>
        <v>шт.</v>
      </c>
      <c r="Q1317" s="292" t="n">
        <f aca="false">N('Стёкла BF5, BF4, BF3'!$N$51)</f>
        <v>0</v>
      </c>
      <c r="R1317" s="299" t="n">
        <f aca="false">IF(ISBLANK('Стёкла BF5, BF4, BF3'!$M$51),"",'Стёкла BF5, BF4, BF3'!$M$51)</f>
        <v>35.88</v>
      </c>
      <c r="S1317" s="292" t="str">
        <f aca="false">IF(ISBLANK('Стёкла BF5, BF4, BF3'!$O$51),"",'Стёкла BF5, BF4, BF3'!$O$51)</f>
        <v/>
      </c>
    </row>
    <row r="1318" customFormat="false" ht="66" hidden="false" customHeight="true" outlineLevel="0" collapsed="false">
      <c r="A1318" s="291" t="str">
        <f aca="true">IF(ISNUMBER($J1318),INDIRECT("L"&amp;($J1318+4)),"")</f>
        <v/>
      </c>
      <c r="B1318" s="291" t="str">
        <f aca="true">IF(ISNUMBER($J1318),INDIRECT("M"&amp;($J1318+4)),"")</f>
        <v/>
      </c>
      <c r="C1318" s="296" t="str">
        <f aca="true">IF(ISNUMBER($J1318),INDIRECT("N"&amp;($J1318+4)),"")</f>
        <v/>
      </c>
      <c r="D1318" s="291" t="str">
        <f aca="true">IF(ISNUMBER($J1318),INDIRECT("O"&amp;($J1318+4)),"")</f>
        <v/>
      </c>
      <c r="E1318" s="291" t="str">
        <f aca="true">IF(ISNUMBER($J1318),INDIRECT("P"&amp;($J1318+4)),"")</f>
        <v/>
      </c>
      <c r="F1318" s="300" t="str">
        <f aca="true">IF(ISNUMBER($J1318),INDIRECT("Q"&amp;($J1318+4)),"")</f>
        <v/>
      </c>
      <c r="G1318" s="298" t="str">
        <f aca="true">IF(ISNUMBER($J1318),INDIRECT("R"&amp;($J1318+4)),"")</f>
        <v/>
      </c>
      <c r="H1318" s="298" t="str">
        <f aca="true">IF(ISNUMBER($J1318),INDIRECT("S"&amp;($J1318+4)),"")</f>
        <v/>
      </c>
      <c r="J1318" s="292" t="str">
        <f aca="true">IF(1314&lt;=$K$1,MATCH(1313.5,INDIRECT("$K$4:$K$1374"),1),"")</f>
        <v/>
      </c>
      <c r="K1318" s="292" t="n">
        <f aca="false">$K$1284+COUNTIF($Q$1285:Q1318,"&gt;0")</f>
        <v>0</v>
      </c>
      <c r="L1318" s="292" t="str">
        <f aca="false">"Стёкла BF5, BF4, BF3"&amp;" · "&amp;'Стёкла BF5, BF4, BF3'!$J$52</f>
        <v>Стёкла BF5, BF4, BF3 · BF4</v>
      </c>
      <c r="M1318" s="292" t="str">
        <f aca="false">IF(ISBLANK('Стёкла BF5, BF4, BF3'!$K$52),"",'Стёкла BF5, BF4, BF3'!$K$52)</f>
        <v>iP 15 Pro Max 6.7</v>
      </c>
      <c r="N1318" s="292" t="str">
        <f aca="false">""</f>
        <v/>
      </c>
      <c r="O1318" s="292" t="str">
        <f aca="false">""</f>
        <v/>
      </c>
      <c r="P1318" s="292" t="str">
        <f aca="false">IF(ISBLANK('Стёкла BF5, BF4, BF3'!$L$52),"",'Стёкла BF5, BF4, BF3'!$L$52)</f>
        <v>шт.</v>
      </c>
      <c r="Q1318" s="292" t="n">
        <f aca="false">N('Стёкла BF5, BF4, BF3'!$N$52)</f>
        <v>0</v>
      </c>
      <c r="R1318" s="299" t="n">
        <f aca="false">IF(ISBLANK('Стёкла BF5, BF4, BF3'!$M$52),"",'Стёкла BF5, BF4, BF3'!$M$52)</f>
        <v>35.88</v>
      </c>
      <c r="S1318" s="292" t="str">
        <f aca="false">IF(ISBLANK('Стёкла BF5, BF4, BF3'!$O$52),"",'Стёкла BF5, BF4, BF3'!$O$52)</f>
        <v/>
      </c>
    </row>
    <row r="1319" customFormat="false" ht="66" hidden="false" customHeight="true" outlineLevel="0" collapsed="false">
      <c r="A1319" s="291" t="str">
        <f aca="true">IF(ISNUMBER($J1319),INDIRECT("L"&amp;($J1319+4)),"")</f>
        <v/>
      </c>
      <c r="B1319" s="291" t="str">
        <f aca="true">IF(ISNUMBER($J1319),INDIRECT("M"&amp;($J1319+4)),"")</f>
        <v/>
      </c>
      <c r="C1319" s="296" t="str">
        <f aca="true">IF(ISNUMBER($J1319),INDIRECT("N"&amp;($J1319+4)),"")</f>
        <v/>
      </c>
      <c r="D1319" s="291" t="str">
        <f aca="true">IF(ISNUMBER($J1319),INDIRECT("O"&amp;($J1319+4)),"")</f>
        <v/>
      </c>
      <c r="E1319" s="291" t="str">
        <f aca="true">IF(ISNUMBER($J1319),INDIRECT("P"&amp;($J1319+4)),"")</f>
        <v/>
      </c>
      <c r="F1319" s="300" t="str">
        <f aca="true">IF(ISNUMBER($J1319),INDIRECT("Q"&amp;($J1319+4)),"")</f>
        <v/>
      </c>
      <c r="G1319" s="298" t="str">
        <f aca="true">IF(ISNUMBER($J1319),INDIRECT("R"&amp;($J1319+4)),"")</f>
        <v/>
      </c>
      <c r="H1319" s="298" t="str">
        <f aca="true">IF(ISNUMBER($J1319),INDIRECT("S"&amp;($J1319+4)),"")</f>
        <v/>
      </c>
      <c r="J1319" s="292" t="str">
        <f aca="true">IF(1315&lt;=$K$1,MATCH(1314.5,INDIRECT("$K$4:$K$1374"),1),"")</f>
        <v/>
      </c>
      <c r="K1319" s="292" t="n">
        <f aca="false">$K$1284+COUNTIF($Q$1285:Q1319,"&gt;0")</f>
        <v>0</v>
      </c>
      <c r="L1319" s="292" t="str">
        <f aca="false">"Стёкла BF5, BF4, BF3"&amp;" · "&amp;'Стёкла BF5, BF4, BF3'!$J$55</f>
        <v>Стёкла BF5, BF4, BF3 · BF3</v>
      </c>
      <c r="M1319" s="292" t="str">
        <f aca="false">IF(ISBLANK('Стёкла BF5, BF4, BF3'!$K$55),"",'Стёкла BF5, BF4, BF3'!$K$55)</f>
        <v>iP 6/6s-4.7 чёрный</v>
      </c>
      <c r="N1319" s="292" t="str">
        <f aca="false">""</f>
        <v/>
      </c>
      <c r="O1319" s="292" t="str">
        <f aca="false">""</f>
        <v/>
      </c>
      <c r="P1319" s="292" t="str">
        <f aca="false">IF(ISBLANK('Стёкла BF5, BF4, BF3'!$L$55),"",'Стёкла BF5, BF4, BF3'!$L$55)</f>
        <v>шт.</v>
      </c>
      <c r="Q1319" s="292" t="n">
        <f aca="false">N('Стёкла BF5, BF4, BF3'!$N$55)</f>
        <v>0</v>
      </c>
      <c r="R1319" s="299" t="n">
        <f aca="false">IF(ISBLANK('Стёкла BF5, BF4, BF3'!$M$55),"",'Стёкла BF5, BF4, BF3'!$M$55)</f>
        <v>45.67</v>
      </c>
      <c r="S1319" s="292" t="str">
        <f aca="false">IF(ISBLANK('Стёкла BF5, BF4, BF3'!$O$55),"",'Стёкла BF5, BF4, BF3'!$O$55)</f>
        <v/>
      </c>
    </row>
    <row r="1320" customFormat="false" ht="66" hidden="false" customHeight="true" outlineLevel="0" collapsed="false">
      <c r="A1320" s="291" t="str">
        <f aca="true">IF(ISNUMBER($J1320),INDIRECT("L"&amp;($J1320+4)),"")</f>
        <v/>
      </c>
      <c r="B1320" s="291" t="str">
        <f aca="true">IF(ISNUMBER($J1320),INDIRECT("M"&amp;($J1320+4)),"")</f>
        <v/>
      </c>
      <c r="C1320" s="296" t="str">
        <f aca="true">IF(ISNUMBER($J1320),INDIRECT("N"&amp;($J1320+4)),"")</f>
        <v/>
      </c>
      <c r="D1320" s="291" t="str">
        <f aca="true">IF(ISNUMBER($J1320),INDIRECT("O"&amp;($J1320+4)),"")</f>
        <v/>
      </c>
      <c r="E1320" s="291" t="str">
        <f aca="true">IF(ISNUMBER($J1320),INDIRECT("P"&amp;($J1320+4)),"")</f>
        <v/>
      </c>
      <c r="F1320" s="300" t="str">
        <f aca="true">IF(ISNUMBER($J1320),INDIRECT("Q"&amp;($J1320+4)),"")</f>
        <v/>
      </c>
      <c r="G1320" s="298" t="str">
        <f aca="true">IF(ISNUMBER($J1320),INDIRECT("R"&amp;($J1320+4)),"")</f>
        <v/>
      </c>
      <c r="H1320" s="298" t="str">
        <f aca="true">IF(ISNUMBER($J1320),INDIRECT("S"&amp;($J1320+4)),"")</f>
        <v/>
      </c>
      <c r="J1320" s="292" t="str">
        <f aca="true">IF(1316&lt;=$K$1,MATCH(1315.5,INDIRECT("$K$4:$K$1374"),1),"")</f>
        <v/>
      </c>
      <c r="K1320" s="292" t="n">
        <f aca="false">$K$1284+COUNTIF($Q$1285:Q1320,"&gt;0")</f>
        <v>0</v>
      </c>
      <c r="L1320" s="292" t="str">
        <f aca="false">"Стёкла BF5, BF4, BF3"&amp;" · "&amp;'Стёкла BF5, BF4, BF3'!$J$56</f>
        <v>Стёкла BF5, BF4, BF3 · BF3</v>
      </c>
      <c r="M1320" s="292" t="str">
        <f aca="false">IF(ISBLANK('Стёкла BF5, BF4, BF3'!$K$56),"",'Стёкла BF5, BF4, BF3'!$K$56)</f>
        <v>iP 7/8-4.7 чёрный</v>
      </c>
      <c r="N1320" s="292" t="str">
        <f aca="false">""</f>
        <v/>
      </c>
      <c r="O1320" s="292" t="str">
        <f aca="false">""</f>
        <v/>
      </c>
      <c r="P1320" s="292" t="str">
        <f aca="false">IF(ISBLANK('Стёкла BF5, BF4, BF3'!$L$56),"",'Стёкла BF5, BF4, BF3'!$L$56)</f>
        <v>шт.</v>
      </c>
      <c r="Q1320" s="292" t="n">
        <f aca="false">N('Стёкла BF5, BF4, BF3'!$N$56)</f>
        <v>0</v>
      </c>
      <c r="R1320" s="299" t="n">
        <f aca="false">IF(ISBLANK('Стёкла BF5, BF4, BF3'!$M$56),"",'Стёкла BF5, BF4, BF3'!$M$56)</f>
        <v>45.67</v>
      </c>
      <c r="S1320" s="292" t="str">
        <f aca="false">IF(ISBLANK('Стёкла BF5, BF4, BF3'!$O$56),"",'Стёкла BF5, BF4, BF3'!$O$56)</f>
        <v/>
      </c>
    </row>
    <row r="1321" customFormat="false" ht="66" hidden="false" customHeight="true" outlineLevel="0" collapsed="false">
      <c r="A1321" s="291" t="str">
        <f aca="true">IF(ISNUMBER($J1321),INDIRECT("L"&amp;($J1321+4)),"")</f>
        <v/>
      </c>
      <c r="B1321" s="291" t="str">
        <f aca="true">IF(ISNUMBER($J1321),INDIRECT("M"&amp;($J1321+4)),"")</f>
        <v/>
      </c>
      <c r="C1321" s="296" t="str">
        <f aca="true">IF(ISNUMBER($J1321),INDIRECT("N"&amp;($J1321+4)),"")</f>
        <v/>
      </c>
      <c r="D1321" s="291" t="str">
        <f aca="true">IF(ISNUMBER($J1321),INDIRECT("O"&amp;($J1321+4)),"")</f>
        <v/>
      </c>
      <c r="E1321" s="291" t="str">
        <f aca="true">IF(ISNUMBER($J1321),INDIRECT("P"&amp;($J1321+4)),"")</f>
        <v/>
      </c>
      <c r="F1321" s="300" t="str">
        <f aca="true">IF(ISNUMBER($J1321),INDIRECT("Q"&amp;($J1321+4)),"")</f>
        <v/>
      </c>
      <c r="G1321" s="298" t="str">
        <f aca="true">IF(ISNUMBER($J1321),INDIRECT("R"&amp;($J1321+4)),"")</f>
        <v/>
      </c>
      <c r="H1321" s="298" t="str">
        <f aca="true">IF(ISNUMBER($J1321),INDIRECT("S"&amp;($J1321+4)),"")</f>
        <v/>
      </c>
      <c r="J1321" s="292" t="str">
        <f aca="true">IF(1317&lt;=$K$1,MATCH(1316.5,INDIRECT("$K$4:$K$1374"),1),"")</f>
        <v/>
      </c>
      <c r="K1321" s="292" t="n">
        <f aca="false">$K$1284+COUNTIF($Q$1285:Q1321,"&gt;0")</f>
        <v>0</v>
      </c>
      <c r="L1321" s="292" t="str">
        <f aca="false">"Стёкла BF5, BF4, BF3"&amp;" · "&amp;'Стёкла BF5, BF4, BF3'!$J$57</f>
        <v>Стёкла BF5, BF4, BF3 · BF3</v>
      </c>
      <c r="M1321" s="292" t="str">
        <f aca="false">IF(ISBLANK('Стёкла BF5, BF4, BF3'!$K$57),"",'Стёкла BF5, BF4, BF3'!$K$57)</f>
        <v>iP X/Xs/11 pro(5.8) чёрный</v>
      </c>
      <c r="N1321" s="292" t="str">
        <f aca="false">""</f>
        <v/>
      </c>
      <c r="O1321" s="292" t="str">
        <f aca="false">""</f>
        <v/>
      </c>
      <c r="P1321" s="292" t="str">
        <f aca="false">IF(ISBLANK('Стёкла BF5, BF4, BF3'!$L$57),"",'Стёкла BF5, BF4, BF3'!$L$57)</f>
        <v>шт.</v>
      </c>
      <c r="Q1321" s="292" t="n">
        <f aca="false">N('Стёкла BF5, BF4, BF3'!$N$57)</f>
        <v>0</v>
      </c>
      <c r="R1321" s="299" t="n">
        <f aca="false">IF(ISBLANK('Стёкла BF5, BF4, BF3'!$M$57),"",'Стёкла BF5, BF4, BF3'!$M$57)</f>
        <v>45.67</v>
      </c>
      <c r="S1321" s="292" t="str">
        <f aca="false">IF(ISBLANK('Стёкла BF5, BF4, BF3'!$O$57),"",'Стёкла BF5, BF4, BF3'!$O$57)</f>
        <v/>
      </c>
    </row>
    <row r="1322" customFormat="false" ht="66" hidden="false" customHeight="true" outlineLevel="0" collapsed="false">
      <c r="A1322" s="291" t="str">
        <f aca="true">IF(ISNUMBER($J1322),INDIRECT("L"&amp;($J1322+4)),"")</f>
        <v/>
      </c>
      <c r="B1322" s="291" t="str">
        <f aca="true">IF(ISNUMBER($J1322),INDIRECT("M"&amp;($J1322+4)),"")</f>
        <v/>
      </c>
      <c r="C1322" s="296" t="str">
        <f aca="true">IF(ISNUMBER($J1322),INDIRECT("N"&amp;($J1322+4)),"")</f>
        <v/>
      </c>
      <c r="D1322" s="291" t="str">
        <f aca="true">IF(ISNUMBER($J1322),INDIRECT("O"&amp;($J1322+4)),"")</f>
        <v/>
      </c>
      <c r="E1322" s="291" t="str">
        <f aca="true">IF(ISNUMBER($J1322),INDIRECT("P"&amp;($J1322+4)),"")</f>
        <v/>
      </c>
      <c r="F1322" s="300" t="str">
        <f aca="true">IF(ISNUMBER($J1322),INDIRECT("Q"&amp;($J1322+4)),"")</f>
        <v/>
      </c>
      <c r="G1322" s="298" t="str">
        <f aca="true">IF(ISNUMBER($J1322),INDIRECT("R"&amp;($J1322+4)),"")</f>
        <v/>
      </c>
      <c r="H1322" s="298" t="str">
        <f aca="true">IF(ISNUMBER($J1322),INDIRECT("S"&amp;($J1322+4)),"")</f>
        <v/>
      </c>
      <c r="J1322" s="292" t="str">
        <f aca="true">IF(1318&lt;=$K$1,MATCH(1317.5,INDIRECT("$K$4:$K$1374"),1),"")</f>
        <v/>
      </c>
      <c r="K1322" s="292" t="n">
        <f aca="false">$K$1284+COUNTIF($Q$1285:Q1322,"&gt;0")</f>
        <v>0</v>
      </c>
      <c r="L1322" s="292" t="str">
        <f aca="false">"Стёкла BF5, BF4, BF3"&amp;" · "&amp;'Стёкла BF5, BF4, BF3'!$J$58</f>
        <v>Стёкла BF5, BF4, BF3 · BF3</v>
      </c>
      <c r="M1322" s="292" t="str">
        <f aca="false">IF(ISBLANK('Стёкла BF5, BF4, BF3'!$K$58),"",'Стёкла BF5, BF4, BF3'!$K$58)</f>
        <v>iP12 mini чёрный</v>
      </c>
      <c r="N1322" s="292" t="str">
        <f aca="false">""</f>
        <v/>
      </c>
      <c r="O1322" s="292" t="str">
        <f aca="false">""</f>
        <v/>
      </c>
      <c r="P1322" s="292" t="str">
        <f aca="false">IF(ISBLANK('Стёкла BF5, BF4, BF3'!$L$58),"",'Стёкла BF5, BF4, BF3'!$L$58)</f>
        <v>шт.</v>
      </c>
      <c r="Q1322" s="292" t="n">
        <f aca="false">N('Стёкла BF5, BF4, BF3'!$N$58)</f>
        <v>0</v>
      </c>
      <c r="R1322" s="299" t="n">
        <f aca="false">IF(ISBLANK('Стёкла BF5, BF4, BF3'!$M$58),"",'Стёкла BF5, BF4, BF3'!$M$58)</f>
        <v>45.67</v>
      </c>
      <c r="S1322" s="292" t="str">
        <f aca="false">IF(ISBLANK('Стёкла BF5, BF4, BF3'!$O$58),"",'Стёкла BF5, BF4, BF3'!$O$58)</f>
        <v/>
      </c>
    </row>
    <row r="1323" customFormat="false" ht="66" hidden="false" customHeight="true" outlineLevel="0" collapsed="false">
      <c r="A1323" s="291" t="str">
        <f aca="true">IF(ISNUMBER($J1323),INDIRECT("L"&amp;($J1323+4)),"")</f>
        <v/>
      </c>
      <c r="B1323" s="291" t="str">
        <f aca="true">IF(ISNUMBER($J1323),INDIRECT("M"&amp;($J1323+4)),"")</f>
        <v/>
      </c>
      <c r="C1323" s="296" t="str">
        <f aca="true">IF(ISNUMBER($J1323),INDIRECT("N"&amp;($J1323+4)),"")</f>
        <v/>
      </c>
      <c r="D1323" s="291" t="str">
        <f aca="true">IF(ISNUMBER($J1323),INDIRECT("O"&amp;($J1323+4)),"")</f>
        <v/>
      </c>
      <c r="E1323" s="291" t="str">
        <f aca="true">IF(ISNUMBER($J1323),INDIRECT("P"&amp;($J1323+4)),"")</f>
        <v/>
      </c>
      <c r="F1323" s="300" t="str">
        <f aca="true">IF(ISNUMBER($J1323),INDIRECT("Q"&amp;($J1323+4)),"")</f>
        <v/>
      </c>
      <c r="G1323" s="298" t="str">
        <f aca="true">IF(ISNUMBER($J1323),INDIRECT("R"&amp;($J1323+4)),"")</f>
        <v/>
      </c>
      <c r="H1323" s="298" t="str">
        <f aca="true">IF(ISNUMBER($J1323),INDIRECT("S"&amp;($J1323+4)),"")</f>
        <v/>
      </c>
      <c r="J1323" s="292" t="str">
        <f aca="true">IF(1319&lt;=$K$1,MATCH(1318.5,INDIRECT("$K$4:$K$1374"),1),"")</f>
        <v/>
      </c>
      <c r="K1323" s="292" t="n">
        <f aca="false">$K$1284+COUNTIF($Q$1285:Q1323,"&gt;0")</f>
        <v>0</v>
      </c>
      <c r="L1323" s="292" t="str">
        <f aca="false">"Стёкла BF5, BF4, BF3"&amp;" · "&amp;'Стёкла BF5, BF4, BF3'!$J$59</f>
        <v>Стёкла BF5, BF4, BF3 · BF3</v>
      </c>
      <c r="M1323" s="292" t="str">
        <f aca="false">IF(ISBLANK('Стёкла BF5, BF4, BF3'!$K$59),"",'Стёкла BF5, BF4, BF3'!$K$59)</f>
        <v>iP13 mini</v>
      </c>
      <c r="N1323" s="292" t="str">
        <f aca="false">""</f>
        <v/>
      </c>
      <c r="O1323" s="292" t="str">
        <f aca="false">""</f>
        <v/>
      </c>
      <c r="P1323" s="292" t="str">
        <f aca="false">IF(ISBLANK('Стёкла BF5, BF4, BF3'!$L$59),"",'Стёкла BF5, BF4, BF3'!$L$59)</f>
        <v>шт.</v>
      </c>
      <c r="Q1323" s="292" t="n">
        <f aca="false">N('Стёкла BF5, BF4, BF3'!$N$59)</f>
        <v>0</v>
      </c>
      <c r="R1323" s="299" t="n">
        <f aca="false">IF(ISBLANK('Стёкла BF5, BF4, BF3'!$M$59),"",'Стёкла BF5, BF4, BF3'!$M$59)</f>
        <v>45.67</v>
      </c>
      <c r="S1323" s="292" t="str">
        <f aca="false">IF(ISBLANK('Стёкла BF5, BF4, BF3'!$O$59),"",'Стёкла BF5, BF4, BF3'!$O$59)</f>
        <v/>
      </c>
    </row>
    <row r="1324" customFormat="false" ht="66" hidden="false" customHeight="true" outlineLevel="0" collapsed="false">
      <c r="A1324" s="291" t="str">
        <f aca="true">IF(ISNUMBER($J1324),INDIRECT("L"&amp;($J1324+4)),"")</f>
        <v/>
      </c>
      <c r="B1324" s="291" t="str">
        <f aca="true">IF(ISNUMBER($J1324),INDIRECT("M"&amp;($J1324+4)),"")</f>
        <v/>
      </c>
      <c r="C1324" s="296" t="str">
        <f aca="true">IF(ISNUMBER($J1324),INDIRECT("N"&amp;($J1324+4)),"")</f>
        <v/>
      </c>
      <c r="D1324" s="291" t="str">
        <f aca="true">IF(ISNUMBER($J1324),INDIRECT("O"&amp;($J1324+4)),"")</f>
        <v/>
      </c>
      <c r="E1324" s="291" t="str">
        <f aca="true">IF(ISNUMBER($J1324),INDIRECT("P"&amp;($J1324+4)),"")</f>
        <v/>
      </c>
      <c r="F1324" s="300" t="str">
        <f aca="true">IF(ISNUMBER($J1324),INDIRECT("Q"&amp;($J1324+4)),"")</f>
        <v/>
      </c>
      <c r="G1324" s="298" t="str">
        <f aca="true">IF(ISNUMBER($J1324),INDIRECT("R"&amp;($J1324+4)),"")</f>
        <v/>
      </c>
      <c r="H1324" s="298" t="str">
        <f aca="true">IF(ISNUMBER($J1324),INDIRECT("S"&amp;($J1324+4)),"")</f>
        <v/>
      </c>
      <c r="J1324" s="292" t="str">
        <f aca="true">IF(1320&lt;=$K$1,MATCH(1319.5,INDIRECT("$K$4:$K$1374"),1),"")</f>
        <v/>
      </c>
      <c r="K1324" s="292" t="n">
        <f aca="false">$K$1284+COUNTIF($Q$1285:Q1324,"&gt;0")</f>
        <v>0</v>
      </c>
      <c r="L1324" s="292" t="str">
        <f aca="false">"Стёкла BF5, BF4, BF3"&amp;" · "&amp;'Стёкла BF5, BF4, BF3'!$J$60</f>
        <v>Стёкла BF5, BF4, BF3 · BF3</v>
      </c>
      <c r="M1324" s="292" t="str">
        <f aca="false">IF(ISBLANK('Стёкла BF5, BF4, BF3'!$K$60),"",'Стёкла BF5, BF4, BF3'!$K$60)</f>
        <v>iP 14 6.1</v>
      </c>
      <c r="N1324" s="292" t="str">
        <f aca="false">""</f>
        <v/>
      </c>
      <c r="O1324" s="292" t="str">
        <f aca="false">""</f>
        <v/>
      </c>
      <c r="P1324" s="292" t="str">
        <f aca="false">IF(ISBLANK('Стёкла BF5, BF4, BF3'!$L$60),"",'Стёкла BF5, BF4, BF3'!$L$60)</f>
        <v>шт.</v>
      </c>
      <c r="Q1324" s="292" t="n">
        <f aca="false">N('Стёкла BF5, BF4, BF3'!$N$60)</f>
        <v>0</v>
      </c>
      <c r="R1324" s="299" t="n">
        <f aca="false">IF(ISBLANK('Стёкла BF5, BF4, BF3'!$M$60),"",'Стёкла BF5, BF4, BF3'!$M$60)</f>
        <v>45.67</v>
      </c>
      <c r="S1324" s="292" t="str">
        <f aca="false">IF(ISBLANK('Стёкла BF5, BF4, BF3'!$O$60),"",'Стёкла BF5, BF4, BF3'!$O$60)</f>
        <v/>
      </c>
    </row>
    <row r="1325" customFormat="false" ht="66" hidden="false" customHeight="true" outlineLevel="0" collapsed="false">
      <c r="A1325" s="291" t="str">
        <f aca="true">IF(ISNUMBER($J1325),INDIRECT("L"&amp;($J1325+4)),"")</f>
        <v/>
      </c>
      <c r="B1325" s="291" t="str">
        <f aca="true">IF(ISNUMBER($J1325),INDIRECT("M"&amp;($J1325+4)),"")</f>
        <v/>
      </c>
      <c r="C1325" s="296" t="str">
        <f aca="true">IF(ISNUMBER($J1325),INDIRECT("N"&amp;($J1325+4)),"")</f>
        <v/>
      </c>
      <c r="D1325" s="291" t="str">
        <f aca="true">IF(ISNUMBER($J1325),INDIRECT("O"&amp;($J1325+4)),"")</f>
        <v/>
      </c>
      <c r="E1325" s="291" t="str">
        <f aca="true">IF(ISNUMBER($J1325),INDIRECT("P"&amp;($J1325+4)),"")</f>
        <v/>
      </c>
      <c r="F1325" s="300" t="str">
        <f aca="true">IF(ISNUMBER($J1325),INDIRECT("Q"&amp;($J1325+4)),"")</f>
        <v/>
      </c>
      <c r="G1325" s="298" t="str">
        <f aca="true">IF(ISNUMBER($J1325),INDIRECT("R"&amp;($J1325+4)),"")</f>
        <v/>
      </c>
      <c r="H1325" s="298" t="str">
        <f aca="true">IF(ISNUMBER($J1325),INDIRECT("S"&amp;($J1325+4)),"")</f>
        <v/>
      </c>
      <c r="J1325" s="292" t="str">
        <f aca="true">IF(1321&lt;=$K$1,MATCH(1320.5,INDIRECT("$K$4:$K$1374"),1),"")</f>
        <v/>
      </c>
      <c r="K1325" s="292" t="n">
        <f aca="false">$K$1284+COUNTIF($Q$1285:Q1325,"&gt;0")</f>
        <v>0</v>
      </c>
      <c r="L1325" s="292" t="str">
        <f aca="false">"Стёкла BF5, BF4, BF3"&amp;" · "&amp;'Стёкла BF5, BF4, BF3'!$J$61</f>
        <v>Стёкла BF5, BF4, BF3 · BF3</v>
      </c>
      <c r="M1325" s="292" t="str">
        <f aca="false">IF(ISBLANK('Стёкла BF5, BF4, BF3'!$K$61),"",'Стёкла BF5, BF4, BF3'!$K$61)</f>
        <v>iP16 / iP 15</v>
      </c>
      <c r="N1325" s="292" t="str">
        <f aca="false">""</f>
        <v/>
      </c>
      <c r="O1325" s="292" t="str">
        <f aca="false">""</f>
        <v/>
      </c>
      <c r="P1325" s="292" t="str">
        <f aca="false">IF(ISBLANK('Стёкла BF5, BF4, BF3'!$L$61),"",'Стёкла BF5, BF4, BF3'!$L$61)</f>
        <v>шт.</v>
      </c>
      <c r="Q1325" s="292" t="n">
        <f aca="false">N('Стёкла BF5, BF4, BF3'!$N$61)</f>
        <v>0</v>
      </c>
      <c r="R1325" s="299" t="n">
        <f aca="false">IF(ISBLANK('Стёкла BF5, BF4, BF3'!$M$61),"",'Стёкла BF5, BF4, BF3'!$M$61)</f>
        <v>48.93</v>
      </c>
      <c r="S1325" s="292" t="str">
        <f aca="false">IF(ISBLANK('Стёкла BF5, BF4, BF3'!$O$61),"",'Стёкла BF5, BF4, BF3'!$O$61)</f>
        <v/>
      </c>
    </row>
    <row r="1326" customFormat="false" ht="66" hidden="false" customHeight="true" outlineLevel="0" collapsed="false">
      <c r="A1326" s="291" t="str">
        <f aca="true">IF(ISNUMBER($J1326),INDIRECT("L"&amp;($J1326+4)),"")</f>
        <v/>
      </c>
      <c r="B1326" s="291" t="str">
        <f aca="true">IF(ISNUMBER($J1326),INDIRECT("M"&amp;($J1326+4)),"")</f>
        <v/>
      </c>
      <c r="C1326" s="296" t="str">
        <f aca="true">IF(ISNUMBER($J1326),INDIRECT("N"&amp;($J1326+4)),"")</f>
        <v/>
      </c>
      <c r="D1326" s="291" t="str">
        <f aca="true">IF(ISNUMBER($J1326),INDIRECT("O"&amp;($J1326+4)),"")</f>
        <v/>
      </c>
      <c r="E1326" s="291" t="str">
        <f aca="true">IF(ISNUMBER($J1326),INDIRECT("P"&amp;($J1326+4)),"")</f>
        <v/>
      </c>
      <c r="F1326" s="300" t="str">
        <f aca="true">IF(ISNUMBER($J1326),INDIRECT("Q"&amp;($J1326+4)),"")</f>
        <v/>
      </c>
      <c r="G1326" s="298" t="str">
        <f aca="true">IF(ISNUMBER($J1326),INDIRECT("R"&amp;($J1326+4)),"")</f>
        <v/>
      </c>
      <c r="H1326" s="298" t="str">
        <f aca="true">IF(ISNUMBER($J1326),INDIRECT("S"&amp;($J1326+4)),"")</f>
        <v/>
      </c>
      <c r="J1326" s="292" t="str">
        <f aca="true">IF(1322&lt;=$K$1,MATCH(1321.5,INDIRECT("$K$4:$K$1374"),1),"")</f>
        <v/>
      </c>
      <c r="K1326" s="292" t="n">
        <f aca="false">$K$1284+COUNTIF($Q$1285:Q1326,"&gt;0")</f>
        <v>0</v>
      </c>
      <c r="L1326" s="292" t="str">
        <f aca="false">"Стёкла BF5, BF4, BF3"&amp;" · "&amp;'Стёкла BF5, BF4, BF3'!$J$62</f>
        <v>Стёкла BF5, BF4, BF3 · BF3</v>
      </c>
      <c r="M1326" s="292" t="str">
        <f aca="false">IF(ISBLANK('Стёкла BF5, BF4, BF3'!$K$62),"",'Стёкла BF5, BF4, BF3'!$K$62)</f>
        <v>iP 6/6s-4.7 white</v>
      </c>
      <c r="N1326" s="292" t="str">
        <f aca="false">""</f>
        <v/>
      </c>
      <c r="O1326" s="292" t="str">
        <f aca="false">""</f>
        <v/>
      </c>
      <c r="P1326" s="292" t="str">
        <f aca="false">IF(ISBLANK('Стёкла BF5, BF4, BF3'!$L$62),"",'Стёкла BF5, BF4, BF3'!$L$62)</f>
        <v>шт.</v>
      </c>
      <c r="Q1326" s="292" t="n">
        <f aca="false">N('Стёкла BF5, BF4, BF3'!$N$62)</f>
        <v>0</v>
      </c>
      <c r="R1326" s="299" t="n">
        <f aca="false">IF(ISBLANK('Стёкла BF5, BF4, BF3'!$M$62),"",'Стёкла BF5, BF4, BF3'!$M$62)</f>
        <v>45.67</v>
      </c>
      <c r="S1326" s="292" t="str">
        <f aca="false">IF(ISBLANK('Стёкла BF5, BF4, BF3'!$O$62),"",'Стёкла BF5, BF4, BF3'!$O$62)</f>
        <v/>
      </c>
    </row>
    <row r="1327" customFormat="false" ht="66" hidden="false" customHeight="true" outlineLevel="0" collapsed="false">
      <c r="A1327" s="291" t="str">
        <f aca="true">IF(ISNUMBER($J1327),INDIRECT("L"&amp;($J1327+4)),"")</f>
        <v/>
      </c>
      <c r="B1327" s="291" t="str">
        <f aca="true">IF(ISNUMBER($J1327),INDIRECT("M"&amp;($J1327+4)),"")</f>
        <v/>
      </c>
      <c r="C1327" s="296" t="str">
        <f aca="true">IF(ISNUMBER($J1327),INDIRECT("N"&amp;($J1327+4)),"")</f>
        <v/>
      </c>
      <c r="D1327" s="291" t="str">
        <f aca="true">IF(ISNUMBER($J1327),INDIRECT("O"&amp;($J1327+4)),"")</f>
        <v/>
      </c>
      <c r="E1327" s="291" t="str">
        <f aca="true">IF(ISNUMBER($J1327),INDIRECT("P"&amp;($J1327+4)),"")</f>
        <v/>
      </c>
      <c r="F1327" s="300" t="str">
        <f aca="true">IF(ISNUMBER($J1327),INDIRECT("Q"&amp;($J1327+4)),"")</f>
        <v/>
      </c>
      <c r="G1327" s="298" t="str">
        <f aca="true">IF(ISNUMBER($J1327),INDIRECT("R"&amp;($J1327+4)),"")</f>
        <v/>
      </c>
      <c r="H1327" s="298" t="str">
        <f aca="true">IF(ISNUMBER($J1327),INDIRECT("S"&amp;($J1327+4)),"")</f>
        <v/>
      </c>
      <c r="J1327" s="292" t="str">
        <f aca="true">IF(1323&lt;=$K$1,MATCH(1322.5,INDIRECT("$K$4:$K$1374"),1),"")</f>
        <v/>
      </c>
      <c r="K1327" s="292" t="n">
        <f aca="false">$K$1284+COUNTIF($Q$1285:Q1327,"&gt;0")</f>
        <v>0</v>
      </c>
      <c r="L1327" s="292" t="str">
        <f aca="false">"Стёкла BF5, BF4, BF3"&amp;" · "&amp;'Стёкла BF5, BF4, BF3'!$J$63</f>
        <v>Стёкла BF5, BF4, BF3 · BF3</v>
      </c>
      <c r="M1327" s="292" t="str">
        <f aca="false">IF(ISBLANK('Стёкла BF5, BF4, BF3'!$K$63),"",'Стёкла BF5, BF4, BF3'!$K$63)</f>
        <v>iP 7/8-4.7 white</v>
      </c>
      <c r="N1327" s="292" t="str">
        <f aca="false">""</f>
        <v/>
      </c>
      <c r="O1327" s="292" t="str">
        <f aca="false">""</f>
        <v/>
      </c>
      <c r="P1327" s="292" t="str">
        <f aca="false">IF(ISBLANK('Стёкла BF5, BF4, BF3'!$L$63),"",'Стёкла BF5, BF4, BF3'!$L$63)</f>
        <v>шт.</v>
      </c>
      <c r="Q1327" s="292" t="n">
        <f aca="false">N('Стёкла BF5, BF4, BF3'!$N$63)</f>
        <v>0</v>
      </c>
      <c r="R1327" s="299" t="n">
        <f aca="false">IF(ISBLANK('Стёкла BF5, BF4, BF3'!$M$63),"",'Стёкла BF5, BF4, BF3'!$M$63)</f>
        <v>45.67</v>
      </c>
      <c r="S1327" s="292" t="str">
        <f aca="false">IF(ISBLANK('Стёкла BF5, BF4, BF3'!$O$63),"",'Стёкла BF5, BF4, BF3'!$O$63)</f>
        <v/>
      </c>
    </row>
    <row r="1328" customFormat="false" ht="66" hidden="false" customHeight="true" outlineLevel="0" collapsed="false">
      <c r="A1328" s="291" t="str">
        <f aca="true">IF(ISNUMBER($J1328),INDIRECT("L"&amp;($J1328+4)),"")</f>
        <v/>
      </c>
      <c r="B1328" s="291" t="str">
        <f aca="true">IF(ISNUMBER($J1328),INDIRECT("M"&amp;($J1328+4)),"")</f>
        <v/>
      </c>
      <c r="C1328" s="296" t="str">
        <f aca="true">IF(ISNUMBER($J1328),INDIRECT("N"&amp;($J1328+4)),"")</f>
        <v/>
      </c>
      <c r="D1328" s="291" t="str">
        <f aca="true">IF(ISNUMBER($J1328),INDIRECT("O"&amp;($J1328+4)),"")</f>
        <v/>
      </c>
      <c r="E1328" s="291" t="str">
        <f aca="true">IF(ISNUMBER($J1328),INDIRECT("P"&amp;($J1328+4)),"")</f>
        <v/>
      </c>
      <c r="F1328" s="300" t="str">
        <f aca="true">IF(ISNUMBER($J1328),INDIRECT("Q"&amp;($J1328+4)),"")</f>
        <v/>
      </c>
      <c r="G1328" s="298" t="str">
        <f aca="true">IF(ISNUMBER($J1328),INDIRECT("R"&amp;($J1328+4)),"")</f>
        <v/>
      </c>
      <c r="H1328" s="298" t="str">
        <f aca="true">IF(ISNUMBER($J1328),INDIRECT("S"&amp;($J1328+4)),"")</f>
        <v/>
      </c>
      <c r="J1328" s="292" t="str">
        <f aca="true">IF(1324&lt;=$K$1,MATCH(1323.5,INDIRECT("$K$4:$K$1374"),1),"")</f>
        <v/>
      </c>
      <c r="K1328" s="292" t="n">
        <f aca="false">$K$1284+COUNTIF($Q$1285:Q1328,"&gt;0")</f>
        <v>0</v>
      </c>
      <c r="L1328" s="292" t="str">
        <f aca="false">"Стёкла BF5, BF4, BF3"&amp;" · "&amp;'Стёкла BF5, BF4, BF3'!$J$64</f>
        <v>Стёкла BF5, BF4, BF3 · BF3</v>
      </c>
      <c r="M1328" s="292" t="str">
        <f aca="false">IF(ISBLANK('Стёкла BF5, BF4, BF3'!$K$64),"",'Стёкла BF5, BF4, BF3'!$K$64)</f>
        <v>iP Xr/11 (6.1) чёрный</v>
      </c>
      <c r="N1328" s="292" t="str">
        <f aca="false">""</f>
        <v/>
      </c>
      <c r="O1328" s="292" t="str">
        <f aca="false">""</f>
        <v/>
      </c>
      <c r="P1328" s="292" t="str">
        <f aca="false">IF(ISBLANK('Стёкла BF5, BF4, BF3'!$L$64),"",'Стёкла BF5, BF4, BF3'!$L$64)</f>
        <v>шт.</v>
      </c>
      <c r="Q1328" s="292" t="n">
        <f aca="false">N('Стёкла BF5, BF4, BF3'!$N$64)</f>
        <v>0</v>
      </c>
      <c r="R1328" s="299" t="n">
        <f aca="false">IF(ISBLANK('Стёкла BF5, BF4, BF3'!$M$64),"",'Стёкла BF5, BF4, BF3'!$M$64)</f>
        <v>45.67</v>
      </c>
      <c r="S1328" s="292" t="str">
        <f aca="false">IF(ISBLANK('Стёкла BF5, BF4, BF3'!$O$64),"",'Стёкла BF5, BF4, BF3'!$O$64)</f>
        <v/>
      </c>
    </row>
    <row r="1329" customFormat="false" ht="66" hidden="false" customHeight="true" outlineLevel="0" collapsed="false">
      <c r="A1329" s="291" t="str">
        <f aca="true">IF(ISNUMBER($J1329),INDIRECT("L"&amp;($J1329+4)),"")</f>
        <v/>
      </c>
      <c r="B1329" s="291" t="str">
        <f aca="true">IF(ISNUMBER($J1329),INDIRECT("M"&amp;($J1329+4)),"")</f>
        <v/>
      </c>
      <c r="C1329" s="296" t="str">
        <f aca="true">IF(ISNUMBER($J1329),INDIRECT("N"&amp;($J1329+4)),"")</f>
        <v/>
      </c>
      <c r="D1329" s="291" t="str">
        <f aca="true">IF(ISNUMBER($J1329),INDIRECT("O"&amp;($J1329+4)),"")</f>
        <v/>
      </c>
      <c r="E1329" s="291" t="str">
        <f aca="true">IF(ISNUMBER($J1329),INDIRECT("P"&amp;($J1329+4)),"")</f>
        <v/>
      </c>
      <c r="F1329" s="300" t="str">
        <f aca="true">IF(ISNUMBER($J1329),INDIRECT("Q"&amp;($J1329+4)),"")</f>
        <v/>
      </c>
      <c r="G1329" s="298" t="str">
        <f aca="true">IF(ISNUMBER($J1329),INDIRECT("R"&amp;($J1329+4)),"")</f>
        <v/>
      </c>
      <c r="H1329" s="298" t="str">
        <f aca="true">IF(ISNUMBER($J1329),INDIRECT("S"&amp;($J1329+4)),"")</f>
        <v/>
      </c>
      <c r="J1329" s="292" t="str">
        <f aca="true">IF(1325&lt;=$K$1,MATCH(1324.5,INDIRECT("$K$4:$K$1374"),1),"")</f>
        <v/>
      </c>
      <c r="K1329" s="292" t="n">
        <f aca="false">$K$1284+COUNTIF($Q$1285:Q1329,"&gt;0")</f>
        <v>0</v>
      </c>
      <c r="L1329" s="292" t="str">
        <f aca="false">"Стёкла BF5, BF4, BF3"&amp;" · "&amp;'Стёкла BF5, BF4, BF3'!$J$65</f>
        <v>Стёкла BF5, BF4, BF3 · BF3</v>
      </c>
      <c r="M1329" s="292" t="str">
        <f aca="false">IF(ISBLANK('Стёкла BF5, BF4, BF3'!$K$65),"",'Стёкла BF5, BF4, BF3'!$K$65)</f>
        <v>iP12/12 Pro чёрный</v>
      </c>
      <c r="N1329" s="292" t="str">
        <f aca="false">""</f>
        <v/>
      </c>
      <c r="O1329" s="292" t="str">
        <f aca="false">""</f>
        <v/>
      </c>
      <c r="P1329" s="292" t="str">
        <f aca="false">IF(ISBLANK('Стёкла BF5, BF4, BF3'!$L$65),"",'Стёкла BF5, BF4, BF3'!$L$65)</f>
        <v>шт.</v>
      </c>
      <c r="Q1329" s="292" t="n">
        <f aca="false">N('Стёкла BF5, BF4, BF3'!$N$65)</f>
        <v>0</v>
      </c>
      <c r="R1329" s="299" t="n">
        <f aca="false">IF(ISBLANK('Стёкла BF5, BF4, BF3'!$M$65),"",'Стёкла BF5, BF4, BF3'!$M$65)</f>
        <v>45.67</v>
      </c>
      <c r="S1329" s="292" t="str">
        <f aca="false">IF(ISBLANK('Стёкла BF5, BF4, BF3'!$O$65),"",'Стёкла BF5, BF4, BF3'!$O$65)</f>
        <v/>
      </c>
    </row>
    <row r="1330" customFormat="false" ht="66" hidden="false" customHeight="true" outlineLevel="0" collapsed="false">
      <c r="A1330" s="291" t="str">
        <f aca="true">IF(ISNUMBER($J1330),INDIRECT("L"&amp;($J1330+4)),"")</f>
        <v/>
      </c>
      <c r="B1330" s="291" t="str">
        <f aca="true">IF(ISNUMBER($J1330),INDIRECT("M"&amp;($J1330+4)),"")</f>
        <v/>
      </c>
      <c r="C1330" s="296" t="str">
        <f aca="true">IF(ISNUMBER($J1330),INDIRECT("N"&amp;($J1330+4)),"")</f>
        <v/>
      </c>
      <c r="D1330" s="291" t="str">
        <f aca="true">IF(ISNUMBER($J1330),INDIRECT("O"&amp;($J1330+4)),"")</f>
        <v/>
      </c>
      <c r="E1330" s="291" t="str">
        <f aca="true">IF(ISNUMBER($J1330),INDIRECT("P"&amp;($J1330+4)),"")</f>
        <v/>
      </c>
      <c r="F1330" s="300" t="str">
        <f aca="true">IF(ISNUMBER($J1330),INDIRECT("Q"&amp;($J1330+4)),"")</f>
        <v/>
      </c>
      <c r="G1330" s="298" t="str">
        <f aca="true">IF(ISNUMBER($J1330),INDIRECT("R"&amp;($J1330+4)),"")</f>
        <v/>
      </c>
      <c r="H1330" s="298" t="str">
        <f aca="true">IF(ISNUMBER($J1330),INDIRECT("S"&amp;($J1330+4)),"")</f>
        <v/>
      </c>
      <c r="J1330" s="292" t="str">
        <f aca="true">IF(1326&lt;=$K$1,MATCH(1325.5,INDIRECT("$K$4:$K$1374"),1),"")</f>
        <v/>
      </c>
      <c r="K1330" s="292" t="n">
        <f aca="false">$K$1284+COUNTIF($Q$1285:Q1330,"&gt;0")</f>
        <v>0</v>
      </c>
      <c r="L1330" s="292" t="str">
        <f aca="false">"Стёкла BF5, BF4, BF3"&amp;" · "&amp;'Стёкла BF5, BF4, BF3'!$J$66</f>
        <v>Стёкла BF5, BF4, BF3 · BF3</v>
      </c>
      <c r="M1330" s="292" t="str">
        <f aca="false">IF(ISBLANK('Стёкла BF5, BF4, BF3'!$K$66),"",'Стёкла BF5, BF4, BF3'!$K$66)</f>
        <v>iP13 /13 Pro</v>
      </c>
      <c r="N1330" s="292" t="str">
        <f aca="false">""</f>
        <v/>
      </c>
      <c r="O1330" s="292" t="str">
        <f aca="false">""</f>
        <v/>
      </c>
      <c r="P1330" s="292" t="str">
        <f aca="false">IF(ISBLANK('Стёкла BF5, BF4, BF3'!$L$66),"",'Стёкла BF5, BF4, BF3'!$L$66)</f>
        <v>шт.</v>
      </c>
      <c r="Q1330" s="292" t="n">
        <f aca="false">N('Стёкла BF5, BF4, BF3'!$N$66)</f>
        <v>0</v>
      </c>
      <c r="R1330" s="299" t="n">
        <f aca="false">IF(ISBLANK('Стёкла BF5, BF4, BF3'!$M$66),"",'Стёкла BF5, BF4, BF3'!$M$66)</f>
        <v>45.67</v>
      </c>
      <c r="S1330" s="292" t="str">
        <f aca="false">IF(ISBLANK('Стёкла BF5, BF4, BF3'!$O$66),"",'Стёкла BF5, BF4, BF3'!$O$66)</f>
        <v/>
      </c>
    </row>
    <row r="1331" customFormat="false" ht="66" hidden="false" customHeight="true" outlineLevel="0" collapsed="false">
      <c r="A1331" s="291" t="str">
        <f aca="true">IF(ISNUMBER($J1331),INDIRECT("L"&amp;($J1331+4)),"")</f>
        <v/>
      </c>
      <c r="B1331" s="291" t="str">
        <f aca="true">IF(ISNUMBER($J1331),INDIRECT("M"&amp;($J1331+4)),"")</f>
        <v/>
      </c>
      <c r="C1331" s="296" t="str">
        <f aca="true">IF(ISNUMBER($J1331),INDIRECT("N"&amp;($J1331+4)),"")</f>
        <v/>
      </c>
      <c r="D1331" s="291" t="str">
        <f aca="true">IF(ISNUMBER($J1331),INDIRECT("O"&amp;($J1331+4)),"")</f>
        <v/>
      </c>
      <c r="E1331" s="291" t="str">
        <f aca="true">IF(ISNUMBER($J1331),INDIRECT("P"&amp;($J1331+4)),"")</f>
        <v/>
      </c>
      <c r="F1331" s="300" t="str">
        <f aca="true">IF(ISNUMBER($J1331),INDIRECT("Q"&amp;($J1331+4)),"")</f>
        <v/>
      </c>
      <c r="G1331" s="298" t="str">
        <f aca="true">IF(ISNUMBER($J1331),INDIRECT("R"&amp;($J1331+4)),"")</f>
        <v/>
      </c>
      <c r="H1331" s="298" t="str">
        <f aca="true">IF(ISNUMBER($J1331),INDIRECT("S"&amp;($J1331+4)),"")</f>
        <v/>
      </c>
      <c r="J1331" s="292" t="str">
        <f aca="true">IF(1327&lt;=$K$1,MATCH(1326.5,INDIRECT("$K$4:$K$1374"),1),"")</f>
        <v/>
      </c>
      <c r="K1331" s="292" t="n">
        <f aca="false">$K$1284+COUNTIF($Q$1285:Q1331,"&gt;0")</f>
        <v>0</v>
      </c>
      <c r="L1331" s="292" t="str">
        <f aca="false">"Стёкла BF5, BF4, BF3"&amp;" · "&amp;'Стёкла BF5, BF4, BF3'!$J$67</f>
        <v>Стёкла BF5, BF4, BF3 · BF3</v>
      </c>
      <c r="M1331" s="292" t="str">
        <f aca="false">IF(ISBLANK('Стёкла BF5, BF4, BF3'!$K$67),"",'Стёкла BF5, BF4, BF3'!$K$67)</f>
        <v>iP 14 Plus  6.1</v>
      </c>
      <c r="N1331" s="292" t="str">
        <f aca="false">""</f>
        <v/>
      </c>
      <c r="O1331" s="292" t="str">
        <f aca="false">""</f>
        <v/>
      </c>
      <c r="P1331" s="292" t="str">
        <f aca="false">IF(ISBLANK('Стёкла BF5, BF4, BF3'!$L$67),"",'Стёкла BF5, BF4, BF3'!$L$67)</f>
        <v>шт.</v>
      </c>
      <c r="Q1331" s="292" t="n">
        <f aca="false">N('Стёкла BF5, BF4, BF3'!$N$67)</f>
        <v>0</v>
      </c>
      <c r="R1331" s="299" t="n">
        <f aca="false">IF(ISBLANK('Стёкла BF5, BF4, BF3'!$M$67),"",'Стёкла BF5, BF4, BF3'!$M$67)</f>
        <v>45.67</v>
      </c>
      <c r="S1331" s="292" t="str">
        <f aca="false">IF(ISBLANK('Стёкла BF5, BF4, BF3'!$O$67),"",'Стёкла BF5, BF4, BF3'!$O$67)</f>
        <v/>
      </c>
    </row>
    <row r="1332" customFormat="false" ht="66" hidden="false" customHeight="true" outlineLevel="0" collapsed="false">
      <c r="A1332" s="291" t="str">
        <f aca="true">IF(ISNUMBER($J1332),INDIRECT("L"&amp;($J1332+4)),"")</f>
        <v/>
      </c>
      <c r="B1332" s="291" t="str">
        <f aca="true">IF(ISNUMBER($J1332),INDIRECT("M"&amp;($J1332+4)),"")</f>
        <v/>
      </c>
      <c r="C1332" s="296" t="str">
        <f aca="true">IF(ISNUMBER($J1332),INDIRECT("N"&amp;($J1332+4)),"")</f>
        <v/>
      </c>
      <c r="D1332" s="291" t="str">
        <f aca="true">IF(ISNUMBER($J1332),INDIRECT("O"&amp;($J1332+4)),"")</f>
        <v/>
      </c>
      <c r="E1332" s="291" t="str">
        <f aca="true">IF(ISNUMBER($J1332),INDIRECT("P"&amp;($J1332+4)),"")</f>
        <v/>
      </c>
      <c r="F1332" s="300" t="str">
        <f aca="true">IF(ISNUMBER($J1332),INDIRECT("Q"&amp;($J1332+4)),"")</f>
        <v/>
      </c>
      <c r="G1332" s="298" t="str">
        <f aca="true">IF(ISNUMBER($J1332),INDIRECT("R"&amp;($J1332+4)),"")</f>
        <v/>
      </c>
      <c r="H1332" s="298" t="str">
        <f aca="true">IF(ISNUMBER($J1332),INDIRECT("S"&amp;($J1332+4)),"")</f>
        <v/>
      </c>
      <c r="J1332" s="292" t="str">
        <f aca="true">IF(1328&lt;=$K$1,MATCH(1327.5,INDIRECT("$K$4:$K$1374"),1),"")</f>
        <v/>
      </c>
      <c r="K1332" s="292" t="n">
        <f aca="false">$K$1284+COUNTIF($Q$1285:Q1332,"&gt;0")</f>
        <v>0</v>
      </c>
      <c r="L1332" s="292" t="str">
        <f aca="false">"Стёкла BF5, BF4, BF3"&amp;" · "&amp;'Стёкла BF5, BF4, BF3'!$J$68</f>
        <v>Стёкла BF5, BF4, BF3 · BF3</v>
      </c>
      <c r="M1332" s="292" t="str">
        <f aca="false">IF(ISBLANK('Стёкла BF5, BF4, BF3'!$K$68),"",'Стёкла BF5, BF4, BF3'!$K$68)</f>
        <v>iP16 Plus / iP 15 Plus</v>
      </c>
      <c r="N1332" s="292" t="str">
        <f aca="false">""</f>
        <v/>
      </c>
      <c r="O1332" s="292" t="str">
        <f aca="false">""</f>
        <v/>
      </c>
      <c r="P1332" s="292" t="str">
        <f aca="false">IF(ISBLANK('Стёкла BF5, BF4, BF3'!$L$68),"",'Стёкла BF5, BF4, BF3'!$L$68)</f>
        <v>шт.</v>
      </c>
      <c r="Q1332" s="292" t="n">
        <f aca="false">N('Стёкла BF5, BF4, BF3'!$N$68)</f>
        <v>0</v>
      </c>
      <c r="R1332" s="299" t="n">
        <f aca="false">IF(ISBLANK('Стёкла BF5, BF4, BF3'!$M$68),"",'Стёкла BF5, BF4, BF3'!$M$68)</f>
        <v>48.93</v>
      </c>
      <c r="S1332" s="292" t="str">
        <f aca="false">IF(ISBLANK('Стёкла BF5, BF4, BF3'!$O$68),"",'Стёкла BF5, BF4, BF3'!$O$68)</f>
        <v/>
      </c>
    </row>
    <row r="1333" customFormat="false" ht="66" hidden="false" customHeight="true" outlineLevel="0" collapsed="false">
      <c r="A1333" s="291" t="str">
        <f aca="true">IF(ISNUMBER($J1333),INDIRECT("L"&amp;($J1333+4)),"")</f>
        <v/>
      </c>
      <c r="B1333" s="291" t="str">
        <f aca="true">IF(ISNUMBER($J1333),INDIRECT("M"&amp;($J1333+4)),"")</f>
        <v/>
      </c>
      <c r="C1333" s="296" t="str">
        <f aca="true">IF(ISNUMBER($J1333),INDIRECT("N"&amp;($J1333+4)),"")</f>
        <v/>
      </c>
      <c r="D1333" s="291" t="str">
        <f aca="true">IF(ISNUMBER($J1333),INDIRECT("O"&amp;($J1333+4)),"")</f>
        <v/>
      </c>
      <c r="E1333" s="291" t="str">
        <f aca="true">IF(ISNUMBER($J1333),INDIRECT("P"&amp;($J1333+4)),"")</f>
        <v/>
      </c>
      <c r="F1333" s="300" t="str">
        <f aca="true">IF(ISNUMBER($J1333),INDIRECT("Q"&amp;($J1333+4)),"")</f>
        <v/>
      </c>
      <c r="G1333" s="298" t="str">
        <f aca="true">IF(ISNUMBER($J1333),INDIRECT("R"&amp;($J1333+4)),"")</f>
        <v/>
      </c>
      <c r="H1333" s="298" t="str">
        <f aca="true">IF(ISNUMBER($J1333),INDIRECT("S"&amp;($J1333+4)),"")</f>
        <v/>
      </c>
      <c r="J1333" s="292" t="str">
        <f aca="true">IF(1329&lt;=$K$1,MATCH(1328.5,INDIRECT("$K$4:$K$1374"),1),"")</f>
        <v/>
      </c>
      <c r="K1333" s="292" t="n">
        <f aca="false">$K$1284+COUNTIF($Q$1285:Q1333,"&gt;0")</f>
        <v>0</v>
      </c>
      <c r="L1333" s="292" t="str">
        <f aca="false">"Стёкла BF5, BF4, BF3"&amp;" · "&amp;'Стёкла BF5, BF4, BF3'!$J$69</f>
        <v>Стёкла BF5, BF4, BF3 · BF3</v>
      </c>
      <c r="M1333" s="292" t="str">
        <f aca="false">IF(ISBLANK('Стёкла BF5, BF4, BF3'!$K$69),"",'Стёкла BF5, BF4, BF3'!$K$69)</f>
        <v>iP 6 plus/6s plus-5.5 чёрный</v>
      </c>
      <c r="N1333" s="292" t="str">
        <f aca="false">""</f>
        <v/>
      </c>
      <c r="O1333" s="292" t="str">
        <f aca="false">""</f>
        <v/>
      </c>
      <c r="P1333" s="292" t="str">
        <f aca="false">IF(ISBLANK('Стёкла BF5, BF4, BF3'!$L$69),"",'Стёкла BF5, BF4, BF3'!$L$69)</f>
        <v>шт.</v>
      </c>
      <c r="Q1333" s="292" t="n">
        <f aca="false">N('Стёкла BF5, BF4, BF3'!$N$69)</f>
        <v>0</v>
      </c>
      <c r="R1333" s="299" t="n">
        <f aca="false">IF(ISBLANK('Стёкла BF5, BF4, BF3'!$M$69),"",'Стёкла BF5, BF4, BF3'!$M$69)</f>
        <v>45.67</v>
      </c>
      <c r="S1333" s="292" t="str">
        <f aca="false">IF(ISBLANK('Стёкла BF5, BF4, BF3'!$O$69),"",'Стёкла BF5, BF4, BF3'!$O$69)</f>
        <v/>
      </c>
    </row>
    <row r="1334" customFormat="false" ht="66" hidden="false" customHeight="true" outlineLevel="0" collapsed="false">
      <c r="A1334" s="291" t="str">
        <f aca="true">IF(ISNUMBER($J1334),INDIRECT("L"&amp;($J1334+4)),"")</f>
        <v/>
      </c>
      <c r="B1334" s="291" t="str">
        <f aca="true">IF(ISNUMBER($J1334),INDIRECT("M"&amp;($J1334+4)),"")</f>
        <v/>
      </c>
      <c r="C1334" s="296" t="str">
        <f aca="true">IF(ISNUMBER($J1334),INDIRECT("N"&amp;($J1334+4)),"")</f>
        <v/>
      </c>
      <c r="D1334" s="291" t="str">
        <f aca="true">IF(ISNUMBER($J1334),INDIRECT("O"&amp;($J1334+4)),"")</f>
        <v/>
      </c>
      <c r="E1334" s="291" t="str">
        <f aca="true">IF(ISNUMBER($J1334),INDIRECT("P"&amp;($J1334+4)),"")</f>
        <v/>
      </c>
      <c r="F1334" s="300" t="str">
        <f aca="true">IF(ISNUMBER($J1334),INDIRECT("Q"&amp;($J1334+4)),"")</f>
        <v/>
      </c>
      <c r="G1334" s="298" t="str">
        <f aca="true">IF(ISNUMBER($J1334),INDIRECT("R"&amp;($J1334+4)),"")</f>
        <v/>
      </c>
      <c r="H1334" s="298" t="str">
        <f aca="true">IF(ISNUMBER($J1334),INDIRECT("S"&amp;($J1334+4)),"")</f>
        <v/>
      </c>
      <c r="J1334" s="292" t="str">
        <f aca="true">IF(1330&lt;=$K$1,MATCH(1329.5,INDIRECT("$K$4:$K$1374"),1),"")</f>
        <v/>
      </c>
      <c r="K1334" s="292" t="n">
        <f aca="false">$K$1284+COUNTIF($Q$1285:Q1334,"&gt;0")</f>
        <v>0</v>
      </c>
      <c r="L1334" s="292" t="str">
        <f aca="false">"Стёкла BF5, BF4, BF3"&amp;" · "&amp;'Стёкла BF5, BF4, BF3'!$J$70</f>
        <v>Стёкла BF5, BF4, BF3 · BF3</v>
      </c>
      <c r="M1334" s="292" t="str">
        <f aca="false">IF(ISBLANK('Стёкла BF5, BF4, BF3'!$K$70),"",'Стёкла BF5, BF4, BF3'!$K$70)</f>
        <v>iP 7 plus/8 plus-5.5 чёрный</v>
      </c>
      <c r="N1334" s="292" t="str">
        <f aca="false">""</f>
        <v/>
      </c>
      <c r="O1334" s="292" t="str">
        <f aca="false">""</f>
        <v/>
      </c>
      <c r="P1334" s="292" t="str">
        <f aca="false">IF(ISBLANK('Стёкла BF5, BF4, BF3'!$L$70),"",'Стёкла BF5, BF4, BF3'!$L$70)</f>
        <v>шт.</v>
      </c>
      <c r="Q1334" s="292" t="n">
        <f aca="false">N('Стёкла BF5, BF4, BF3'!$N$70)</f>
        <v>0</v>
      </c>
      <c r="R1334" s="299" t="n">
        <f aca="false">IF(ISBLANK('Стёкла BF5, BF4, BF3'!$M$70),"",'Стёкла BF5, BF4, BF3'!$M$70)</f>
        <v>45.67</v>
      </c>
      <c r="S1334" s="292" t="str">
        <f aca="false">IF(ISBLANK('Стёкла BF5, BF4, BF3'!$O$70),"",'Стёкла BF5, BF4, BF3'!$O$70)</f>
        <v/>
      </c>
    </row>
    <row r="1335" customFormat="false" ht="66" hidden="false" customHeight="true" outlineLevel="0" collapsed="false">
      <c r="A1335" s="291" t="str">
        <f aca="true">IF(ISNUMBER($J1335),INDIRECT("L"&amp;($J1335+4)),"")</f>
        <v/>
      </c>
      <c r="B1335" s="291" t="str">
        <f aca="true">IF(ISNUMBER($J1335),INDIRECT("M"&amp;($J1335+4)),"")</f>
        <v/>
      </c>
      <c r="C1335" s="296" t="str">
        <f aca="true">IF(ISNUMBER($J1335),INDIRECT("N"&amp;($J1335+4)),"")</f>
        <v/>
      </c>
      <c r="D1335" s="291" t="str">
        <f aca="true">IF(ISNUMBER($J1335),INDIRECT("O"&amp;($J1335+4)),"")</f>
        <v/>
      </c>
      <c r="E1335" s="291" t="str">
        <f aca="true">IF(ISNUMBER($J1335),INDIRECT("P"&amp;($J1335+4)),"")</f>
        <v/>
      </c>
      <c r="F1335" s="300" t="str">
        <f aca="true">IF(ISNUMBER($J1335),INDIRECT("Q"&amp;($J1335+4)),"")</f>
        <v/>
      </c>
      <c r="G1335" s="298" t="str">
        <f aca="true">IF(ISNUMBER($J1335),INDIRECT("R"&amp;($J1335+4)),"")</f>
        <v/>
      </c>
      <c r="H1335" s="298" t="str">
        <f aca="true">IF(ISNUMBER($J1335),INDIRECT("S"&amp;($J1335+4)),"")</f>
        <v/>
      </c>
      <c r="J1335" s="292" t="str">
        <f aca="true">IF(1331&lt;=$K$1,MATCH(1330.5,INDIRECT("$K$4:$K$1374"),1),"")</f>
        <v/>
      </c>
      <c r="K1335" s="292" t="n">
        <f aca="false">$K$1284+COUNTIF($Q$1285:Q1335,"&gt;0")</f>
        <v>0</v>
      </c>
      <c r="L1335" s="292" t="str">
        <f aca="false">"Стёкла BF5, BF4, BF3"&amp;" · "&amp;'Стёкла BF5, BF4, BF3'!$J$71</f>
        <v>Стёкла BF5, BF4, BF3 · BF3</v>
      </c>
      <c r="M1335" s="292" t="str">
        <f aca="false">IF(ISBLANK('Стёкла BF5, BF4, BF3'!$K$71),"",'Стёкла BF5, BF4, BF3'!$K$71)</f>
        <v>iP Xs Max/11 Pro Max (6.5) чёрный</v>
      </c>
      <c r="N1335" s="292" t="str">
        <f aca="false">""</f>
        <v/>
      </c>
      <c r="O1335" s="292" t="str">
        <f aca="false">""</f>
        <v/>
      </c>
      <c r="P1335" s="292" t="str">
        <f aca="false">IF(ISBLANK('Стёкла BF5, BF4, BF3'!$L$71),"",'Стёкла BF5, BF4, BF3'!$L$71)</f>
        <v>шт.</v>
      </c>
      <c r="Q1335" s="292" t="n">
        <f aca="false">N('Стёкла BF5, BF4, BF3'!$N$71)</f>
        <v>0</v>
      </c>
      <c r="R1335" s="299" t="n">
        <f aca="false">IF(ISBLANK('Стёкла BF5, BF4, BF3'!$M$71),"",'Стёкла BF5, BF4, BF3'!$M$71)</f>
        <v>45.67</v>
      </c>
      <c r="S1335" s="292" t="str">
        <f aca="false">IF(ISBLANK('Стёкла BF5, BF4, BF3'!$O$71),"",'Стёкла BF5, BF4, BF3'!$O$71)</f>
        <v/>
      </c>
    </row>
    <row r="1336" customFormat="false" ht="66" hidden="false" customHeight="true" outlineLevel="0" collapsed="false">
      <c r="A1336" s="291" t="str">
        <f aca="true">IF(ISNUMBER($J1336),INDIRECT("L"&amp;($J1336+4)),"")</f>
        <v/>
      </c>
      <c r="B1336" s="291" t="str">
        <f aca="true">IF(ISNUMBER($J1336),INDIRECT("M"&amp;($J1336+4)),"")</f>
        <v/>
      </c>
      <c r="C1336" s="296" t="str">
        <f aca="true">IF(ISNUMBER($J1336),INDIRECT("N"&amp;($J1336+4)),"")</f>
        <v/>
      </c>
      <c r="D1336" s="291" t="str">
        <f aca="true">IF(ISNUMBER($J1336),INDIRECT("O"&amp;($J1336+4)),"")</f>
        <v/>
      </c>
      <c r="E1336" s="291" t="str">
        <f aca="true">IF(ISNUMBER($J1336),INDIRECT("P"&amp;($J1336+4)),"")</f>
        <v/>
      </c>
      <c r="F1336" s="300" t="str">
        <f aca="true">IF(ISNUMBER($J1336),INDIRECT("Q"&amp;($J1336+4)),"")</f>
        <v/>
      </c>
      <c r="G1336" s="298" t="str">
        <f aca="true">IF(ISNUMBER($J1336),INDIRECT("R"&amp;($J1336+4)),"")</f>
        <v/>
      </c>
      <c r="H1336" s="298" t="str">
        <f aca="true">IF(ISNUMBER($J1336),INDIRECT("S"&amp;($J1336+4)),"")</f>
        <v/>
      </c>
      <c r="J1336" s="292" t="str">
        <f aca="true">IF(1332&lt;=$K$1,MATCH(1331.5,INDIRECT("$K$4:$K$1374"),1),"")</f>
        <v/>
      </c>
      <c r="K1336" s="292" t="n">
        <f aca="false">$K$1284+COUNTIF($Q$1285:Q1336,"&gt;0")</f>
        <v>0</v>
      </c>
      <c r="L1336" s="292" t="str">
        <f aca="false">"Стёкла BF5, BF4, BF3"&amp;" · "&amp;'Стёкла BF5, BF4, BF3'!$J$72</f>
        <v>Стёкла BF5, BF4, BF3 · BF3</v>
      </c>
      <c r="M1336" s="292" t="str">
        <f aca="false">IF(ISBLANK('Стёкла BF5, BF4, BF3'!$K$72),"",'Стёкла BF5, BF4, BF3'!$K$72)</f>
        <v>iP 12 Pro Max чёрный</v>
      </c>
      <c r="N1336" s="292" t="str">
        <f aca="false">""</f>
        <v/>
      </c>
      <c r="O1336" s="292" t="str">
        <f aca="false">""</f>
        <v/>
      </c>
      <c r="P1336" s="292" t="str">
        <f aca="false">IF(ISBLANK('Стёкла BF5, BF4, BF3'!$L$72),"",'Стёкла BF5, BF4, BF3'!$L$72)</f>
        <v>шт.</v>
      </c>
      <c r="Q1336" s="292" t="n">
        <f aca="false">N('Стёкла BF5, BF4, BF3'!$N$72)</f>
        <v>0</v>
      </c>
      <c r="R1336" s="299" t="n">
        <f aca="false">IF(ISBLANK('Стёкла BF5, BF4, BF3'!$M$72),"",'Стёкла BF5, BF4, BF3'!$M$72)</f>
        <v>45.67</v>
      </c>
      <c r="S1336" s="292" t="str">
        <f aca="false">IF(ISBLANK('Стёкла BF5, BF4, BF3'!$O$72),"",'Стёкла BF5, BF4, BF3'!$O$72)</f>
        <v/>
      </c>
    </row>
    <row r="1337" customFormat="false" ht="66" hidden="false" customHeight="true" outlineLevel="0" collapsed="false">
      <c r="A1337" s="291" t="str">
        <f aca="true">IF(ISNUMBER($J1337),INDIRECT("L"&amp;($J1337+4)),"")</f>
        <v/>
      </c>
      <c r="B1337" s="291" t="str">
        <f aca="true">IF(ISNUMBER($J1337),INDIRECT("M"&amp;($J1337+4)),"")</f>
        <v/>
      </c>
      <c r="C1337" s="296" t="str">
        <f aca="true">IF(ISNUMBER($J1337),INDIRECT("N"&amp;($J1337+4)),"")</f>
        <v/>
      </c>
      <c r="D1337" s="291" t="str">
        <f aca="true">IF(ISNUMBER($J1337),INDIRECT("O"&amp;($J1337+4)),"")</f>
        <v/>
      </c>
      <c r="E1337" s="291" t="str">
        <f aca="true">IF(ISNUMBER($J1337),INDIRECT("P"&amp;($J1337+4)),"")</f>
        <v/>
      </c>
      <c r="F1337" s="300" t="str">
        <f aca="true">IF(ISNUMBER($J1337),INDIRECT("Q"&amp;($J1337+4)),"")</f>
        <v/>
      </c>
      <c r="G1337" s="298" t="str">
        <f aca="true">IF(ISNUMBER($J1337),INDIRECT("R"&amp;($J1337+4)),"")</f>
        <v/>
      </c>
      <c r="H1337" s="298" t="str">
        <f aca="true">IF(ISNUMBER($J1337),INDIRECT("S"&amp;($J1337+4)),"")</f>
        <v/>
      </c>
      <c r="J1337" s="292" t="str">
        <f aca="true">IF(1333&lt;=$K$1,MATCH(1332.5,INDIRECT("$K$4:$K$1374"),1),"")</f>
        <v/>
      </c>
      <c r="K1337" s="292" t="n">
        <f aca="false">$K$1284+COUNTIF($Q$1285:Q1337,"&gt;0")</f>
        <v>0</v>
      </c>
      <c r="L1337" s="292" t="str">
        <f aca="false">"Стёкла BF5, BF4, BF3"&amp;" · "&amp;'Стёкла BF5, BF4, BF3'!$J$73</f>
        <v>Стёкла BF5, BF4, BF3 · BF3</v>
      </c>
      <c r="M1337" s="292" t="str">
        <f aca="false">IF(ISBLANK('Стёкла BF5, BF4, BF3'!$K$73),"",'Стёкла BF5, BF4, BF3'!$K$73)</f>
        <v>iP 13 Pro Max</v>
      </c>
      <c r="N1337" s="292" t="str">
        <f aca="false">""</f>
        <v/>
      </c>
      <c r="O1337" s="292" t="str">
        <f aca="false">""</f>
        <v/>
      </c>
      <c r="P1337" s="292" t="str">
        <f aca="false">IF(ISBLANK('Стёкла BF5, BF4, BF3'!$L$73),"",'Стёкла BF5, BF4, BF3'!$L$73)</f>
        <v>шт.</v>
      </c>
      <c r="Q1337" s="292" t="n">
        <f aca="false">N('Стёкла BF5, BF4, BF3'!$N$73)</f>
        <v>0</v>
      </c>
      <c r="R1337" s="299" t="n">
        <f aca="false">IF(ISBLANK('Стёкла BF5, BF4, BF3'!$M$73),"",'Стёкла BF5, BF4, BF3'!$M$73)</f>
        <v>45.67</v>
      </c>
      <c r="S1337" s="292" t="str">
        <f aca="false">IF(ISBLANK('Стёкла BF5, BF4, BF3'!$O$73),"",'Стёкла BF5, BF4, BF3'!$O$73)</f>
        <v/>
      </c>
    </row>
    <row r="1338" customFormat="false" ht="66" hidden="false" customHeight="true" outlineLevel="0" collapsed="false">
      <c r="A1338" s="291" t="str">
        <f aca="true">IF(ISNUMBER($J1338),INDIRECT("L"&amp;($J1338+4)),"")</f>
        <v/>
      </c>
      <c r="B1338" s="291" t="str">
        <f aca="true">IF(ISNUMBER($J1338),INDIRECT("M"&amp;($J1338+4)),"")</f>
        <v/>
      </c>
      <c r="C1338" s="296" t="str">
        <f aca="true">IF(ISNUMBER($J1338),INDIRECT("N"&amp;($J1338+4)),"")</f>
        <v/>
      </c>
      <c r="D1338" s="291" t="str">
        <f aca="true">IF(ISNUMBER($J1338),INDIRECT("O"&amp;($J1338+4)),"")</f>
        <v/>
      </c>
      <c r="E1338" s="291" t="str">
        <f aca="true">IF(ISNUMBER($J1338),INDIRECT("P"&amp;($J1338+4)),"")</f>
        <v/>
      </c>
      <c r="F1338" s="300" t="str">
        <f aca="true">IF(ISNUMBER($J1338),INDIRECT("Q"&amp;($J1338+4)),"")</f>
        <v/>
      </c>
      <c r="G1338" s="298" t="str">
        <f aca="true">IF(ISNUMBER($J1338),INDIRECT("R"&amp;($J1338+4)),"")</f>
        <v/>
      </c>
      <c r="H1338" s="298" t="str">
        <f aca="true">IF(ISNUMBER($J1338),INDIRECT("S"&amp;($J1338+4)),"")</f>
        <v/>
      </c>
      <c r="J1338" s="292" t="str">
        <f aca="true">IF(1334&lt;=$K$1,MATCH(1333.5,INDIRECT("$K$4:$K$1374"),1),"")</f>
        <v/>
      </c>
      <c r="K1338" s="292" t="n">
        <f aca="false">$K$1284+COUNTIF($Q$1285:Q1338,"&gt;0")</f>
        <v>0</v>
      </c>
      <c r="L1338" s="292" t="str">
        <f aca="false">"Стёкла BF5, BF4, BF3"&amp;" · "&amp;'Стёкла BF5, BF4, BF3'!$J$74</f>
        <v>Стёкла BF5, BF4, BF3 · BF3</v>
      </c>
      <c r="M1338" s="292" t="str">
        <f aca="false">IF(ISBLANK('Стёкла BF5, BF4, BF3'!$K$74),"",'Стёкла BF5, BF4, BF3'!$K$74)</f>
        <v>iP 14 pro 6.7</v>
      </c>
      <c r="N1338" s="292" t="str">
        <f aca="false">""</f>
        <v/>
      </c>
      <c r="O1338" s="292" t="str">
        <f aca="false">""</f>
        <v/>
      </c>
      <c r="P1338" s="292" t="str">
        <f aca="false">IF(ISBLANK('Стёкла BF5, BF4, BF3'!$L$74),"",'Стёкла BF5, BF4, BF3'!$L$74)</f>
        <v>шт.</v>
      </c>
      <c r="Q1338" s="292" t="n">
        <f aca="false">N('Стёкла BF5, BF4, BF3'!$N$74)</f>
        <v>0</v>
      </c>
      <c r="R1338" s="299" t="n">
        <f aca="false">IF(ISBLANK('Стёкла BF5, BF4, BF3'!$M$74),"",'Стёкла BF5, BF4, BF3'!$M$74)</f>
        <v>45.67</v>
      </c>
      <c r="S1338" s="292" t="str">
        <f aca="false">IF(ISBLANK('Стёкла BF5, BF4, BF3'!$O$74),"",'Стёкла BF5, BF4, BF3'!$O$74)</f>
        <v/>
      </c>
    </row>
    <row r="1339" customFormat="false" ht="66" hidden="false" customHeight="true" outlineLevel="0" collapsed="false">
      <c r="A1339" s="291" t="str">
        <f aca="true">IF(ISNUMBER($J1339),INDIRECT("L"&amp;($J1339+4)),"")</f>
        <v/>
      </c>
      <c r="B1339" s="291" t="str">
        <f aca="true">IF(ISNUMBER($J1339),INDIRECT("M"&amp;($J1339+4)),"")</f>
        <v/>
      </c>
      <c r="C1339" s="296" t="str">
        <f aca="true">IF(ISNUMBER($J1339),INDIRECT("N"&amp;($J1339+4)),"")</f>
        <v/>
      </c>
      <c r="D1339" s="291" t="str">
        <f aca="true">IF(ISNUMBER($J1339),INDIRECT("O"&amp;($J1339+4)),"")</f>
        <v/>
      </c>
      <c r="E1339" s="291" t="str">
        <f aca="true">IF(ISNUMBER($J1339),INDIRECT("P"&amp;($J1339+4)),"")</f>
        <v/>
      </c>
      <c r="F1339" s="300" t="str">
        <f aca="true">IF(ISNUMBER($J1339),INDIRECT("Q"&amp;($J1339+4)),"")</f>
        <v/>
      </c>
      <c r="G1339" s="298" t="str">
        <f aca="true">IF(ISNUMBER($J1339),INDIRECT("R"&amp;($J1339+4)),"")</f>
        <v/>
      </c>
      <c r="H1339" s="298" t="str">
        <f aca="true">IF(ISNUMBER($J1339),INDIRECT("S"&amp;($J1339+4)),"")</f>
        <v/>
      </c>
      <c r="J1339" s="292" t="str">
        <f aca="true">IF(1335&lt;=$K$1,MATCH(1334.5,INDIRECT("$K$4:$K$1374"),1),"")</f>
        <v/>
      </c>
      <c r="K1339" s="292" t="n">
        <f aca="false">$K$1284+COUNTIF($Q$1285:Q1339,"&gt;0")</f>
        <v>0</v>
      </c>
      <c r="L1339" s="292" t="str">
        <f aca="false">"Стёкла BF5, BF4, BF3"&amp;" · "&amp;'Стёкла BF5, BF4, BF3'!$J$75</f>
        <v>Стёкла BF5, BF4, BF3 · BF3</v>
      </c>
      <c r="M1339" s="292" t="str">
        <f aca="false">IF(ISBLANK('Стёкла BF5, BF4, BF3'!$K$75),"",'Стёкла BF5, BF4, BF3'!$K$75)</f>
        <v>iP 15 Pro 6.1</v>
      </c>
      <c r="N1339" s="292" t="str">
        <f aca="false">""</f>
        <v/>
      </c>
      <c r="O1339" s="292" t="str">
        <f aca="false">""</f>
        <v/>
      </c>
      <c r="P1339" s="292" t="str">
        <f aca="false">IF(ISBLANK('Стёкла BF5, BF4, BF3'!$L$75),"",'Стёкла BF5, BF4, BF3'!$L$75)</f>
        <v>шт.</v>
      </c>
      <c r="Q1339" s="292" t="n">
        <f aca="false">N('Стёкла BF5, BF4, BF3'!$N$75)</f>
        <v>0</v>
      </c>
      <c r="R1339" s="299" t="n">
        <f aca="false">IF(ISBLANK('Стёкла BF5, BF4, BF3'!$M$75),"",'Стёкла BF5, BF4, BF3'!$M$75)</f>
        <v>48.93</v>
      </c>
      <c r="S1339" s="292" t="str">
        <f aca="false">IF(ISBLANK('Стёкла BF5, BF4, BF3'!$O$75),"",'Стёкла BF5, BF4, BF3'!$O$75)</f>
        <v/>
      </c>
    </row>
    <row r="1340" customFormat="false" ht="66" hidden="false" customHeight="true" outlineLevel="0" collapsed="false">
      <c r="A1340" s="291" t="str">
        <f aca="true">IF(ISNUMBER($J1340),INDIRECT("L"&amp;($J1340+4)),"")</f>
        <v/>
      </c>
      <c r="B1340" s="291" t="str">
        <f aca="true">IF(ISNUMBER($J1340),INDIRECT("M"&amp;($J1340+4)),"")</f>
        <v/>
      </c>
      <c r="C1340" s="296" t="str">
        <f aca="true">IF(ISNUMBER($J1340),INDIRECT("N"&amp;($J1340+4)),"")</f>
        <v/>
      </c>
      <c r="D1340" s="291" t="str">
        <f aca="true">IF(ISNUMBER($J1340),INDIRECT("O"&amp;($J1340+4)),"")</f>
        <v/>
      </c>
      <c r="E1340" s="291" t="str">
        <f aca="true">IF(ISNUMBER($J1340),INDIRECT("P"&amp;($J1340+4)),"")</f>
        <v/>
      </c>
      <c r="F1340" s="300" t="str">
        <f aca="true">IF(ISNUMBER($J1340),INDIRECT("Q"&amp;($J1340+4)),"")</f>
        <v/>
      </c>
      <c r="G1340" s="298" t="str">
        <f aca="true">IF(ISNUMBER($J1340),INDIRECT("R"&amp;($J1340+4)),"")</f>
        <v/>
      </c>
      <c r="H1340" s="298" t="str">
        <f aca="true">IF(ISNUMBER($J1340),INDIRECT("S"&amp;($J1340+4)),"")</f>
        <v/>
      </c>
      <c r="J1340" s="292" t="str">
        <f aca="true">IF(1336&lt;=$K$1,MATCH(1335.5,INDIRECT("$K$4:$K$1374"),1),"")</f>
        <v/>
      </c>
      <c r="K1340" s="292" t="n">
        <f aca="false">$K$1284+COUNTIF($Q$1285:Q1340,"&gt;0")</f>
        <v>0</v>
      </c>
      <c r="L1340" s="292" t="str">
        <f aca="false">"Стёкла BF5, BF4, BF3"&amp;" · "&amp;'Стёкла BF5, BF4, BF3'!$J$76</f>
        <v>Стёкла BF5, BF4, BF3 · BF3</v>
      </c>
      <c r="M1340" s="292" t="str">
        <f aca="false">IF(ISBLANK('Стёкла BF5, BF4, BF3'!$K$76),"",'Стёкла BF5, BF4, BF3'!$K$76)</f>
        <v>iP 6 plus/6s plus-5.5 white</v>
      </c>
      <c r="N1340" s="292" t="str">
        <f aca="false">""</f>
        <v/>
      </c>
      <c r="O1340" s="292" t="str">
        <f aca="false">""</f>
        <v/>
      </c>
      <c r="P1340" s="292" t="str">
        <f aca="false">IF(ISBLANK('Стёкла BF5, BF4, BF3'!$L$76),"",'Стёкла BF5, BF4, BF3'!$L$76)</f>
        <v>шт.</v>
      </c>
      <c r="Q1340" s="292" t="n">
        <f aca="false">N('Стёкла BF5, BF4, BF3'!$N$76)</f>
        <v>0</v>
      </c>
      <c r="R1340" s="299" t="n">
        <f aca="false">IF(ISBLANK('Стёкла BF5, BF4, BF3'!$M$76),"",'Стёкла BF5, BF4, BF3'!$M$76)</f>
        <v>45.67</v>
      </c>
      <c r="S1340" s="292" t="str">
        <f aca="false">IF(ISBLANK('Стёкла BF5, BF4, BF3'!$O$76),"",'Стёкла BF5, BF4, BF3'!$O$76)</f>
        <v/>
      </c>
    </row>
    <row r="1341" customFormat="false" ht="66" hidden="false" customHeight="true" outlineLevel="0" collapsed="false">
      <c r="A1341" s="291" t="str">
        <f aca="true">IF(ISNUMBER($J1341),INDIRECT("L"&amp;($J1341+4)),"")</f>
        <v/>
      </c>
      <c r="B1341" s="291" t="str">
        <f aca="true">IF(ISNUMBER($J1341),INDIRECT("M"&amp;($J1341+4)),"")</f>
        <v/>
      </c>
      <c r="C1341" s="296" t="str">
        <f aca="true">IF(ISNUMBER($J1341),INDIRECT("N"&amp;($J1341+4)),"")</f>
        <v/>
      </c>
      <c r="D1341" s="291" t="str">
        <f aca="true">IF(ISNUMBER($J1341),INDIRECT("O"&amp;($J1341+4)),"")</f>
        <v/>
      </c>
      <c r="E1341" s="291" t="str">
        <f aca="true">IF(ISNUMBER($J1341),INDIRECT("P"&amp;($J1341+4)),"")</f>
        <v/>
      </c>
      <c r="F1341" s="300" t="str">
        <f aca="true">IF(ISNUMBER($J1341),INDIRECT("Q"&amp;($J1341+4)),"")</f>
        <v/>
      </c>
      <c r="G1341" s="298" t="str">
        <f aca="true">IF(ISNUMBER($J1341),INDIRECT("R"&amp;($J1341+4)),"")</f>
        <v/>
      </c>
      <c r="H1341" s="298" t="str">
        <f aca="true">IF(ISNUMBER($J1341),INDIRECT("S"&amp;($J1341+4)),"")</f>
        <v/>
      </c>
      <c r="J1341" s="292" t="str">
        <f aca="true">IF(1337&lt;=$K$1,MATCH(1336.5,INDIRECT("$K$4:$K$1374"),1),"")</f>
        <v/>
      </c>
      <c r="K1341" s="292" t="n">
        <f aca="false">$K$1284+COUNTIF($Q$1285:Q1341,"&gt;0")</f>
        <v>0</v>
      </c>
      <c r="L1341" s="292" t="str">
        <f aca="false">"Стёкла BF5, BF4, BF3"&amp;" · "&amp;'Стёкла BF5, BF4, BF3'!$J$77</f>
        <v>Стёкла BF5, BF4, BF3 · BF3</v>
      </c>
      <c r="M1341" s="292" t="str">
        <f aca="false">IF(ISBLANK('Стёкла BF5, BF4, BF3'!$K$77),"",'Стёкла BF5, BF4, BF3'!$K$77)</f>
        <v>iP 7 plus/8 plus-5.5 white</v>
      </c>
      <c r="N1341" s="292" t="str">
        <f aca="false">""</f>
        <v/>
      </c>
      <c r="O1341" s="292" t="str">
        <f aca="false">""</f>
        <v/>
      </c>
      <c r="P1341" s="292" t="str">
        <f aca="false">IF(ISBLANK('Стёкла BF5, BF4, BF3'!$L$77),"",'Стёкла BF5, BF4, BF3'!$L$77)</f>
        <v>шт.</v>
      </c>
      <c r="Q1341" s="292" t="n">
        <f aca="false">N('Стёкла BF5, BF4, BF3'!$N$77)</f>
        <v>0</v>
      </c>
      <c r="R1341" s="299" t="n">
        <f aca="false">IF(ISBLANK('Стёкла BF5, BF4, BF3'!$M$77),"",'Стёкла BF5, BF4, BF3'!$M$77)</f>
        <v>45.67</v>
      </c>
      <c r="S1341" s="292" t="str">
        <f aca="false">IF(ISBLANK('Стёкла BF5, BF4, BF3'!$O$77),"",'Стёкла BF5, BF4, BF3'!$O$77)</f>
        <v/>
      </c>
    </row>
    <row r="1342" customFormat="false" ht="66" hidden="false" customHeight="true" outlineLevel="0" collapsed="false">
      <c r="A1342" s="291" t="str">
        <f aca="true">IF(ISNUMBER($J1342),INDIRECT("L"&amp;($J1342+4)),"")</f>
        <v/>
      </c>
      <c r="B1342" s="291" t="str">
        <f aca="true">IF(ISNUMBER($J1342),INDIRECT("M"&amp;($J1342+4)),"")</f>
        <v/>
      </c>
      <c r="C1342" s="296" t="str">
        <f aca="true">IF(ISNUMBER($J1342),INDIRECT("N"&amp;($J1342+4)),"")</f>
        <v/>
      </c>
      <c r="D1342" s="291" t="str">
        <f aca="true">IF(ISNUMBER($J1342),INDIRECT("O"&amp;($J1342+4)),"")</f>
        <v/>
      </c>
      <c r="E1342" s="291" t="str">
        <f aca="true">IF(ISNUMBER($J1342),INDIRECT("P"&amp;($J1342+4)),"")</f>
        <v/>
      </c>
      <c r="F1342" s="300" t="str">
        <f aca="true">IF(ISNUMBER($J1342),INDIRECT("Q"&amp;($J1342+4)),"")</f>
        <v/>
      </c>
      <c r="G1342" s="298" t="str">
        <f aca="true">IF(ISNUMBER($J1342),INDIRECT("R"&amp;($J1342+4)),"")</f>
        <v/>
      </c>
      <c r="H1342" s="298" t="str">
        <f aca="true">IF(ISNUMBER($J1342),INDIRECT("S"&amp;($J1342+4)),"")</f>
        <v/>
      </c>
      <c r="J1342" s="292" t="str">
        <f aca="true">IF(1338&lt;=$K$1,MATCH(1337.5,INDIRECT("$K$4:$K$1374"),1),"")</f>
        <v/>
      </c>
      <c r="K1342" s="292" t="n">
        <f aca="false">$K$1284+COUNTIF($Q$1285:Q1342,"&gt;0")</f>
        <v>0</v>
      </c>
      <c r="L1342" s="292" t="str">
        <f aca="false">"Стёкла BF5, BF4, BF3"&amp;" · "&amp;'Стёкла BF5, BF4, BF3'!$J$78</f>
        <v>Стёкла BF5, BF4, BF3 · BF3</v>
      </c>
      <c r="M1342" s="292" t="str">
        <f aca="false">IF(ISBLANK('Стёкла BF5, BF4, BF3'!$K$78),"",'Стёкла BF5, BF4, BF3'!$K$78)</f>
        <v>iP 14 Pro Max 6.7</v>
      </c>
      <c r="N1342" s="292" t="str">
        <f aca="false">""</f>
        <v/>
      </c>
      <c r="O1342" s="292" t="str">
        <f aca="false">""</f>
        <v/>
      </c>
      <c r="P1342" s="292" t="str">
        <f aca="false">IF(ISBLANK('Стёкла BF5, BF4, BF3'!$L$78),"",'Стёкла BF5, BF4, BF3'!$L$78)</f>
        <v>шт.</v>
      </c>
      <c r="Q1342" s="292" t="n">
        <f aca="false">N('Стёкла BF5, BF4, BF3'!$N$78)</f>
        <v>0</v>
      </c>
      <c r="R1342" s="299" t="n">
        <f aca="false">IF(ISBLANK('Стёкла BF5, BF4, BF3'!$M$78),"",'Стёкла BF5, BF4, BF3'!$M$78)</f>
        <v>45.67</v>
      </c>
      <c r="S1342" s="292" t="str">
        <f aca="false">IF(ISBLANK('Стёкла BF5, BF4, BF3'!$O$78),"",'Стёкла BF5, BF4, BF3'!$O$78)</f>
        <v/>
      </c>
    </row>
    <row r="1343" customFormat="false" ht="66" hidden="false" customHeight="true" outlineLevel="0" collapsed="false">
      <c r="A1343" s="291" t="str">
        <f aca="true">IF(ISNUMBER($J1343),INDIRECT("L"&amp;($J1343+4)),"")</f>
        <v/>
      </c>
      <c r="B1343" s="291" t="str">
        <f aca="true">IF(ISNUMBER($J1343),INDIRECT("M"&amp;($J1343+4)),"")</f>
        <v/>
      </c>
      <c r="C1343" s="296" t="str">
        <f aca="true">IF(ISNUMBER($J1343),INDIRECT("N"&amp;($J1343+4)),"")</f>
        <v/>
      </c>
      <c r="D1343" s="291" t="str">
        <f aca="true">IF(ISNUMBER($J1343),INDIRECT("O"&amp;($J1343+4)),"")</f>
        <v/>
      </c>
      <c r="E1343" s="291" t="str">
        <f aca="true">IF(ISNUMBER($J1343),INDIRECT("P"&amp;($J1343+4)),"")</f>
        <v/>
      </c>
      <c r="F1343" s="300" t="str">
        <f aca="true">IF(ISNUMBER($J1343),INDIRECT("Q"&amp;($J1343+4)),"")</f>
        <v/>
      </c>
      <c r="G1343" s="298" t="str">
        <f aca="true">IF(ISNUMBER($J1343),INDIRECT("R"&amp;($J1343+4)),"")</f>
        <v/>
      </c>
      <c r="H1343" s="298" t="str">
        <f aca="true">IF(ISNUMBER($J1343),INDIRECT("S"&amp;($J1343+4)),"")</f>
        <v/>
      </c>
      <c r="J1343" s="292" t="str">
        <f aca="true">IF(1339&lt;=$K$1,MATCH(1338.5,INDIRECT("$K$4:$K$1374"),1),"")</f>
        <v/>
      </c>
      <c r="K1343" s="292" t="n">
        <f aca="false">$K$1284+COUNTIF($Q$1285:Q1343,"&gt;0")</f>
        <v>0</v>
      </c>
      <c r="L1343" s="292" t="str">
        <f aca="false">"Стёкла BF5, BF4, BF3"&amp;" · "&amp;'Стёкла BF5, BF4, BF3'!$J$79</f>
        <v>Стёкла BF5, BF4, BF3 · BF3</v>
      </c>
      <c r="M1343" s="292" t="str">
        <f aca="false">IF(ISBLANK('Стёкла BF5, BF4, BF3'!$K$79),"",'Стёкла BF5, BF4, BF3'!$K$79)</f>
        <v>iP 15 Pro Max 6.7</v>
      </c>
      <c r="N1343" s="292" t="str">
        <f aca="false">""</f>
        <v/>
      </c>
      <c r="O1343" s="292" t="str">
        <f aca="false">""</f>
        <v/>
      </c>
      <c r="P1343" s="292" t="str">
        <f aca="false">IF(ISBLANK('Стёкла BF5, BF4, BF3'!$L$79),"",'Стёкла BF5, BF4, BF3'!$L$79)</f>
        <v>шт.</v>
      </c>
      <c r="Q1343" s="292" t="n">
        <f aca="false">N('Стёкла BF5, BF4, BF3'!$N$79)</f>
        <v>0</v>
      </c>
      <c r="R1343" s="299" t="n">
        <f aca="false">IF(ISBLANK('Стёкла BF5, BF4, BF3'!$M$79),"",'Стёкла BF5, BF4, BF3'!$M$79)</f>
        <v>48.93</v>
      </c>
      <c r="S1343" s="292" t="str">
        <f aca="false">IF(ISBLANK('Стёкла BF5, BF4, BF3'!$O$79),"",'Стёкла BF5, BF4, BF3'!$O$79)</f>
        <v/>
      </c>
    </row>
    <row r="1344" customFormat="false" ht="66" hidden="false" customHeight="true" outlineLevel="0" collapsed="false">
      <c r="A1344" s="291" t="str">
        <f aca="true">IF(ISNUMBER($J1344),INDIRECT("L"&amp;($J1344+4)),"")</f>
        <v/>
      </c>
      <c r="B1344" s="291" t="str">
        <f aca="true">IF(ISNUMBER($J1344),INDIRECT("M"&amp;($J1344+4)),"")</f>
        <v/>
      </c>
      <c r="C1344" s="296" t="str">
        <f aca="true">IF(ISNUMBER($J1344),INDIRECT("N"&amp;($J1344+4)),"")</f>
        <v/>
      </c>
      <c r="D1344" s="291" t="str">
        <f aca="true">IF(ISNUMBER($J1344),INDIRECT("O"&amp;($J1344+4)),"")</f>
        <v/>
      </c>
      <c r="E1344" s="291" t="str">
        <f aca="true">IF(ISNUMBER($J1344),INDIRECT("P"&amp;($J1344+4)),"")</f>
        <v/>
      </c>
      <c r="F1344" s="300" t="str">
        <f aca="true">IF(ISNUMBER($J1344),INDIRECT("Q"&amp;($J1344+4)),"")</f>
        <v/>
      </c>
      <c r="G1344" s="298" t="str">
        <f aca="true">IF(ISNUMBER($J1344),INDIRECT("R"&amp;($J1344+4)),"")</f>
        <v/>
      </c>
      <c r="H1344" s="298" t="str">
        <f aca="true">IF(ISNUMBER($J1344),INDIRECT("S"&amp;($J1344+4)),"")</f>
        <v/>
      </c>
      <c r="J1344" s="292" t="str">
        <f aca="true">IF(1340&lt;=$K$1,MATCH(1339.5,INDIRECT("$K$4:$K$1374"),1),"")</f>
        <v/>
      </c>
      <c r="K1344" s="292" t="n">
        <f aca="false">$K$1284+COUNTIF($Q$1285:Q1344,"&gt;0")</f>
        <v>0</v>
      </c>
      <c r="L1344" s="292" t="str">
        <f aca="false">"Стёкла BF5, BF4, BF3"&amp;" · "&amp;'Стёкла BF5, BF4, BF3'!$J$80</f>
        <v>Стёкла BF5, BF4, BF3 · BF3</v>
      </c>
      <c r="M1344" s="292" t="str">
        <f aca="false">IF(ISBLANK('Стёкла BF5, BF4, BF3'!$K$80),"",'Стёкла BF5, BF4, BF3'!$K$80)</f>
        <v>iP 16 Pro 6.3</v>
      </c>
      <c r="N1344" s="292" t="str">
        <f aca="false">""</f>
        <v/>
      </c>
      <c r="O1344" s="292" t="str">
        <f aca="false">""</f>
        <v/>
      </c>
      <c r="P1344" s="292" t="str">
        <f aca="false">IF(ISBLANK('Стёкла BF5, BF4, BF3'!$L$80),"",'Стёкла BF5, BF4, BF3'!$L$80)</f>
        <v>шт.</v>
      </c>
      <c r="Q1344" s="292" t="n">
        <f aca="false">N('Стёкла BF5, BF4, BF3'!$N$80)</f>
        <v>0</v>
      </c>
      <c r="R1344" s="299" t="n">
        <f aca="false">IF(ISBLANK('Стёкла BF5, BF4, BF3'!$M$80),"",'Стёкла BF5, BF4, BF3'!$M$80)</f>
        <v>52.19</v>
      </c>
      <c r="S1344" s="292" t="str">
        <f aca="false">IF(ISBLANK('Стёкла BF5, BF4, BF3'!$O$80),"",'Стёкла BF5, BF4, BF3'!$O$80)</f>
        <v/>
      </c>
    </row>
    <row r="1345" customFormat="false" ht="66" hidden="false" customHeight="true" outlineLevel="0" collapsed="false">
      <c r="A1345" s="291" t="str">
        <f aca="true">IF(ISNUMBER($J1345),INDIRECT("L"&amp;($J1345+4)),"")</f>
        <v/>
      </c>
      <c r="B1345" s="291" t="str">
        <f aca="true">IF(ISNUMBER($J1345),INDIRECT("M"&amp;($J1345+4)),"")</f>
        <v/>
      </c>
      <c r="C1345" s="296" t="str">
        <f aca="true">IF(ISNUMBER($J1345),INDIRECT("N"&amp;($J1345+4)),"")</f>
        <v/>
      </c>
      <c r="D1345" s="291" t="str">
        <f aca="true">IF(ISNUMBER($J1345),INDIRECT("O"&amp;($J1345+4)),"")</f>
        <v/>
      </c>
      <c r="E1345" s="291" t="str">
        <f aca="true">IF(ISNUMBER($J1345),INDIRECT("P"&amp;($J1345+4)),"")</f>
        <v/>
      </c>
      <c r="F1345" s="300" t="str">
        <f aca="true">IF(ISNUMBER($J1345),INDIRECT("Q"&amp;($J1345+4)),"")</f>
        <v/>
      </c>
      <c r="G1345" s="298" t="str">
        <f aca="true">IF(ISNUMBER($J1345),INDIRECT("R"&amp;($J1345+4)),"")</f>
        <v/>
      </c>
      <c r="H1345" s="298" t="str">
        <f aca="true">IF(ISNUMBER($J1345),INDIRECT("S"&amp;($J1345+4)),"")</f>
        <v/>
      </c>
      <c r="J1345" s="292" t="str">
        <f aca="true">IF(1341&lt;=$K$1,MATCH(1340.5,INDIRECT("$K$4:$K$1374"),1),"")</f>
        <v/>
      </c>
      <c r="K1345" s="292" t="n">
        <f aca="false">$K$1284+COUNTIF($Q$1285:Q1345,"&gt;0")</f>
        <v>0</v>
      </c>
      <c r="L1345" s="292" t="str">
        <f aca="false">"Стёкла BF5, BF4, BF3"&amp;" · "&amp;'Стёкла BF5, BF4, BF3'!$J$81</f>
        <v>Стёкла BF5, BF4, BF3 · BF3</v>
      </c>
      <c r="M1345" s="292" t="str">
        <f aca="false">IF(ISBLANK('Стёкла BF5, BF4, BF3'!$K$81),"",'Стёкла BF5, BF4, BF3'!$K$81)</f>
        <v>iP 16 Pro Max 6.9</v>
      </c>
      <c r="N1345" s="292" t="str">
        <f aca="false">""</f>
        <v/>
      </c>
      <c r="O1345" s="292" t="str">
        <f aca="false">""</f>
        <v/>
      </c>
      <c r="P1345" s="292" t="str">
        <f aca="false">IF(ISBLANK('Стёкла BF5, BF4, BF3'!$L$81),"",'Стёкла BF5, BF4, BF3'!$L$81)</f>
        <v>шт.</v>
      </c>
      <c r="Q1345" s="292" t="n">
        <f aca="false">N('Стёкла BF5, BF4, BF3'!$N$81)</f>
        <v>0</v>
      </c>
      <c r="R1345" s="299" t="n">
        <f aca="false">IF(ISBLANK('Стёкла BF5, BF4, BF3'!$M$81),"",'Стёкла BF5, BF4, BF3'!$M$81)</f>
        <v>52.19</v>
      </c>
      <c r="S1345" s="292" t="str">
        <f aca="false">IF(ISBLANK('Стёкла BF5, BF4, BF3'!$O$81),"",'Стёкла BF5, BF4, BF3'!$O$81)</f>
        <v/>
      </c>
    </row>
    <row r="1346" customFormat="false" ht="66" hidden="false" customHeight="true" outlineLevel="0" collapsed="false">
      <c r="A1346" s="291" t="str">
        <f aca="true">IF(ISNUMBER($J1346),INDIRECT("L"&amp;($J1346+4)),"")</f>
        <v/>
      </c>
      <c r="B1346" s="291" t="str">
        <f aca="true">IF(ISNUMBER($J1346),INDIRECT("M"&amp;($J1346+4)),"")</f>
        <v/>
      </c>
      <c r="C1346" s="296" t="str">
        <f aca="true">IF(ISNUMBER($J1346),INDIRECT("N"&amp;($J1346+4)),"")</f>
        <v/>
      </c>
      <c r="D1346" s="291" t="str">
        <f aca="true">IF(ISNUMBER($J1346),INDIRECT("O"&amp;($J1346+4)),"")</f>
        <v/>
      </c>
      <c r="E1346" s="291" t="str">
        <f aca="true">IF(ISNUMBER($J1346),INDIRECT("P"&amp;($J1346+4)),"")</f>
        <v/>
      </c>
      <c r="F1346" s="300" t="str">
        <f aca="true">IF(ISNUMBER($J1346),INDIRECT("Q"&amp;($J1346+4)),"")</f>
        <v/>
      </c>
      <c r="G1346" s="298" t="str">
        <f aca="true">IF(ISNUMBER($J1346),INDIRECT("R"&amp;($J1346+4)),"")</f>
        <v/>
      </c>
      <c r="H1346" s="298" t="str">
        <f aca="true">IF(ISNUMBER($J1346),INDIRECT("S"&amp;($J1346+4)),"")</f>
        <v/>
      </c>
      <c r="J1346" s="292" t="str">
        <f aca="true">IF(1342&lt;=$K$1,MATCH(1341.5,INDIRECT("$K$4:$K$1374"),1),"")</f>
        <v/>
      </c>
      <c r="K1346" s="292" t="n">
        <f aca="false">$K$1284+COUNTIF($Q$1285:Q1346,"&gt;0")</f>
        <v>0</v>
      </c>
      <c r="L1346" s="292" t="str">
        <f aca="false">"Стёкла BF5, BF4, BF3"&amp;" · "&amp;'Стёкла BF5, BF4, BF3'!$J$82</f>
        <v>Стёкла BF5, BF4, BF3 · BF3</v>
      </c>
      <c r="M1346" s="292" t="str">
        <f aca="false">IF(ISBLANK('Стёкла BF5, BF4, BF3'!$K$82),"",'Стёкла BF5, BF4, BF3'!$K$82)</f>
        <v>iP 17 Air</v>
      </c>
      <c r="N1346" s="292" t="str">
        <f aca="false">""</f>
        <v/>
      </c>
      <c r="O1346" s="292" t="str">
        <f aca="false">""</f>
        <v/>
      </c>
      <c r="P1346" s="292" t="str">
        <f aca="false">IF(ISBLANK('Стёкла BF5, BF4, BF3'!$L$82),"",'Стёкла BF5, BF4, BF3'!$L$82)</f>
        <v>шт.</v>
      </c>
      <c r="Q1346" s="292" t="n">
        <f aca="false">N('Стёкла BF5, BF4, BF3'!$N$82)</f>
        <v>0</v>
      </c>
      <c r="R1346" s="299" t="n">
        <f aca="false">IF(ISBLANK('Стёкла BF5, BF4, BF3'!$M$82),"",'Стёкла BF5, BF4, BF3'!$M$82)</f>
        <v>52.19</v>
      </c>
      <c r="S1346" s="292" t="str">
        <f aca="false">IF(ISBLANK('Стёкла BF5, BF4, BF3'!$O$82),"",'Стёкла BF5, BF4, BF3'!$O$82)</f>
        <v/>
      </c>
    </row>
    <row r="1347" customFormat="false" ht="66" hidden="false" customHeight="true" outlineLevel="0" collapsed="false">
      <c r="A1347" s="291" t="str">
        <f aca="true">IF(ISNUMBER($J1347),INDIRECT("L"&amp;($J1347+4)),"")</f>
        <v/>
      </c>
      <c r="B1347" s="291" t="str">
        <f aca="true">IF(ISNUMBER($J1347),INDIRECT("M"&amp;($J1347+4)),"")</f>
        <v/>
      </c>
      <c r="C1347" s="296" t="str">
        <f aca="true">IF(ISNUMBER($J1347),INDIRECT("N"&amp;($J1347+4)),"")</f>
        <v/>
      </c>
      <c r="D1347" s="291" t="str">
        <f aca="true">IF(ISNUMBER($J1347),INDIRECT("O"&amp;($J1347+4)),"")</f>
        <v/>
      </c>
      <c r="E1347" s="291" t="str">
        <f aca="true">IF(ISNUMBER($J1347),INDIRECT("P"&amp;($J1347+4)),"")</f>
        <v/>
      </c>
      <c r="F1347" s="300" t="str">
        <f aca="true">IF(ISNUMBER($J1347),INDIRECT("Q"&amp;($J1347+4)),"")</f>
        <v/>
      </c>
      <c r="G1347" s="298" t="str">
        <f aca="true">IF(ISNUMBER($J1347),INDIRECT("R"&amp;($J1347+4)),"")</f>
        <v/>
      </c>
      <c r="H1347" s="298" t="str">
        <f aca="true">IF(ISNUMBER($J1347),INDIRECT("S"&amp;($J1347+4)),"")</f>
        <v/>
      </c>
      <c r="J1347" s="292" t="str">
        <f aca="true">IF(1343&lt;=$K$1,MATCH(1342.5,INDIRECT("$K$4:$K$1374"),1),"")</f>
        <v/>
      </c>
      <c r="K1347" s="292" t="n">
        <f aca="false">$K$1284+COUNTIF($Q$1285:Q1347,"&gt;0")</f>
        <v>0</v>
      </c>
      <c r="L1347" s="292" t="str">
        <f aca="false">"Стёкла BF5, BF4, BF3"&amp;" · "&amp;'Стёкла BF5, BF4, BF3'!$J$83</f>
        <v>Стёкла BF5, BF4, BF3 · BF3</v>
      </c>
      <c r="M1347" s="292" t="str">
        <f aca="false">IF(ISBLANK('Стёкла BF5, BF4, BF3'!$K$83),"",'Стёкла BF5, BF4, BF3'!$K$83)</f>
        <v>iP 17 Pro</v>
      </c>
      <c r="N1347" s="292" t="str">
        <f aca="false">""</f>
        <v/>
      </c>
      <c r="O1347" s="292" t="str">
        <f aca="false">""</f>
        <v/>
      </c>
      <c r="P1347" s="292" t="str">
        <f aca="false">IF(ISBLANK('Стёкла BF5, BF4, BF3'!$L$83),"",'Стёкла BF5, BF4, BF3'!$L$83)</f>
        <v>шт.</v>
      </c>
      <c r="Q1347" s="292" t="n">
        <f aca="false">N('Стёкла BF5, BF4, BF3'!$N$83)</f>
        <v>0</v>
      </c>
      <c r="R1347" s="299" t="n">
        <f aca="false">IF(ISBLANK('Стёкла BF5, BF4, BF3'!$M$83),"",'Стёкла BF5, BF4, BF3'!$M$83)</f>
        <v>52.19</v>
      </c>
      <c r="S1347" s="292" t="str">
        <f aca="false">IF(ISBLANK('Стёкла BF5, BF4, BF3'!$O$83),"",'Стёкла BF5, BF4, BF3'!$O$83)</f>
        <v/>
      </c>
    </row>
    <row r="1348" customFormat="false" ht="66" hidden="false" customHeight="true" outlineLevel="0" collapsed="false">
      <c r="A1348" s="291" t="str">
        <f aca="true">IF(ISNUMBER($J1348),INDIRECT("L"&amp;($J1348+4)),"")</f>
        <v/>
      </c>
      <c r="B1348" s="291" t="str">
        <f aca="true">IF(ISNUMBER($J1348),INDIRECT("M"&amp;($J1348+4)),"")</f>
        <v/>
      </c>
      <c r="C1348" s="296" t="str">
        <f aca="true">IF(ISNUMBER($J1348),INDIRECT("N"&amp;($J1348+4)),"")</f>
        <v/>
      </c>
      <c r="D1348" s="291" t="str">
        <f aca="true">IF(ISNUMBER($J1348),INDIRECT("O"&amp;($J1348+4)),"")</f>
        <v/>
      </c>
      <c r="E1348" s="291" t="str">
        <f aca="true">IF(ISNUMBER($J1348),INDIRECT("P"&amp;($J1348+4)),"")</f>
        <v/>
      </c>
      <c r="F1348" s="300" t="str">
        <f aca="true">IF(ISNUMBER($J1348),INDIRECT("Q"&amp;($J1348+4)),"")</f>
        <v/>
      </c>
      <c r="G1348" s="298" t="str">
        <f aca="true">IF(ISNUMBER($J1348),INDIRECT("R"&amp;($J1348+4)),"")</f>
        <v/>
      </c>
      <c r="H1348" s="298" t="str">
        <f aca="true">IF(ISNUMBER($J1348),INDIRECT("S"&amp;($J1348+4)),"")</f>
        <v/>
      </c>
      <c r="J1348" s="292" t="str">
        <f aca="true">IF(1344&lt;=$K$1,MATCH(1343.5,INDIRECT("$K$4:$K$1374"),1),"")</f>
        <v/>
      </c>
      <c r="K1348" s="292" t="n">
        <f aca="false">$K$1284+COUNTIF($Q$1285:Q1348,"&gt;0")</f>
        <v>0</v>
      </c>
      <c r="L1348" s="292" t="str">
        <f aca="false">"Стёкла BF5, BF4, BF3"&amp;" · "&amp;'Стёкла BF5, BF4, BF3'!$J$84</f>
        <v>Стёкла BF5, BF4, BF3 · BF3</v>
      </c>
      <c r="M1348" s="292" t="str">
        <f aca="false">IF(ISBLANK('Стёкла BF5, BF4, BF3'!$K$84),"",'Стёкла BF5, BF4, BF3'!$K$84)</f>
        <v>iP 17 Pro Max</v>
      </c>
      <c r="N1348" s="292" t="str">
        <f aca="false">""</f>
        <v/>
      </c>
      <c r="O1348" s="292" t="str">
        <f aca="false">""</f>
        <v/>
      </c>
      <c r="P1348" s="292" t="str">
        <f aca="false">IF(ISBLANK('Стёкла BF5, BF4, BF3'!$L$84),"",'Стёкла BF5, BF4, BF3'!$L$84)</f>
        <v>шт.</v>
      </c>
      <c r="Q1348" s="292" t="n">
        <f aca="false">N('Стёкла BF5, BF4, BF3'!$N$84)</f>
        <v>0</v>
      </c>
      <c r="R1348" s="299" t="n">
        <f aca="false">IF(ISBLANK('Стёкла BF5, BF4, BF3'!$M$84),"",'Стёкла BF5, BF4, BF3'!$M$84)</f>
        <v>52.19</v>
      </c>
      <c r="S1348" s="292" t="str">
        <f aca="false">IF(ISBLANK('Стёкла BF5, BF4, BF3'!$O$84),"",'Стёкла BF5, BF4, BF3'!$O$84)</f>
        <v/>
      </c>
    </row>
    <row r="1349" customFormat="false" ht="66" hidden="false" customHeight="true" outlineLevel="0" collapsed="false">
      <c r="A1349" s="291" t="str">
        <f aca="true">IF(ISNUMBER($J1349),INDIRECT("L"&amp;($J1349+4)),"")</f>
        <v/>
      </c>
      <c r="B1349" s="291" t="str">
        <f aca="true">IF(ISNUMBER($J1349),INDIRECT("M"&amp;($J1349+4)),"")</f>
        <v/>
      </c>
      <c r="C1349" s="296" t="str">
        <f aca="true">IF(ISNUMBER($J1349),INDIRECT("N"&amp;($J1349+4)),"")</f>
        <v/>
      </c>
      <c r="D1349" s="291" t="str">
        <f aca="true">IF(ISNUMBER($J1349),INDIRECT("O"&amp;($J1349+4)),"")</f>
        <v/>
      </c>
      <c r="E1349" s="291" t="str">
        <f aca="true">IF(ISNUMBER($J1349),INDIRECT("P"&amp;($J1349+4)),"")</f>
        <v/>
      </c>
      <c r="F1349" s="300" t="str">
        <f aca="true">IF(ISNUMBER($J1349),INDIRECT("Q"&amp;($J1349+4)),"")</f>
        <v/>
      </c>
      <c r="G1349" s="298" t="str">
        <f aca="true">IF(ISNUMBER($J1349),INDIRECT("R"&amp;($J1349+4)),"")</f>
        <v/>
      </c>
      <c r="H1349" s="298" t="str">
        <f aca="true">IF(ISNUMBER($J1349),INDIRECT("S"&amp;($J1349+4)),"")</f>
        <v/>
      </c>
      <c r="J1349" s="292" t="str">
        <f aca="true">IF(1345&lt;=$K$1,MATCH(1344.5,INDIRECT("$K$4:$K$1374"),1),"")</f>
        <v/>
      </c>
      <c r="K1349" s="292" t="n">
        <f aca="false">$K$1284+COUNTIF($Q$1285:Q1349,"&gt;0")</f>
        <v>0</v>
      </c>
      <c r="L1349" s="292" t="str">
        <f aca="false">"Материалы и стеллажи"</f>
        <v>Материалы и стеллажи</v>
      </c>
      <c r="M1349" s="292" t="str">
        <f aca="false">IF(ISBLANK('Материалы и стеллажи'!$A$4),"",'Материалы и стеллажи'!$A$4)</f>
        <v>BOROFONE.BN203 地面方向指引贴BN203 Floor directional sticker</v>
      </c>
      <c r="N1349" s="292" t="str">
        <f aca="false">""</f>
        <v/>
      </c>
      <c r="O1349" s="292" t="str">
        <f aca="false">""</f>
        <v/>
      </c>
      <c r="P1349" s="292" t="str">
        <f aca="false">"ед."</f>
        <v>ед.</v>
      </c>
      <c r="Q1349" s="292" t="n">
        <f aca="false">N('Материалы и стеллажи'!$D$4)</f>
        <v>0</v>
      </c>
      <c r="R1349" s="299" t="n">
        <f aca="false">IF(ISBLANK('Материалы и стеллажи'!$C$4),"",'Материалы и стеллажи'!$C$4)</f>
        <v>70.13</v>
      </c>
      <c r="S1349" s="292" t="str">
        <f aca="false">IF(ISBLANK('Материалы и стеллажи'!$E$4),"",'Материалы и стеллажи'!$E$4)</f>
        <v/>
      </c>
    </row>
    <row r="1350" customFormat="false" ht="66" hidden="false" customHeight="true" outlineLevel="0" collapsed="false">
      <c r="A1350" s="291" t="str">
        <f aca="true">IF(ISNUMBER($J1350),INDIRECT("L"&amp;($J1350+4)),"")</f>
        <v/>
      </c>
      <c r="B1350" s="291" t="str">
        <f aca="true">IF(ISNUMBER($J1350),INDIRECT("M"&amp;($J1350+4)),"")</f>
        <v/>
      </c>
      <c r="C1350" s="296" t="str">
        <f aca="true">IF(ISNUMBER($J1350),INDIRECT("N"&amp;($J1350+4)),"")</f>
        <v/>
      </c>
      <c r="D1350" s="291" t="str">
        <f aca="true">IF(ISNUMBER($J1350),INDIRECT("O"&amp;($J1350+4)),"")</f>
        <v/>
      </c>
      <c r="E1350" s="291" t="str">
        <f aca="true">IF(ISNUMBER($J1350),INDIRECT("P"&amp;($J1350+4)),"")</f>
        <v/>
      </c>
      <c r="F1350" s="300" t="str">
        <f aca="true">IF(ISNUMBER($J1350),INDIRECT("Q"&amp;($J1350+4)),"")</f>
        <v/>
      </c>
      <c r="G1350" s="298" t="str">
        <f aca="true">IF(ISNUMBER($J1350),INDIRECT("R"&amp;($J1350+4)),"")</f>
        <v/>
      </c>
      <c r="H1350" s="298" t="str">
        <f aca="true">IF(ISNUMBER($J1350),INDIRECT("S"&amp;($J1350+4)),"")</f>
        <v/>
      </c>
      <c r="J1350" s="292" t="str">
        <f aca="true">IF(1346&lt;=$K$1,MATCH(1345.5,INDIRECT("$K$4:$K$1374"),1),"")</f>
        <v/>
      </c>
      <c r="K1350" s="292" t="n">
        <f aca="false">$K$1284+COUNTIF($Q$1285:Q1350,"&gt;0")</f>
        <v>0</v>
      </c>
      <c r="L1350" s="292" t="str">
        <f aca="false">"Материалы и стеллажи"</f>
        <v>Материалы и стеллажи</v>
      </c>
      <c r="M1350" s="292" t="str">
        <f aca="false">IF(ISBLANK('Материалы и стеллажи'!$A$5),"",'Материалы и стеллажи'!$A$5)</f>
        <v>BOROFONE.BN202 自动晴雨伞21寸 米黄色BN202 automatic umbrella 21 inch</v>
      </c>
      <c r="N1350" s="292" t="str">
        <f aca="false">""</f>
        <v/>
      </c>
      <c r="O1350" s="292" t="str">
        <f aca="false">""</f>
        <v/>
      </c>
      <c r="P1350" s="292" t="str">
        <f aca="false">"ед."</f>
        <v>ед.</v>
      </c>
      <c r="Q1350" s="292" t="n">
        <f aca="false">N('Материалы и стеллажи'!$D$5)</f>
        <v>0</v>
      </c>
      <c r="R1350" s="299" t="n">
        <f aca="false">IF(ISBLANK('Материалы и стеллажи'!$C$5),"",'Материалы и стеллажи'!$C$5)</f>
        <v>244.64</v>
      </c>
      <c r="S1350" s="292" t="str">
        <f aca="false">IF(ISBLANK('Материалы и стеллажи'!$E$5),"",'Материалы и стеллажи'!$E$5)</f>
        <v/>
      </c>
    </row>
    <row r="1351" customFormat="false" ht="66" hidden="false" customHeight="true" outlineLevel="0" collapsed="false">
      <c r="A1351" s="291" t="str">
        <f aca="true">IF(ISNUMBER($J1351),INDIRECT("L"&amp;($J1351+4)),"")</f>
        <v/>
      </c>
      <c r="B1351" s="291" t="str">
        <f aca="true">IF(ISNUMBER($J1351),INDIRECT("M"&amp;($J1351+4)),"")</f>
        <v/>
      </c>
      <c r="C1351" s="296" t="str">
        <f aca="true">IF(ISNUMBER($J1351),INDIRECT("N"&amp;($J1351+4)),"")</f>
        <v/>
      </c>
      <c r="D1351" s="291" t="str">
        <f aca="true">IF(ISNUMBER($J1351),INDIRECT("O"&amp;($J1351+4)),"")</f>
        <v/>
      </c>
      <c r="E1351" s="291" t="str">
        <f aca="true">IF(ISNUMBER($J1351),INDIRECT("P"&amp;($J1351+4)),"")</f>
        <v/>
      </c>
      <c r="F1351" s="300" t="str">
        <f aca="true">IF(ISNUMBER($J1351),INDIRECT("Q"&amp;($J1351+4)),"")</f>
        <v/>
      </c>
      <c r="G1351" s="298" t="str">
        <f aca="true">IF(ISNUMBER($J1351),INDIRECT("R"&amp;($J1351+4)),"")</f>
        <v/>
      </c>
      <c r="H1351" s="298" t="str">
        <f aca="true">IF(ISNUMBER($J1351),INDIRECT("S"&amp;($J1351+4)),"")</f>
        <v/>
      </c>
      <c r="J1351" s="292" t="str">
        <f aca="true">IF(1347&lt;=$K$1,MATCH(1346.5,INDIRECT("$K$4:$K$1374"),1),"")</f>
        <v/>
      </c>
      <c r="K1351" s="292" t="n">
        <f aca="false">$K$1284+COUNTIF($Q$1285:Q1351,"&gt;0")</f>
        <v>0</v>
      </c>
      <c r="L1351" s="292" t="str">
        <f aca="false">"Материалы и стеллажи"</f>
        <v>Материалы и стеллажи</v>
      </c>
      <c r="M1351" s="292" t="str">
        <f aca="false">IF(ISBLANK('Материалы и стеллажи'!$A$6),"",'Материалы и стеллажи'!$A$6)</f>
        <v>BN201 无纺布购物袋 白色(40*30*10CM)BN201 Non woven shopping bag white(40*30*10CM)</v>
      </c>
      <c r="N1351" s="292" t="str">
        <f aca="false">""</f>
        <v/>
      </c>
      <c r="O1351" s="292" t="str">
        <f aca="false">""</f>
        <v/>
      </c>
      <c r="P1351" s="292" t="str">
        <f aca="false">"ед."</f>
        <v>ед.</v>
      </c>
      <c r="Q1351" s="292" t="n">
        <f aca="false">N('Материалы и стеллажи'!$D$6)</f>
        <v>0</v>
      </c>
      <c r="R1351" s="299" t="n">
        <f aca="false">IF(ISBLANK('Материалы и стеллажи'!$C$6),"",'Материалы и стеллажи'!$C$6)</f>
        <v>12.88</v>
      </c>
      <c r="S1351" s="292" t="str">
        <f aca="false">IF(ISBLANK('Материалы и стеллажи'!$E$6),"",'Материалы и стеллажи'!$E$6)</f>
        <v/>
      </c>
    </row>
    <row r="1352" customFormat="false" ht="66" hidden="false" customHeight="true" outlineLevel="0" collapsed="false">
      <c r="A1352" s="291" t="str">
        <f aca="true">IF(ISNUMBER($J1352),INDIRECT("L"&amp;($J1352+4)),"")</f>
        <v/>
      </c>
      <c r="B1352" s="291" t="str">
        <f aca="true">IF(ISNUMBER($J1352),INDIRECT("M"&amp;($J1352+4)),"")</f>
        <v/>
      </c>
      <c r="C1352" s="296" t="str">
        <f aca="true">IF(ISNUMBER($J1352),INDIRECT("N"&amp;($J1352+4)),"")</f>
        <v/>
      </c>
      <c r="D1352" s="291" t="str">
        <f aca="true">IF(ISNUMBER($J1352),INDIRECT("O"&amp;($J1352+4)),"")</f>
        <v/>
      </c>
      <c r="E1352" s="291" t="str">
        <f aca="true">IF(ISNUMBER($J1352),INDIRECT("P"&amp;($J1352+4)),"")</f>
        <v/>
      </c>
      <c r="F1352" s="300" t="str">
        <f aca="true">IF(ISNUMBER($J1352),INDIRECT("Q"&amp;($J1352+4)),"")</f>
        <v/>
      </c>
      <c r="G1352" s="298" t="str">
        <f aca="true">IF(ISNUMBER($J1352),INDIRECT("R"&amp;($J1352+4)),"")</f>
        <v/>
      </c>
      <c r="H1352" s="298" t="str">
        <f aca="true">IF(ISNUMBER($J1352),INDIRECT("S"&amp;($J1352+4)),"")</f>
        <v/>
      </c>
      <c r="J1352" s="292" t="str">
        <f aca="true">IF(1348&lt;=$K$1,MATCH(1347.5,INDIRECT("$K$4:$K$1374"),1),"")</f>
        <v/>
      </c>
      <c r="K1352" s="292" t="n">
        <f aca="false">$K$1284+COUNTIF($Q$1285:Q1352,"&gt;0")</f>
        <v>0</v>
      </c>
      <c r="L1352" s="292" t="str">
        <f aca="false">"Материалы и стеллажи"</f>
        <v>Материалы и стеллажи</v>
      </c>
      <c r="M1352" s="292" t="str">
        <f aca="false">IF(ISBLANK('Материалы и стеллажи'!$A$7),"",'Материалы и стеллажи'!$A$7)</f>
        <v>BOROFONE.定制咖啡杯 白色(280ml)BOROFONE.Customized cafee cup(280ml)</v>
      </c>
      <c r="N1352" s="292" t="str">
        <f aca="false">""</f>
        <v/>
      </c>
      <c r="O1352" s="292" t="str">
        <f aca="false">""</f>
        <v/>
      </c>
      <c r="P1352" s="292" t="str">
        <f aca="false">"ед."</f>
        <v>ед.</v>
      </c>
      <c r="Q1352" s="292" t="n">
        <f aca="false">N('Материалы и стеллажи'!$D$7)</f>
        <v>0</v>
      </c>
      <c r="R1352" s="299" t="n">
        <f aca="false">IF(ISBLANK('Материалы и стеллажи'!$C$7),"",'Материалы и стеллажи'!$C$7)</f>
        <v>350.65</v>
      </c>
      <c r="S1352" s="292" t="str">
        <f aca="false">IF(ISBLANK('Материалы и стеллажи'!$E$7),"",'Материалы и стеллажи'!$E$7)</f>
        <v/>
      </c>
    </row>
    <row r="1353" customFormat="false" ht="66" hidden="false" customHeight="true" outlineLevel="0" collapsed="false">
      <c r="A1353" s="291" t="str">
        <f aca="true">IF(ISNUMBER($J1353),INDIRECT("L"&amp;($J1353+4)),"")</f>
        <v/>
      </c>
      <c r="B1353" s="291" t="str">
        <f aca="true">IF(ISNUMBER($J1353),INDIRECT("M"&amp;($J1353+4)),"")</f>
        <v/>
      </c>
      <c r="C1353" s="296" t="str">
        <f aca="true">IF(ISNUMBER($J1353),INDIRECT("N"&amp;($J1353+4)),"")</f>
        <v/>
      </c>
      <c r="D1353" s="291" t="str">
        <f aca="true">IF(ISNUMBER($J1353),INDIRECT("O"&amp;($J1353+4)),"")</f>
        <v/>
      </c>
      <c r="E1353" s="291" t="str">
        <f aca="true">IF(ISNUMBER($J1353),INDIRECT("P"&amp;($J1353+4)),"")</f>
        <v/>
      </c>
      <c r="F1353" s="300" t="str">
        <f aca="true">IF(ISNUMBER($J1353),INDIRECT("Q"&amp;($J1353+4)),"")</f>
        <v/>
      </c>
      <c r="G1353" s="298" t="str">
        <f aca="true">IF(ISNUMBER($J1353),INDIRECT("R"&amp;($J1353+4)),"")</f>
        <v/>
      </c>
      <c r="H1353" s="298" t="str">
        <f aca="true">IF(ISNUMBER($J1353),INDIRECT("S"&amp;($J1353+4)),"")</f>
        <v/>
      </c>
      <c r="J1353" s="292" t="str">
        <f aca="true">IF(1349&lt;=$K$1,MATCH(1348.5,INDIRECT("$K$4:$K$1374"),1),"")</f>
        <v/>
      </c>
      <c r="K1353" s="292" t="n">
        <f aca="false">$K$1284+COUNTIF($Q$1285:Q1353,"&gt;0")</f>
        <v>0</v>
      </c>
      <c r="L1353" s="292" t="str">
        <f aca="false">"Материалы и стеллажи"</f>
        <v>Материалы и стеллажи</v>
      </c>
      <c r="M1353" s="292" t="str">
        <f aca="false">IF(ISBLANK('Материалы и стеллажи'!$A$8),"",'Материалы и стеллажи'!$A$8)</f>
        <v>BN10 汽车遮阳挡BN10 Car sunshade</v>
      </c>
      <c r="N1353" s="292" t="str">
        <f aca="false">""</f>
        <v/>
      </c>
      <c r="O1353" s="292" t="str">
        <f aca="false">""</f>
        <v/>
      </c>
      <c r="P1353" s="292" t="str">
        <f aca="false">"ед."</f>
        <v>ед.</v>
      </c>
      <c r="Q1353" s="292" t="n">
        <f aca="false">N('Материалы и стеллажи'!$D$8)</f>
        <v>0</v>
      </c>
      <c r="R1353" s="299" t="n">
        <f aca="false">IF(ISBLANK('Материалы и стеллажи'!$C$8),"",'Материалы и стеллажи'!$C$8)</f>
        <v>120.69</v>
      </c>
      <c r="S1353" s="292" t="str">
        <f aca="false">IF(ISBLANK('Материалы и стеллажи'!$E$8),"",'Материалы и стеллажи'!$E$8)</f>
        <v/>
      </c>
    </row>
    <row r="1354" customFormat="false" ht="66" hidden="false" customHeight="true" outlineLevel="0" collapsed="false">
      <c r="A1354" s="291" t="str">
        <f aca="true">IF(ISNUMBER($J1354),INDIRECT("L"&amp;($J1354+4)),"")</f>
        <v/>
      </c>
      <c r="B1354" s="291" t="str">
        <f aca="true">IF(ISNUMBER($J1354),INDIRECT("M"&amp;($J1354+4)),"")</f>
        <v/>
      </c>
      <c r="C1354" s="296" t="str">
        <f aca="true">IF(ISNUMBER($J1354),INDIRECT("N"&amp;($J1354+4)),"")</f>
        <v/>
      </c>
      <c r="D1354" s="291" t="str">
        <f aca="true">IF(ISNUMBER($J1354),INDIRECT("O"&amp;($J1354+4)),"")</f>
        <v/>
      </c>
      <c r="E1354" s="291" t="str">
        <f aca="true">IF(ISNUMBER($J1354),INDIRECT("P"&amp;($J1354+4)),"")</f>
        <v/>
      </c>
      <c r="F1354" s="300" t="str">
        <f aca="true">IF(ISNUMBER($J1354),INDIRECT("Q"&amp;($J1354+4)),"")</f>
        <v/>
      </c>
      <c r="G1354" s="298" t="str">
        <f aca="true">IF(ISNUMBER($J1354),INDIRECT("R"&amp;($J1354+4)),"")</f>
        <v/>
      </c>
      <c r="H1354" s="298" t="str">
        <f aca="true">IF(ISNUMBER($J1354),INDIRECT("S"&amp;($J1354+4)),"")</f>
        <v/>
      </c>
      <c r="J1354" s="292" t="str">
        <f aca="true">IF(1350&lt;=$K$1,MATCH(1349.5,INDIRECT("$K$4:$K$1374"),1),"")</f>
        <v/>
      </c>
      <c r="K1354" s="292" t="n">
        <f aca="false">$K$1284+COUNTIF($Q$1285:Q1354,"&gt;0")</f>
        <v>0</v>
      </c>
      <c r="L1354" s="292" t="str">
        <f aca="false">"Материалы и стеллажи"</f>
        <v>Материалы и стеллажи</v>
      </c>
      <c r="M1354" s="292" t="str">
        <f aca="false">IF(ISBLANK('Материалы и стеллажи'!$A$9),"",'Материалы и стеллажи'!$A$9)</f>
        <v>BOROFONE.BN09 展示挂板(5шт)BN09 Display stand(5шт)</v>
      </c>
      <c r="N1354" s="292" t="str">
        <f aca="false">""</f>
        <v/>
      </c>
      <c r="O1354" s="292" t="str">
        <f aca="false">""</f>
        <v/>
      </c>
      <c r="P1354" s="292" t="str">
        <f aca="false">"ед."</f>
        <v>ед.</v>
      </c>
      <c r="Q1354" s="292" t="n">
        <f aca="false">N('Материалы и стеллажи'!$D$9)</f>
        <v>0</v>
      </c>
      <c r="R1354" s="299" t="n">
        <f aca="false">IF(ISBLANK('Материалы и стеллажи'!$C$9),"",'Материалы и стеллажи'!$C$9)</f>
        <v>2527.96</v>
      </c>
      <c r="S1354" s="292" t="str">
        <f aca="false">IF(ISBLANK('Материалы и стеллажи'!$E$9),"",'Материалы и стеллажи'!$E$9)</f>
        <v/>
      </c>
    </row>
    <row r="1355" customFormat="false" ht="66" hidden="false" customHeight="true" outlineLevel="0" collapsed="false">
      <c r="A1355" s="291" t="str">
        <f aca="true">IF(ISNUMBER($J1355),INDIRECT("L"&amp;($J1355+4)),"")</f>
        <v/>
      </c>
      <c r="B1355" s="291" t="str">
        <f aca="true">IF(ISNUMBER($J1355),INDIRECT("M"&amp;($J1355+4)),"")</f>
        <v/>
      </c>
      <c r="C1355" s="296" t="str">
        <f aca="true">IF(ISNUMBER($J1355),INDIRECT("N"&amp;($J1355+4)),"")</f>
        <v/>
      </c>
      <c r="D1355" s="291" t="str">
        <f aca="true">IF(ISNUMBER($J1355),INDIRECT("O"&amp;($J1355+4)),"")</f>
        <v/>
      </c>
      <c r="E1355" s="291" t="str">
        <f aca="true">IF(ISNUMBER($J1355),INDIRECT("P"&amp;($J1355+4)),"")</f>
        <v/>
      </c>
      <c r="F1355" s="300" t="str">
        <f aca="true">IF(ISNUMBER($J1355),INDIRECT("Q"&amp;($J1355+4)),"")</f>
        <v/>
      </c>
      <c r="G1355" s="298" t="str">
        <f aca="true">IF(ISNUMBER($J1355),INDIRECT("R"&amp;($J1355+4)),"")</f>
        <v/>
      </c>
      <c r="H1355" s="298" t="str">
        <f aca="true">IF(ISNUMBER($J1355),INDIRECT("S"&amp;($J1355+4)),"")</f>
        <v/>
      </c>
      <c r="J1355" s="292" t="str">
        <f aca="true">IF(1351&lt;=$K$1,MATCH(1350.5,INDIRECT("$K$4:$K$1374"),1),"")</f>
        <v/>
      </c>
      <c r="K1355" s="292" t="n">
        <f aca="false">$K$1284+COUNTIF($Q$1285:Q1355,"&gt;0")</f>
        <v>0</v>
      </c>
      <c r="L1355" s="292" t="str">
        <f aca="false">"Материалы и стеллажи"</f>
        <v>Материалы и стеллажи</v>
      </c>
      <c r="M1355" s="292" t="str">
        <f aca="false">IF(ISBLANK('Материалы и стеллажи'!$A$10),"",'Материалы и стеллажи'!$A$10)</f>
        <v>BOROFONE.BN08 刀型旗5шт) BN08 sail shaped flag (5шт)</v>
      </c>
      <c r="N1355" s="292" t="str">
        <f aca="false">""</f>
        <v/>
      </c>
      <c r="O1355" s="292" t="str">
        <f aca="false">""</f>
        <v/>
      </c>
      <c r="P1355" s="292" t="str">
        <f aca="false">"ед."</f>
        <v>ед.</v>
      </c>
      <c r="Q1355" s="292" t="n">
        <f aca="false">N('Материалы и стеллажи'!$D$10)</f>
        <v>0</v>
      </c>
      <c r="R1355" s="299" t="n">
        <f aca="false">IF(ISBLANK('Материалы и стеллажи'!$C$10),"",'Материалы и стеллажи'!$C$10)</f>
        <v>6213.89</v>
      </c>
      <c r="S1355" s="292" t="str">
        <f aca="false">IF(ISBLANK('Материалы и стеллажи'!$E$10),"",'Материалы и стеллажи'!$E$10)</f>
        <v/>
      </c>
    </row>
    <row r="1356" customFormat="false" ht="66" hidden="false" customHeight="true" outlineLevel="0" collapsed="false">
      <c r="A1356" s="291" t="str">
        <f aca="true">IF(ISNUMBER($J1356),INDIRECT("L"&amp;($J1356+4)),"")</f>
        <v/>
      </c>
      <c r="B1356" s="291" t="str">
        <f aca="true">IF(ISNUMBER($J1356),INDIRECT("M"&amp;($J1356+4)),"")</f>
        <v/>
      </c>
      <c r="C1356" s="296" t="str">
        <f aca="true">IF(ISNUMBER($J1356),INDIRECT("N"&amp;($J1356+4)),"")</f>
        <v/>
      </c>
      <c r="D1356" s="291" t="str">
        <f aca="true">IF(ISNUMBER($J1356),INDIRECT("O"&amp;($J1356+4)),"")</f>
        <v/>
      </c>
      <c r="E1356" s="291" t="str">
        <f aca="true">IF(ISNUMBER($J1356),INDIRECT("P"&amp;($J1356+4)),"")</f>
        <v/>
      </c>
      <c r="F1356" s="300" t="str">
        <f aca="true">IF(ISNUMBER($J1356),INDIRECT("Q"&amp;($J1356+4)),"")</f>
        <v/>
      </c>
      <c r="G1356" s="298" t="str">
        <f aca="true">IF(ISNUMBER($J1356),INDIRECT("R"&amp;($J1356+4)),"")</f>
        <v/>
      </c>
      <c r="H1356" s="298" t="str">
        <f aca="true">IF(ISNUMBER($J1356),INDIRECT("S"&amp;($J1356+4)),"")</f>
        <v/>
      </c>
      <c r="J1356" s="292" t="str">
        <f aca="true">IF(1352&lt;=$K$1,MATCH(1351.5,INDIRECT("$K$4:$K$1374"),1),"")</f>
        <v/>
      </c>
      <c r="K1356" s="292" t="n">
        <f aca="false">$K$1284+COUNTIF($Q$1285:Q1356,"&gt;0")</f>
        <v>0</v>
      </c>
      <c r="L1356" s="292" t="str">
        <f aca="false">"Материалы и стеллажи"</f>
        <v>Материалы и стеллажи</v>
      </c>
      <c r="M1356" s="292" t="str">
        <f aca="false">IF(ISBLANK('Материалы и стеллажи'!$A$11),"",'Материалы и стеллажи'!$A$11)</f>
        <v>BOROFONE.BN06落地PVC挂钩展示架(5шт)BN06 Region PVC hook display stand(5шт)</v>
      </c>
      <c r="N1356" s="292" t="str">
        <f aca="false">""</f>
        <v/>
      </c>
      <c r="O1356" s="292" t="str">
        <f aca="false">""</f>
        <v/>
      </c>
      <c r="P1356" s="292" t="str">
        <f aca="false">"ед."</f>
        <v>ед.</v>
      </c>
      <c r="Q1356" s="292" t="n">
        <f aca="false">N('Материалы и стеллажи'!$D$11)</f>
        <v>0</v>
      </c>
      <c r="R1356" s="299" t="n">
        <f aca="false">IF(ISBLANK('Материалы и стеллажи'!$C$11),"",'Материалы и стеллажи'!$C$11)</f>
        <v>16635.6</v>
      </c>
      <c r="S1356" s="292" t="str">
        <f aca="false">IF(ISBLANK('Материалы и стеллажи'!$E$11),"",'Материалы и стеллажи'!$E$11)</f>
        <v/>
      </c>
    </row>
    <row r="1357" customFormat="false" ht="66" hidden="false" customHeight="true" outlineLevel="0" collapsed="false">
      <c r="A1357" s="291" t="str">
        <f aca="true">IF(ISNUMBER($J1357),INDIRECT("L"&amp;($J1357+4)),"")</f>
        <v/>
      </c>
      <c r="B1357" s="291" t="str">
        <f aca="true">IF(ISNUMBER($J1357),INDIRECT("M"&amp;($J1357+4)),"")</f>
        <v/>
      </c>
      <c r="C1357" s="296" t="str">
        <f aca="true">IF(ISNUMBER($J1357),INDIRECT("N"&amp;($J1357+4)),"")</f>
        <v/>
      </c>
      <c r="D1357" s="291" t="str">
        <f aca="true">IF(ISNUMBER($J1357),INDIRECT("O"&amp;($J1357+4)),"")</f>
        <v/>
      </c>
      <c r="E1357" s="291" t="str">
        <f aca="true">IF(ISNUMBER($J1357),INDIRECT("P"&amp;($J1357+4)),"")</f>
        <v/>
      </c>
      <c r="F1357" s="300" t="str">
        <f aca="true">IF(ISNUMBER($J1357),INDIRECT("Q"&amp;($J1357+4)),"")</f>
        <v/>
      </c>
      <c r="G1357" s="298" t="str">
        <f aca="true">IF(ISNUMBER($J1357),INDIRECT("R"&amp;($J1357+4)),"")</f>
        <v/>
      </c>
      <c r="H1357" s="298" t="str">
        <f aca="true">IF(ISNUMBER($J1357),INDIRECT("S"&amp;($J1357+4)),"")</f>
        <v/>
      </c>
      <c r="J1357" s="292" t="str">
        <f aca="true">IF(1353&lt;=$K$1,MATCH(1352.5,INDIRECT("$K$4:$K$1374"),1),"")</f>
        <v/>
      </c>
      <c r="K1357" s="292" t="n">
        <f aca="false">$K$1284+COUNTIF($Q$1285:Q1357,"&gt;0")</f>
        <v>0</v>
      </c>
      <c r="L1357" s="292" t="str">
        <f aca="false">"Материалы и стеллажи"</f>
        <v>Материалы и стеллажи</v>
      </c>
      <c r="M1357" s="292" t="str">
        <f aca="false">IF(ISBLANK('Материалы и стеллажи'!$A$12),"",'Материалы и стеллажи'!$A$12)</f>
        <v>BN05 Smart watch display stand（智能手表展示托架）</v>
      </c>
      <c r="N1357" s="292" t="str">
        <f aca="false">""</f>
        <v/>
      </c>
      <c r="O1357" s="292" t="str">
        <f aca="false">""</f>
        <v/>
      </c>
      <c r="P1357" s="292" t="str">
        <f aca="false">"ед."</f>
        <v>ед.</v>
      </c>
      <c r="Q1357" s="292" t="n">
        <f aca="false">N('Материалы и стеллажи'!$D$12)</f>
        <v>0</v>
      </c>
      <c r="R1357" s="299" t="n">
        <f aca="false">IF(ISBLANK('Материалы и стеллажи'!$C$12),"",'Материалы и стеллажи'!$C$12)</f>
        <v>195.71</v>
      </c>
      <c r="S1357" s="292" t="str">
        <f aca="false">IF(ISBLANK('Материалы и стеллажи'!$E$12),"",'Материалы и стеллажи'!$E$12)</f>
        <v/>
      </c>
    </row>
    <row r="1358" customFormat="false" ht="66" hidden="false" customHeight="true" outlineLevel="0" collapsed="false">
      <c r="A1358" s="291" t="str">
        <f aca="true">IF(ISNUMBER($J1358),INDIRECT("L"&amp;($J1358+4)),"")</f>
        <v/>
      </c>
      <c r="B1358" s="291" t="str">
        <f aca="true">IF(ISNUMBER($J1358),INDIRECT("M"&amp;($J1358+4)),"")</f>
        <v/>
      </c>
      <c r="C1358" s="296" t="str">
        <f aca="true">IF(ISNUMBER($J1358),INDIRECT("N"&amp;($J1358+4)),"")</f>
        <v/>
      </c>
      <c r="D1358" s="291" t="str">
        <f aca="true">IF(ISNUMBER($J1358),INDIRECT("O"&amp;($J1358+4)),"")</f>
        <v/>
      </c>
      <c r="E1358" s="291" t="str">
        <f aca="true">IF(ISNUMBER($J1358),INDIRECT("P"&amp;($J1358+4)),"")</f>
        <v/>
      </c>
      <c r="F1358" s="300" t="str">
        <f aca="true">IF(ISNUMBER($J1358),INDIRECT("Q"&amp;($J1358+4)),"")</f>
        <v/>
      </c>
      <c r="G1358" s="298" t="str">
        <f aca="true">IF(ISNUMBER($J1358),INDIRECT("R"&amp;($J1358+4)),"")</f>
        <v/>
      </c>
      <c r="H1358" s="298" t="str">
        <f aca="true">IF(ISNUMBER($J1358),INDIRECT("S"&amp;($J1358+4)),"")</f>
        <v/>
      </c>
      <c r="J1358" s="292" t="str">
        <f aca="true">IF(1354&lt;=$K$1,MATCH(1353.5,INDIRECT("$K$4:$K$1374"),1),"")</f>
        <v/>
      </c>
      <c r="K1358" s="292" t="n">
        <f aca="false">$K$1284+COUNTIF($Q$1285:Q1358,"&gt;0")</f>
        <v>0</v>
      </c>
      <c r="L1358" s="292" t="str">
        <f aca="false">"Материалы и стеллажи"</f>
        <v>Материалы и стеллажи</v>
      </c>
      <c r="M1358" s="292" t="str">
        <f aca="false">IF(ISBLANK('Материалы и стеллажи'!$A$13),"",'Материалы и стеллажи'!$A$13)</f>
        <v>HN34 金属车载支架展示架HN34 metal car holder display stand</v>
      </c>
      <c r="N1358" s="292" t="str">
        <f aca="false">""</f>
        <v/>
      </c>
      <c r="O1358" s="292" t="str">
        <f aca="false">""</f>
        <v/>
      </c>
      <c r="P1358" s="292" t="str">
        <f aca="false">"ед."</f>
        <v>ед.</v>
      </c>
      <c r="Q1358" s="292" t="n">
        <f aca="false">N('Материалы и стеллажи'!$D$13)</f>
        <v>0</v>
      </c>
      <c r="R1358" s="299" t="n">
        <f aca="false">IF(ISBLANK('Материалы и стеллажи'!$C$13),"",'Материалы и стеллажи'!$C$13)</f>
        <v>371.85</v>
      </c>
      <c r="S1358" s="292" t="str">
        <f aca="false">IF(ISBLANK('Материалы и стеллажи'!$E$13),"",'Материалы и стеллажи'!$E$13)</f>
        <v/>
      </c>
    </row>
    <row r="1359" customFormat="false" ht="66" hidden="false" customHeight="true" outlineLevel="0" collapsed="false">
      <c r="A1359" s="291" t="str">
        <f aca="true">IF(ISNUMBER($J1359),INDIRECT("L"&amp;($J1359+4)),"")</f>
        <v/>
      </c>
      <c r="B1359" s="291" t="str">
        <f aca="true">IF(ISNUMBER($J1359),INDIRECT("M"&amp;($J1359+4)),"")</f>
        <v/>
      </c>
      <c r="C1359" s="296" t="str">
        <f aca="true">IF(ISNUMBER($J1359),INDIRECT("N"&amp;($J1359+4)),"")</f>
        <v/>
      </c>
      <c r="D1359" s="291" t="str">
        <f aca="true">IF(ISNUMBER($J1359),INDIRECT("O"&amp;($J1359+4)),"")</f>
        <v/>
      </c>
      <c r="E1359" s="291" t="str">
        <f aca="true">IF(ISNUMBER($J1359),INDIRECT("P"&amp;($J1359+4)),"")</f>
        <v/>
      </c>
      <c r="F1359" s="300" t="str">
        <f aca="true">IF(ISNUMBER($J1359),INDIRECT("Q"&amp;($J1359+4)),"")</f>
        <v/>
      </c>
      <c r="G1359" s="298" t="str">
        <f aca="true">IF(ISNUMBER($J1359),INDIRECT("R"&amp;($J1359+4)),"")</f>
        <v/>
      </c>
      <c r="H1359" s="298" t="str">
        <f aca="true">IF(ISNUMBER($J1359),INDIRECT("S"&amp;($J1359+4)),"")</f>
        <v/>
      </c>
      <c r="J1359" s="292" t="str">
        <f aca="true">IF(1355&lt;=$K$1,MATCH(1354.5,INDIRECT("$K$4:$K$1374"),1),"")</f>
        <v/>
      </c>
      <c r="K1359" s="292" t="n">
        <f aca="false">$K$1284+COUNTIF($Q$1285:Q1359,"&gt;0")</f>
        <v>0</v>
      </c>
      <c r="L1359" s="292" t="str">
        <f aca="false">"Материалы и стеллажи"</f>
        <v>Материалы и стеллажи</v>
      </c>
      <c r="M1359" s="292" t="str">
        <f aca="false">IF(ISBLANK('Материалы и стеллажи'!$A$14),"",'Материалы и стеллажи'!$A$14)</f>
        <v>HN19 智能手表展示架(2шт)HN19 Smart watch display stand(2шт)</v>
      </c>
      <c r="N1359" s="292" t="str">
        <f aca="false">""</f>
        <v/>
      </c>
      <c r="O1359" s="292" t="str">
        <f aca="false">""</f>
        <v/>
      </c>
      <c r="P1359" s="292" t="str">
        <f aca="false">"ед."</f>
        <v>ед.</v>
      </c>
      <c r="Q1359" s="292" t="n">
        <f aca="false">N('Материалы и стеллажи'!$D$14)</f>
        <v>0</v>
      </c>
      <c r="R1359" s="299" t="n">
        <f aca="false">IF(ISBLANK('Материалы и стеллажи'!$C$14),"",'Материалы и стеллажи'!$C$14)</f>
        <v>1043.8</v>
      </c>
      <c r="S1359" s="292" t="str">
        <f aca="false">IF(ISBLANK('Материалы и стеллажи'!$E$14),"",'Материалы и стеллажи'!$E$14)</f>
        <v/>
      </c>
    </row>
    <row r="1360" customFormat="false" ht="66" hidden="false" customHeight="true" outlineLevel="0" collapsed="false">
      <c r="A1360" s="291" t="str">
        <f aca="true">IF(ISNUMBER($J1360),INDIRECT("L"&amp;($J1360+4)),"")</f>
        <v/>
      </c>
      <c r="B1360" s="291" t="str">
        <f aca="true">IF(ISNUMBER($J1360),INDIRECT("M"&amp;($J1360+4)),"")</f>
        <v/>
      </c>
      <c r="C1360" s="296" t="str">
        <f aca="true">IF(ISNUMBER($J1360),INDIRECT("N"&amp;($J1360+4)),"")</f>
        <v/>
      </c>
      <c r="D1360" s="291" t="str">
        <f aca="true">IF(ISNUMBER($J1360),INDIRECT("O"&amp;($J1360+4)),"")</f>
        <v/>
      </c>
      <c r="E1360" s="291" t="str">
        <f aca="true">IF(ISNUMBER($J1360),INDIRECT("P"&amp;($J1360+4)),"")</f>
        <v/>
      </c>
      <c r="F1360" s="300" t="str">
        <f aca="true">IF(ISNUMBER($J1360),INDIRECT("Q"&amp;($J1360+4)),"")</f>
        <v/>
      </c>
      <c r="G1360" s="298" t="str">
        <f aca="true">IF(ISNUMBER($J1360),INDIRECT("R"&amp;($J1360+4)),"")</f>
        <v/>
      </c>
      <c r="H1360" s="298" t="str">
        <f aca="true">IF(ISNUMBER($J1360),INDIRECT("S"&amp;($J1360+4)),"")</f>
        <v/>
      </c>
      <c r="J1360" s="292" t="str">
        <f aca="true">IF(1356&lt;=$K$1,MATCH(1355.5,INDIRECT("$K$4:$K$1374"),1),"")</f>
        <v/>
      </c>
      <c r="K1360" s="292" t="n">
        <f aca="false">$K$1284+COUNTIF($Q$1285:Q1360,"&gt;0")</f>
        <v>0</v>
      </c>
      <c r="L1360" s="292" t="str">
        <f aca="false">"Материалы и стеллажи"</f>
        <v>Материалы и стеллажи</v>
      </c>
      <c r="M1360" s="292" t="str">
        <f aca="false">IF(ISBLANK('Материалы и стеллажи'!$A$15),"",'Материалы и стеллажи'!$A$15)</f>
        <v>HOCO версия 8.0 (передняя сторона) &amp; BOROFONE версия 6.0 (задняя сторона) цветные коробки (560X245X310)</v>
      </c>
      <c r="N1360" s="292" t="str">
        <f aca="false">""</f>
        <v/>
      </c>
      <c r="O1360" s="292" t="str">
        <f aca="false">""</f>
        <v/>
      </c>
      <c r="P1360" s="292" t="str">
        <f aca="false">"ед."</f>
        <v>ед.</v>
      </c>
      <c r="Q1360" s="292" t="n">
        <f aca="false">N('Материалы и стеллажи'!$D$15)</f>
        <v>0</v>
      </c>
      <c r="R1360" s="299" t="n">
        <f aca="false">IF(ISBLANK('Материалы и стеллажи'!$C$15),"",'Материалы и стеллажи'!$C$15)</f>
        <v>326.19</v>
      </c>
      <c r="S1360" s="292" t="str">
        <f aca="false">IF(ISBLANK('Материалы и стеллажи'!$E$15),"",'Материалы и стеллажи'!$E$15)</f>
        <v/>
      </c>
    </row>
    <row r="1361" customFormat="false" ht="66" hidden="false" customHeight="true" outlineLevel="0" collapsed="false">
      <c r="A1361" s="291" t="str">
        <f aca="true">IF(ISNUMBER($J1361),INDIRECT("L"&amp;($J1361+4)),"")</f>
        <v/>
      </c>
      <c r="B1361" s="291" t="str">
        <f aca="true">IF(ISNUMBER($J1361),INDIRECT("M"&amp;($J1361+4)),"")</f>
        <v/>
      </c>
      <c r="C1361" s="296" t="str">
        <f aca="true">IF(ISNUMBER($J1361),INDIRECT("N"&amp;($J1361+4)),"")</f>
        <v/>
      </c>
      <c r="D1361" s="291" t="str">
        <f aca="true">IF(ISNUMBER($J1361),INDIRECT("O"&amp;($J1361+4)),"")</f>
        <v/>
      </c>
      <c r="E1361" s="291" t="str">
        <f aca="true">IF(ISNUMBER($J1361),INDIRECT("P"&amp;($J1361+4)),"")</f>
        <v/>
      </c>
      <c r="F1361" s="300" t="str">
        <f aca="true">IF(ISNUMBER($J1361),INDIRECT("Q"&amp;($J1361+4)),"")</f>
        <v/>
      </c>
      <c r="G1361" s="298" t="str">
        <f aca="true">IF(ISNUMBER($J1361),INDIRECT("R"&amp;($J1361+4)),"")</f>
        <v/>
      </c>
      <c r="H1361" s="298" t="str">
        <f aca="true">IF(ISNUMBER($J1361),INDIRECT("S"&amp;($J1361+4)),"")</f>
        <v/>
      </c>
      <c r="J1361" s="292" t="str">
        <f aca="true">IF(1357&lt;=$K$1,MATCH(1356.5,INDIRECT("$K$4:$K$1374"),1),"")</f>
        <v/>
      </c>
      <c r="K1361" s="292" t="n">
        <f aca="false">$K$1284+COUNTIF($Q$1285:Q1361,"&gt;0")</f>
        <v>0</v>
      </c>
      <c r="L1361" s="292" t="str">
        <f aca="false">"Материалы и стеллажи"</f>
        <v>Материалы и стеллажи</v>
      </c>
      <c r="M1361" s="292" t="str">
        <f aca="false">IF(ISBLANK('Материалы и стеллажи'!$A$16),"",'Материалы и стеллажи'!$A$16)</f>
        <v>BOROFONE Wall paper 6.0 versionBOROFONE.墙纸背胶6.0版本（18平方一套）</v>
      </c>
      <c r="N1361" s="292" t="str">
        <f aca="false">""</f>
        <v/>
      </c>
      <c r="O1361" s="292" t="str">
        <f aca="false">""</f>
        <v/>
      </c>
      <c r="P1361" s="292" t="str">
        <f aca="false">"ед."</f>
        <v>ед.</v>
      </c>
      <c r="Q1361" s="292" t="n">
        <f aca="false">N('Материалы и стеллажи'!$D$16)</f>
        <v>0</v>
      </c>
      <c r="R1361" s="299" t="n">
        <f aca="false">IF(ISBLANK('Материалы и стеллажи'!$C$16),"",'Материалы и стеллажи'!$C$16)</f>
        <v>4892.82</v>
      </c>
      <c r="S1361" s="292" t="str">
        <f aca="false">IF(ISBLANK('Материалы и стеллажи'!$E$16),"",'Материалы и стеллажи'!$E$16)</f>
        <v/>
      </c>
    </row>
    <row r="1362" customFormat="false" ht="66" hidden="false" customHeight="true" outlineLevel="0" collapsed="false">
      <c r="A1362" s="291" t="str">
        <f aca="true">IF(ISNUMBER($J1362),INDIRECT("L"&amp;($J1362+4)),"")</f>
        <v/>
      </c>
      <c r="B1362" s="291" t="str">
        <f aca="true">IF(ISNUMBER($J1362),INDIRECT("M"&amp;($J1362+4)),"")</f>
        <v/>
      </c>
      <c r="C1362" s="296" t="str">
        <f aca="true">IF(ISNUMBER($J1362),INDIRECT("N"&amp;($J1362+4)),"")</f>
        <v/>
      </c>
      <c r="D1362" s="291" t="str">
        <f aca="true">IF(ISNUMBER($J1362),INDIRECT("O"&amp;($J1362+4)),"")</f>
        <v/>
      </c>
      <c r="E1362" s="291" t="str">
        <f aca="true">IF(ISNUMBER($J1362),INDIRECT("P"&amp;($J1362+4)),"")</f>
        <v/>
      </c>
      <c r="F1362" s="300" t="str">
        <f aca="true">IF(ISNUMBER($J1362),INDIRECT("Q"&amp;($J1362+4)),"")</f>
        <v/>
      </c>
      <c r="G1362" s="298" t="str">
        <f aca="true">IF(ISNUMBER($J1362),INDIRECT("R"&amp;($J1362+4)),"")</f>
        <v/>
      </c>
      <c r="H1362" s="298" t="str">
        <f aca="true">IF(ISNUMBER($J1362),INDIRECT("S"&amp;($J1362+4)),"")</f>
        <v/>
      </c>
      <c r="J1362" s="292" t="str">
        <f aca="true">IF(1358&lt;=$K$1,MATCH(1357.5,INDIRECT("$K$4:$K$1374"),1),"")</f>
        <v/>
      </c>
      <c r="K1362" s="292" t="n">
        <f aca="false">$K$1284+COUNTIF($Q$1285:Q1362,"&gt;0")</f>
        <v>0</v>
      </c>
      <c r="L1362" s="292" t="str">
        <f aca="false">"Материалы и стеллажи"</f>
        <v>Материалы и стеллажи</v>
      </c>
      <c r="M1362" s="292" t="str">
        <f aca="false">IF(ISBLANK('Материалы и стеллажи'!$A$17),"",'Материалы и стеллажи'!$A$17)</f>
        <v>BOROFONE.2024款形象店圆领T恤 深灰色BOROFONE.2024 Special store round neck T-shirt-</v>
      </c>
      <c r="N1362" s="292" t="str">
        <f aca="false">""</f>
        <v/>
      </c>
      <c r="O1362" s="292" t="str">
        <f aca="false">""</f>
        <v/>
      </c>
      <c r="P1362" s="292" t="str">
        <f aca="false">"ед."</f>
        <v>ед.</v>
      </c>
      <c r="Q1362" s="292" t="n">
        <f aca="false">N('Материалы и стеллажи'!$D$17)</f>
        <v>0</v>
      </c>
      <c r="R1362" s="299" t="n">
        <f aca="false">IF(ISBLANK('Материалы и стеллажи'!$C$17),"",'Материалы и стеллажи'!$C$17)</f>
        <v>815.47</v>
      </c>
      <c r="S1362" s="292" t="str">
        <f aca="false">IF(ISBLANK('Материалы и стеллажи'!$E$17),"",'Материалы и стеллажи'!$E$17)</f>
        <v/>
      </c>
    </row>
    <row r="1363" customFormat="false" ht="66" hidden="false" customHeight="true" outlineLevel="0" collapsed="false">
      <c r="A1363" s="291" t="str">
        <f aca="true">IF(ISNUMBER($J1363),INDIRECT("L"&amp;($J1363+4)),"")</f>
        <v/>
      </c>
      <c r="B1363" s="291" t="str">
        <f aca="true">IF(ISNUMBER($J1363),INDIRECT("M"&amp;($J1363+4)),"")</f>
        <v/>
      </c>
      <c r="C1363" s="296" t="str">
        <f aca="true">IF(ISNUMBER($J1363),INDIRECT("N"&amp;($J1363+4)),"")</f>
        <v/>
      </c>
      <c r="D1363" s="291" t="str">
        <f aca="true">IF(ISNUMBER($J1363),INDIRECT("O"&amp;($J1363+4)),"")</f>
        <v/>
      </c>
      <c r="E1363" s="291" t="str">
        <f aca="true">IF(ISNUMBER($J1363),INDIRECT("P"&amp;($J1363+4)),"")</f>
        <v/>
      </c>
      <c r="F1363" s="300" t="str">
        <f aca="true">IF(ISNUMBER($J1363),INDIRECT("Q"&amp;($J1363+4)),"")</f>
        <v/>
      </c>
      <c r="G1363" s="298" t="str">
        <f aca="true">IF(ISNUMBER($J1363),INDIRECT("R"&amp;($J1363+4)),"")</f>
        <v/>
      </c>
      <c r="H1363" s="298" t="str">
        <f aca="true">IF(ISNUMBER($J1363),INDIRECT("S"&amp;($J1363+4)),"")</f>
        <v/>
      </c>
      <c r="J1363" s="292" t="str">
        <f aca="true">IF(1359&lt;=$K$1,MATCH(1358.5,INDIRECT("$K$4:$K$1374"),1),"")</f>
        <v/>
      </c>
      <c r="K1363" s="292" t="n">
        <f aca="false">$K$1284+COUNTIF($Q$1285:Q1363,"&gt;0")</f>
        <v>0</v>
      </c>
      <c r="L1363" s="292" t="str">
        <f aca="false">"Материалы и стеллажи"</f>
        <v>Материалы и стеллажи</v>
      </c>
      <c r="M1363" s="292" t="str">
        <f aca="false">IF(ISBLANK('Материалы и стеллажи'!$A$18),"",'Материалы и стеллажи'!$A$18)</f>
        <v>BOROFONE shop 2018 футболка (S,M,L,XL,XXL)</v>
      </c>
      <c r="N1363" s="292" t="str">
        <f aca="false">""</f>
        <v/>
      </c>
      <c r="O1363" s="292" t="str">
        <f aca="false">""</f>
        <v/>
      </c>
      <c r="P1363" s="292" t="str">
        <f aca="false">"ед."</f>
        <v>ед.</v>
      </c>
      <c r="Q1363" s="292" t="n">
        <f aca="false">N('Материалы и стеллажи'!$D$18)</f>
        <v>0</v>
      </c>
      <c r="R1363" s="299" t="n">
        <f aca="false">IF(ISBLANK('Материалы и стеллажи'!$C$18),"",'Материалы и стеллажи'!$C$18)</f>
        <v>815.47</v>
      </c>
      <c r="S1363" s="292" t="str">
        <f aca="false">IF(ISBLANK('Материалы и стеллажи'!$E$18),"",'Материалы и стеллажи'!$E$18)</f>
        <v/>
      </c>
    </row>
    <row r="1364" customFormat="false" ht="66" hidden="false" customHeight="true" outlineLevel="0" collapsed="false">
      <c r="A1364" s="291" t="str">
        <f aca="true">IF(ISNUMBER($J1364),INDIRECT("L"&amp;($J1364+4)),"")</f>
        <v/>
      </c>
      <c r="B1364" s="291" t="str">
        <f aca="true">IF(ISNUMBER($J1364),INDIRECT("M"&amp;($J1364+4)),"")</f>
        <v/>
      </c>
      <c r="C1364" s="296" t="str">
        <f aca="true">IF(ISNUMBER($J1364),INDIRECT("N"&amp;($J1364+4)),"")</f>
        <v/>
      </c>
      <c r="D1364" s="291" t="str">
        <f aca="true">IF(ISNUMBER($J1364),INDIRECT("O"&amp;($J1364+4)),"")</f>
        <v/>
      </c>
      <c r="E1364" s="291" t="str">
        <f aca="true">IF(ISNUMBER($J1364),INDIRECT("P"&amp;($J1364+4)),"")</f>
        <v/>
      </c>
      <c r="F1364" s="300" t="str">
        <f aca="true">IF(ISNUMBER($J1364),INDIRECT("Q"&amp;($J1364+4)),"")</f>
        <v/>
      </c>
      <c r="G1364" s="298" t="str">
        <f aca="true">IF(ISNUMBER($J1364),INDIRECT("R"&amp;($J1364+4)),"")</f>
        <v/>
      </c>
      <c r="H1364" s="298" t="str">
        <f aca="true">IF(ISNUMBER($J1364),INDIRECT("S"&amp;($J1364+4)),"")</f>
        <v/>
      </c>
      <c r="J1364" s="292" t="str">
        <f aca="true">IF(1360&lt;=$K$1,MATCH(1359.5,INDIRECT("$K$4:$K$1374"),1),"")</f>
        <v/>
      </c>
      <c r="K1364" s="292" t="n">
        <f aca="false">$K$1284+COUNTIF($Q$1285:Q1364,"&gt;0")</f>
        <v>0</v>
      </c>
      <c r="L1364" s="292" t="str">
        <f aca="false">"Материалы и стеллажи"</f>
        <v>Материалы и стеллажи</v>
      </c>
      <c r="M1364" s="292" t="str">
        <f aca="false">IF(ISBLANK('Материалы и стеллажи'!$A$19),"",'Материалы и стеллажи'!$A$19)</f>
        <v>BOROFONE пакет</v>
      </c>
      <c r="N1364" s="292" t="str">
        <f aca="false">""</f>
        <v/>
      </c>
      <c r="O1364" s="292" t="str">
        <f aca="false">""</f>
        <v/>
      </c>
      <c r="P1364" s="292" t="str">
        <f aca="false">"ед."</f>
        <v>ед.</v>
      </c>
      <c r="Q1364" s="292" t="n">
        <f aca="false">N('Материалы и стеллажи'!$D$19)</f>
        <v>0</v>
      </c>
      <c r="R1364" s="292" t="str">
        <f aca="false">IF(ISBLANK('Материалы и стеллажи'!$C$19),"",'Материалы и стеллажи'!$C$19)</f>
        <v/>
      </c>
      <c r="S1364" s="292" t="str">
        <f aca="false">IF(ISBLANK('Материалы и стеллажи'!$E$19),"",'Материалы и стеллажи'!$E$19)</f>
        <v/>
      </c>
    </row>
    <row r="1365" customFormat="false" ht="66" hidden="false" customHeight="true" outlineLevel="0" collapsed="false">
      <c r="A1365" s="291" t="str">
        <f aca="true">IF(ISNUMBER($J1365),INDIRECT("L"&amp;($J1365+4)),"")</f>
        <v/>
      </c>
      <c r="B1365" s="291" t="str">
        <f aca="true">IF(ISNUMBER($J1365),INDIRECT("M"&amp;($J1365+4)),"")</f>
        <v/>
      </c>
      <c r="C1365" s="296" t="str">
        <f aca="true">IF(ISNUMBER($J1365),INDIRECT("N"&amp;($J1365+4)),"")</f>
        <v/>
      </c>
      <c r="D1365" s="291" t="str">
        <f aca="true">IF(ISNUMBER($J1365),INDIRECT("O"&amp;($J1365+4)),"")</f>
        <v/>
      </c>
      <c r="E1365" s="291" t="str">
        <f aca="true">IF(ISNUMBER($J1365),INDIRECT("P"&amp;($J1365+4)),"")</f>
        <v/>
      </c>
      <c r="F1365" s="300" t="str">
        <f aca="true">IF(ISNUMBER($J1365),INDIRECT("Q"&amp;($J1365+4)),"")</f>
        <v/>
      </c>
      <c r="G1365" s="298" t="str">
        <f aca="true">IF(ISNUMBER($J1365),INDIRECT("R"&amp;($J1365+4)),"")</f>
        <v/>
      </c>
      <c r="H1365" s="298" t="str">
        <f aca="true">IF(ISNUMBER($J1365),INDIRECT("S"&amp;($J1365+4)),"")</f>
        <v/>
      </c>
      <c r="J1365" s="292" t="str">
        <f aca="true">IF(1361&lt;=$K$1,MATCH(1360.5,INDIRECT("$K$4:$K$1374"),1),"")</f>
        <v/>
      </c>
      <c r="K1365" s="292" t="n">
        <f aca="false">$K$1284+COUNTIF($Q$1285:Q1365,"&gt;0")</f>
        <v>0</v>
      </c>
      <c r="L1365" s="292" t="str">
        <f aca="false">"Материалы и стеллажи"</f>
        <v>Материалы и стеллажи</v>
      </c>
      <c r="M1365" s="292" t="str">
        <f aca="false">IF(ISBLANK('Материалы и стеллажи'!$A$20),"",'Материалы и стеллажи'!$A$20)</f>
        <v>BOROFONE roller pen08489</v>
      </c>
      <c r="N1365" s="292" t="str">
        <f aca="false">""</f>
        <v/>
      </c>
      <c r="O1365" s="292" t="str">
        <f aca="false">""</f>
        <v/>
      </c>
      <c r="P1365" s="292" t="str">
        <f aca="false">"ед."</f>
        <v>ед.</v>
      </c>
      <c r="Q1365" s="292" t="n">
        <f aca="false">N('Материалы и стеллажи'!$D$20)</f>
        <v>0</v>
      </c>
      <c r="R1365" s="299" t="n">
        <f aca="false">IF(ISBLANK('Материалы и стеллажи'!$C$20),"",'Материалы и стеллажи'!$C$20)</f>
        <v>16.31</v>
      </c>
      <c r="S1365" s="292" t="str">
        <f aca="false">IF(ISBLANK('Материалы и стеллажи'!$E$20),"",'Материалы и стеллажи'!$E$20)</f>
        <v/>
      </c>
    </row>
    <row r="1366" customFormat="false" ht="66" hidden="false" customHeight="true" outlineLevel="0" collapsed="false">
      <c r="A1366" s="291" t="str">
        <f aca="true">IF(ISNUMBER($J1366),INDIRECT("L"&amp;($J1366+4)),"")</f>
        <v/>
      </c>
      <c r="B1366" s="291" t="str">
        <f aca="true">IF(ISNUMBER($J1366),INDIRECT("M"&amp;($J1366+4)),"")</f>
        <v/>
      </c>
      <c r="C1366" s="296" t="str">
        <f aca="true">IF(ISNUMBER($J1366),INDIRECT("N"&amp;($J1366+4)),"")</f>
        <v/>
      </c>
      <c r="D1366" s="291" t="str">
        <f aca="true">IF(ISNUMBER($J1366),INDIRECT("O"&amp;($J1366+4)),"")</f>
        <v/>
      </c>
      <c r="E1366" s="291" t="str">
        <f aca="true">IF(ISNUMBER($J1366),INDIRECT("P"&amp;($J1366+4)),"")</f>
        <v/>
      </c>
      <c r="F1366" s="300" t="str">
        <f aca="true">IF(ISNUMBER($J1366),INDIRECT("Q"&amp;($J1366+4)),"")</f>
        <v/>
      </c>
      <c r="G1366" s="298" t="str">
        <f aca="true">IF(ISNUMBER($J1366),INDIRECT("R"&amp;($J1366+4)),"")</f>
        <v/>
      </c>
      <c r="H1366" s="298" t="str">
        <f aca="true">IF(ISNUMBER($J1366),INDIRECT("S"&amp;($J1366+4)),"")</f>
        <v/>
      </c>
      <c r="J1366" s="292" t="str">
        <f aca="true">IF(1362&lt;=$K$1,MATCH(1361.5,INDIRECT("$K$4:$K$1374"),1),"")</f>
        <v/>
      </c>
      <c r="K1366" s="292" t="n">
        <f aca="false">$K$1284+COUNTIF($Q$1285:Q1366,"&gt;0")</f>
        <v>0</v>
      </c>
      <c r="L1366" s="292" t="str">
        <f aca="false">"Материалы и стеллажи"</f>
        <v>Материалы и стеллажи</v>
      </c>
      <c r="M1366" s="292" t="str">
        <f aca="false">IF(ISBLANK('Материалы и стеллажи'!$A$25),"",'Материалы и стеллажи'!$A$25)</f>
        <v>A1 Hook Shelf  3.0</v>
      </c>
      <c r="N1366" s="292" t="str">
        <f aca="false">""</f>
        <v/>
      </c>
      <c r="O1366" s="292" t="str">
        <f aca="false">""</f>
        <v/>
      </c>
      <c r="P1366" s="292" t="str">
        <f aca="false">"ед."</f>
        <v>ед.</v>
      </c>
      <c r="Q1366" s="292" t="n">
        <f aca="false">N('Материалы и стеллажи'!$D$25)</f>
        <v>0</v>
      </c>
      <c r="R1366" s="299" t="n">
        <f aca="false">IF(ISBLANK('Материалы и стеллажи'!$C$25),"",'Материалы и стеллажи'!$C$25)</f>
        <v>8317.8</v>
      </c>
      <c r="S1366" s="292" t="str">
        <f aca="false">IF(ISBLANK('Материалы и стеллажи'!$E$25),"",'Материалы и стеллажи'!$E$25)</f>
        <v/>
      </c>
    </row>
    <row r="1367" customFormat="false" ht="66" hidden="false" customHeight="true" outlineLevel="0" collapsed="false">
      <c r="A1367" s="291" t="str">
        <f aca="true">IF(ISNUMBER($J1367),INDIRECT("L"&amp;($J1367+4)),"")</f>
        <v/>
      </c>
      <c r="B1367" s="291" t="str">
        <f aca="true">IF(ISNUMBER($J1367),INDIRECT("M"&amp;($J1367+4)),"")</f>
        <v/>
      </c>
      <c r="C1367" s="296" t="str">
        <f aca="true">IF(ISNUMBER($J1367),INDIRECT("N"&amp;($J1367+4)),"")</f>
        <v/>
      </c>
      <c r="D1367" s="291" t="str">
        <f aca="true">IF(ISNUMBER($J1367),INDIRECT("O"&amp;($J1367+4)),"")</f>
        <v/>
      </c>
      <c r="E1367" s="291" t="str">
        <f aca="true">IF(ISNUMBER($J1367),INDIRECT("P"&amp;($J1367+4)),"")</f>
        <v/>
      </c>
      <c r="F1367" s="300" t="str">
        <f aca="true">IF(ISNUMBER($J1367),INDIRECT("Q"&amp;($J1367+4)),"")</f>
        <v/>
      </c>
      <c r="G1367" s="298" t="str">
        <f aca="true">IF(ISNUMBER($J1367),INDIRECT("R"&amp;($J1367+4)),"")</f>
        <v/>
      </c>
      <c r="H1367" s="298" t="str">
        <f aca="true">IF(ISNUMBER($J1367),INDIRECT("S"&amp;($J1367+4)),"")</f>
        <v/>
      </c>
      <c r="J1367" s="292" t="str">
        <f aca="true">IF(1363&lt;=$K$1,MATCH(1362.5,INDIRECT("$K$4:$K$1374"),1),"")</f>
        <v/>
      </c>
      <c r="K1367" s="292" t="n">
        <f aca="false">$K$1284+COUNTIF($Q$1285:Q1367,"&gt;0")</f>
        <v>0</v>
      </c>
      <c r="L1367" s="292" t="str">
        <f aca="false">"Материалы и стеллажи"</f>
        <v>Материалы и стеллажи</v>
      </c>
      <c r="M1367" s="292" t="str">
        <f aca="false">IF(ISBLANK('Материалы и стеллажи'!$A$26),"",'Материалы и стеллажи'!$A$26)</f>
        <v>A2 Laminated Board Shelf  3.0</v>
      </c>
      <c r="N1367" s="292" t="str">
        <f aca="false">""</f>
        <v/>
      </c>
      <c r="O1367" s="292" t="str">
        <f aca="false">""</f>
        <v/>
      </c>
      <c r="P1367" s="292" t="str">
        <f aca="false">"ед."</f>
        <v>ед.</v>
      </c>
      <c r="Q1367" s="292" t="n">
        <f aca="false">N('Материалы и стеллажи'!$D$26)</f>
        <v>0</v>
      </c>
      <c r="R1367" s="299" t="n">
        <f aca="false">IF(ISBLANK('Материалы и стеллажи'!$C$26),"",'Материалы и стеллажи'!$C$26)</f>
        <v>6067.1</v>
      </c>
      <c r="S1367" s="292" t="str">
        <f aca="false">IF(ISBLANK('Материалы и стеллажи'!$E$26),"",'Материалы и стеллажи'!$E$26)</f>
        <v/>
      </c>
    </row>
    <row r="1368" customFormat="false" ht="66" hidden="false" customHeight="true" outlineLevel="0" collapsed="false">
      <c r="A1368" s="291" t="str">
        <f aca="true">IF(ISNUMBER($J1368),INDIRECT("L"&amp;($J1368+4)),"")</f>
        <v/>
      </c>
      <c r="B1368" s="291" t="str">
        <f aca="true">IF(ISNUMBER($J1368),INDIRECT("M"&amp;($J1368+4)),"")</f>
        <v/>
      </c>
      <c r="C1368" s="296" t="str">
        <f aca="true">IF(ISNUMBER($J1368),INDIRECT("N"&amp;($J1368+4)),"")</f>
        <v/>
      </c>
      <c r="D1368" s="291" t="str">
        <f aca="true">IF(ISNUMBER($J1368),INDIRECT("O"&amp;($J1368+4)),"")</f>
        <v/>
      </c>
      <c r="E1368" s="291" t="str">
        <f aca="true">IF(ISNUMBER($J1368),INDIRECT("P"&amp;($J1368+4)),"")</f>
        <v/>
      </c>
      <c r="F1368" s="300" t="str">
        <f aca="true">IF(ISNUMBER($J1368),INDIRECT("Q"&amp;($J1368+4)),"")</f>
        <v/>
      </c>
      <c r="G1368" s="298" t="str">
        <f aca="true">IF(ISNUMBER($J1368),INDIRECT("R"&amp;($J1368+4)),"")</f>
        <v/>
      </c>
      <c r="H1368" s="298" t="str">
        <f aca="true">IF(ISNUMBER($J1368),INDIRECT("S"&amp;($J1368+4)),"")</f>
        <v/>
      </c>
      <c r="J1368" s="292" t="str">
        <f aca="true">IF(1364&lt;=$K$1,MATCH(1363.5,INDIRECT("$K$4:$K$1374"),1),"")</f>
        <v/>
      </c>
      <c r="K1368" s="292" t="n">
        <f aca="false">$K$1284+COUNTIF($Q$1285:Q1368,"&gt;0")</f>
        <v>0</v>
      </c>
      <c r="L1368" s="292" t="str">
        <f aca="false">"Материалы и стеллажи"</f>
        <v>Материалы и стеллажи</v>
      </c>
      <c r="M1368" s="292" t="str">
        <f aca="false">IF(ISBLANK('Материалы и стеллажи'!$A$27),"",'Материалы и стеллажи'!$A$27)</f>
        <v>T03 Experience desk standard 3.0</v>
      </c>
      <c r="N1368" s="292" t="str">
        <f aca="false">""</f>
        <v/>
      </c>
      <c r="O1368" s="292" t="str">
        <f aca="false">""</f>
        <v/>
      </c>
      <c r="P1368" s="292" t="str">
        <f aca="false">"ед."</f>
        <v>ед.</v>
      </c>
      <c r="Q1368" s="292" t="n">
        <f aca="false">N('Материалы и стеллажи'!$D$27)</f>
        <v>0</v>
      </c>
      <c r="R1368" s="299" t="n">
        <f aca="false">IF(ISBLANK('Материалы и стеллажи'!$C$27),"",'Материалы и стеллажи'!$C$27)</f>
        <v>11090.4</v>
      </c>
      <c r="S1368" s="292" t="str">
        <f aca="false">IF(ISBLANK('Материалы и стеллажи'!$E$27),"",'Материалы и стеллажи'!$E$27)</f>
        <v/>
      </c>
    </row>
    <row r="1369" customFormat="false" ht="66" hidden="false" customHeight="true" outlineLevel="0" collapsed="false">
      <c r="A1369" s="291" t="str">
        <f aca="true">IF(ISNUMBER($J1369),INDIRECT("L"&amp;($J1369+4)),"")</f>
        <v/>
      </c>
      <c r="B1369" s="291" t="str">
        <f aca="true">IF(ISNUMBER($J1369),INDIRECT("M"&amp;($J1369+4)),"")</f>
        <v/>
      </c>
      <c r="C1369" s="296" t="str">
        <f aca="true">IF(ISNUMBER($J1369),INDIRECT("N"&amp;($J1369+4)),"")</f>
        <v/>
      </c>
      <c r="D1369" s="291" t="str">
        <f aca="true">IF(ISNUMBER($J1369),INDIRECT("O"&amp;($J1369+4)),"")</f>
        <v/>
      </c>
      <c r="E1369" s="291" t="str">
        <f aca="true">IF(ISNUMBER($J1369),INDIRECT("P"&amp;($J1369+4)),"")</f>
        <v/>
      </c>
      <c r="F1369" s="300" t="str">
        <f aca="true">IF(ISNUMBER($J1369),INDIRECT("Q"&amp;($J1369+4)),"")</f>
        <v/>
      </c>
      <c r="G1369" s="298" t="str">
        <f aca="true">IF(ISNUMBER($J1369),INDIRECT("R"&amp;($J1369+4)),"")</f>
        <v/>
      </c>
      <c r="H1369" s="298" t="str">
        <f aca="true">IF(ISNUMBER($J1369),INDIRECT("S"&amp;($J1369+4)),"")</f>
        <v/>
      </c>
      <c r="J1369" s="292" t="str">
        <f aca="true">IF(1365&lt;=$K$1,MATCH(1364.5,INDIRECT("$K$4:$K$1374"),1),"")</f>
        <v/>
      </c>
      <c r="K1369" s="292" t="n">
        <f aca="false">$K$1284+COUNTIF($Q$1285:Q1369,"&gt;0")</f>
        <v>0</v>
      </c>
      <c r="L1369" s="292" t="str">
        <f aca="false">"Материалы и стеллажи"</f>
        <v>Материалы и стеллажи</v>
      </c>
      <c r="M1369" s="292" t="str">
        <f aca="false">IF(ISBLANK('Материалы и стеллажи'!$A$28),"",'Материалы и стеллажи'!$A$28)</f>
        <v>3m Combination( 2set A1,1set A2)3.0</v>
      </c>
      <c r="N1369" s="292" t="str">
        <f aca="false">""</f>
        <v/>
      </c>
      <c r="O1369" s="292" t="str">
        <f aca="false">""</f>
        <v/>
      </c>
      <c r="P1369" s="292" t="str">
        <f aca="false">"ед."</f>
        <v>ед.</v>
      </c>
      <c r="Q1369" s="292" t="n">
        <f aca="false">N('Материалы и стеллажи'!$D$28)</f>
        <v>0</v>
      </c>
      <c r="R1369" s="299" t="n">
        <f aca="false">IF(ISBLANK('Материалы и стеллажи'!$C$28),"",'Материалы и стеллажи'!$C$28)</f>
        <v>22702.7</v>
      </c>
      <c r="S1369" s="292" t="str">
        <f aca="false">IF(ISBLANK('Материалы и стеллажи'!$E$28),"",'Материалы и стеллажи'!$E$28)</f>
        <v/>
      </c>
    </row>
    <row r="1370" customFormat="false" ht="66" hidden="false" customHeight="true" outlineLevel="0" collapsed="false">
      <c r="A1370" s="291" t="str">
        <f aca="true">IF(ISNUMBER($J1370),INDIRECT("L"&amp;($J1370+4)),"")</f>
        <v/>
      </c>
      <c r="B1370" s="291" t="str">
        <f aca="true">IF(ISNUMBER($J1370),INDIRECT("M"&amp;($J1370+4)),"")</f>
        <v/>
      </c>
      <c r="C1370" s="296" t="str">
        <f aca="true">IF(ISNUMBER($J1370),INDIRECT("N"&amp;($J1370+4)),"")</f>
        <v/>
      </c>
      <c r="D1370" s="291" t="str">
        <f aca="true">IF(ISNUMBER($J1370),INDIRECT("O"&amp;($J1370+4)),"")</f>
        <v/>
      </c>
      <c r="E1370" s="291" t="str">
        <f aca="true">IF(ISNUMBER($J1370),INDIRECT("P"&amp;($J1370+4)),"")</f>
        <v/>
      </c>
      <c r="F1370" s="300" t="str">
        <f aca="true">IF(ISNUMBER($J1370),INDIRECT("Q"&amp;($J1370+4)),"")</f>
        <v/>
      </c>
      <c r="G1370" s="298" t="str">
        <f aca="true">IF(ISNUMBER($J1370),INDIRECT("R"&amp;($J1370+4)),"")</f>
        <v/>
      </c>
      <c r="H1370" s="298" t="str">
        <f aca="true">IF(ISNUMBER($J1370),INDIRECT("S"&amp;($J1370+4)),"")</f>
        <v/>
      </c>
      <c r="J1370" s="292" t="str">
        <f aca="true">IF(1366&lt;=$K$1,MATCH(1365.5,INDIRECT("$K$4:$K$1374"),1),"")</f>
        <v/>
      </c>
      <c r="K1370" s="292" t="n">
        <f aca="false">$K$1284+COUNTIF($Q$1285:Q1370,"&gt;0")</f>
        <v>0</v>
      </c>
      <c r="L1370" s="292" t="str">
        <f aca="false">"Материалы и стеллажи"</f>
        <v>Материалы и стеллажи</v>
      </c>
      <c r="M1370" s="292" t="str">
        <f aca="false">IF(ISBLANK('Материалы и стеллажи'!$A$29),"",'Материалы и стеллажи'!$A$29)</f>
        <v>3.6m Combination ( 2set A1, 2set A2)3.0</v>
      </c>
      <c r="N1370" s="292" t="str">
        <f aca="false">""</f>
        <v/>
      </c>
      <c r="O1370" s="292" t="str">
        <f aca="false">""</f>
        <v/>
      </c>
      <c r="P1370" s="292" t="str">
        <f aca="false">"ед."</f>
        <v>ед.</v>
      </c>
      <c r="Q1370" s="292" t="n">
        <f aca="false">N('Материалы и стеллажи'!$D$29)</f>
        <v>0</v>
      </c>
      <c r="R1370" s="299" t="n">
        <f aca="false">IF(ISBLANK('Материалы и стеллажи'!$C$29),"",'Материалы и стеллажи'!$C$29)</f>
        <v>28769.8</v>
      </c>
      <c r="S1370" s="292" t="str">
        <f aca="false">IF(ISBLANK('Материалы и стеллажи'!$E$29),"",'Материалы и стеллажи'!$E$29)</f>
        <v/>
      </c>
    </row>
    <row r="1371" customFormat="false" ht="66" hidden="false" customHeight="true" outlineLevel="0" collapsed="false">
      <c r="A1371" s="291" t="str">
        <f aca="true">IF(ISNUMBER($J1371),INDIRECT("L"&amp;($J1371+4)),"")</f>
        <v/>
      </c>
      <c r="B1371" s="291" t="str">
        <f aca="true">IF(ISNUMBER($J1371),INDIRECT("M"&amp;($J1371+4)),"")</f>
        <v/>
      </c>
      <c r="C1371" s="296" t="str">
        <f aca="true">IF(ISNUMBER($J1371),INDIRECT("N"&amp;($J1371+4)),"")</f>
        <v/>
      </c>
      <c r="D1371" s="291" t="str">
        <f aca="true">IF(ISNUMBER($J1371),INDIRECT("O"&amp;($J1371+4)),"")</f>
        <v/>
      </c>
      <c r="E1371" s="291" t="str">
        <f aca="true">IF(ISNUMBER($J1371),INDIRECT("P"&amp;($J1371+4)),"")</f>
        <v/>
      </c>
      <c r="F1371" s="300" t="str">
        <f aca="true">IF(ISNUMBER($J1371),INDIRECT("Q"&amp;($J1371+4)),"")</f>
        <v/>
      </c>
      <c r="G1371" s="298" t="str">
        <f aca="true">IF(ISNUMBER($J1371),INDIRECT("R"&amp;($J1371+4)),"")</f>
        <v/>
      </c>
      <c r="H1371" s="298" t="str">
        <f aca="true">IF(ISNUMBER($J1371),INDIRECT("S"&amp;($J1371+4)),"")</f>
        <v/>
      </c>
      <c r="J1371" s="292" t="str">
        <f aca="true">IF(1367&lt;=$K$1,MATCH(1366.5,INDIRECT("$K$4:$K$1374"),1),"")</f>
        <v/>
      </c>
      <c r="K1371" s="292" t="n">
        <f aca="false">$K$1284+COUNTIF($Q$1285:Q1371,"&gt;0")</f>
        <v>0</v>
      </c>
      <c r="L1371" s="292" t="str">
        <f aca="false">"Материалы и стеллажи"</f>
        <v>Материалы и стеллажи</v>
      </c>
      <c r="M1371" s="292" t="str">
        <f aca="false">IF(ISBLANK('Материалы и стеллажи'!$A$30),"",'Материалы и стеллажи'!$A$30)</f>
        <v>4.2m Combination( 2et A1, 3set A2)3.0</v>
      </c>
      <c r="N1371" s="292" t="str">
        <f aca="false">""</f>
        <v/>
      </c>
      <c r="O1371" s="292" t="str">
        <f aca="false">""</f>
        <v/>
      </c>
      <c r="P1371" s="292" t="str">
        <f aca="false">"ед."</f>
        <v>ед.</v>
      </c>
      <c r="Q1371" s="292" t="n">
        <f aca="false">N('Материалы и стеллажи'!$D$30)</f>
        <v>0</v>
      </c>
      <c r="R1371" s="299" t="n">
        <f aca="false">IF(ISBLANK('Материалы и стеллажи'!$C$30),"",'Материалы и стеллажи'!$C$30)</f>
        <v>34836.9</v>
      </c>
      <c r="S1371" s="292" t="str">
        <f aca="false">IF(ISBLANK('Материалы и стеллажи'!$E$30),"",'Материалы и стеллажи'!$E$30)</f>
        <v/>
      </c>
    </row>
    <row r="1372" customFormat="false" ht="66" hidden="false" customHeight="true" outlineLevel="0" collapsed="false">
      <c r="A1372" s="291" t="str">
        <f aca="true">IF(ISNUMBER($J1372),INDIRECT("L"&amp;($J1372+4)),"")</f>
        <v/>
      </c>
      <c r="B1372" s="291" t="str">
        <f aca="true">IF(ISNUMBER($J1372),INDIRECT("M"&amp;($J1372+4)),"")</f>
        <v/>
      </c>
      <c r="C1372" s="296" t="str">
        <f aca="true">IF(ISNUMBER($J1372),INDIRECT("N"&amp;($J1372+4)),"")</f>
        <v/>
      </c>
      <c r="D1372" s="291" t="str">
        <f aca="true">IF(ISNUMBER($J1372),INDIRECT("O"&amp;($J1372+4)),"")</f>
        <v/>
      </c>
      <c r="E1372" s="291" t="str">
        <f aca="true">IF(ISNUMBER($J1372),INDIRECT("P"&amp;($J1372+4)),"")</f>
        <v/>
      </c>
      <c r="F1372" s="300" t="str">
        <f aca="true">IF(ISNUMBER($J1372),INDIRECT("Q"&amp;($J1372+4)),"")</f>
        <v/>
      </c>
      <c r="G1372" s="298" t="str">
        <f aca="true">IF(ISNUMBER($J1372),INDIRECT("R"&amp;($J1372+4)),"")</f>
        <v/>
      </c>
      <c r="H1372" s="298" t="str">
        <f aca="true">IF(ISNUMBER($J1372),INDIRECT("S"&amp;($J1372+4)),"")</f>
        <v/>
      </c>
      <c r="J1372" s="292" t="str">
        <f aca="true">IF(1368&lt;=$K$1,MATCH(1367.5,INDIRECT("$K$4:$K$1374"),1),"")</f>
        <v/>
      </c>
      <c r="K1372" s="292" t="n">
        <f aca="false">$K$1284+COUNTIF($Q$1285:Q1372,"&gt;0")</f>
        <v>0</v>
      </c>
      <c r="L1372" s="292" t="str">
        <f aca="false">"Материалы и стеллажи"</f>
        <v>Материалы и стеллажи</v>
      </c>
      <c r="M1372" s="292" t="str">
        <f aca="false">IF(ISBLANK('Материалы и стеллажи'!$A$31),"",'Материалы и стеллажи'!$A$31)</f>
        <v>4.8m Combination( 4set A1)3.0</v>
      </c>
      <c r="N1372" s="292" t="str">
        <f aca="false">""</f>
        <v/>
      </c>
      <c r="O1372" s="292" t="str">
        <f aca="false">""</f>
        <v/>
      </c>
      <c r="P1372" s="292" t="str">
        <f aca="false">"ед."</f>
        <v>ед.</v>
      </c>
      <c r="Q1372" s="292" t="n">
        <f aca="false">N('Материалы и стеллажи'!$D$31)</f>
        <v>0</v>
      </c>
      <c r="R1372" s="299" t="n">
        <f aca="false">IF(ISBLANK('Материалы и стеллажи'!$C$31),"",'Материалы и стеллажи'!$C$31)</f>
        <v>33271.2</v>
      </c>
      <c r="S1372" s="292" t="str">
        <f aca="false">IF(ISBLANK('Материалы и стеллажи'!$E$31),"",'Материалы и стеллажи'!$E$31)</f>
        <v/>
      </c>
    </row>
    <row r="1373" customFormat="false" ht="66" hidden="false" customHeight="true" outlineLevel="0" collapsed="false">
      <c r="A1373" s="291" t="str">
        <f aca="true">IF(ISNUMBER($J1373),INDIRECT("L"&amp;($J1373+4)),"")</f>
        <v/>
      </c>
      <c r="B1373" s="291" t="str">
        <f aca="true">IF(ISNUMBER($J1373),INDIRECT("M"&amp;($J1373+4)),"")</f>
        <v/>
      </c>
      <c r="C1373" s="296" t="str">
        <f aca="true">IF(ISNUMBER($J1373),INDIRECT("N"&amp;($J1373+4)),"")</f>
        <v/>
      </c>
      <c r="D1373" s="291" t="str">
        <f aca="true">IF(ISNUMBER($J1373),INDIRECT("O"&amp;($J1373+4)),"")</f>
        <v/>
      </c>
      <c r="E1373" s="291" t="str">
        <f aca="true">IF(ISNUMBER($J1373),INDIRECT("P"&amp;($J1373+4)),"")</f>
        <v/>
      </c>
      <c r="F1373" s="300" t="str">
        <f aca="true">IF(ISNUMBER($J1373),INDIRECT("Q"&amp;($J1373+4)),"")</f>
        <v/>
      </c>
      <c r="G1373" s="298" t="str">
        <f aca="true">IF(ISNUMBER($J1373),INDIRECT("R"&amp;($J1373+4)),"")</f>
        <v/>
      </c>
      <c r="H1373" s="298" t="str">
        <f aca="true">IF(ISNUMBER($J1373),INDIRECT("S"&amp;($J1373+4)),"")</f>
        <v/>
      </c>
      <c r="J1373" s="292" t="str">
        <f aca="true">IF(1369&lt;=$K$1,MATCH(1368.5,INDIRECT("$K$4:$K$1374"),1),"")</f>
        <v/>
      </c>
      <c r="K1373" s="292" t="n">
        <f aca="false">$K$1284+COUNTIF($Q$1285:Q1373,"&gt;0")</f>
        <v>0</v>
      </c>
      <c r="L1373" s="292" t="str">
        <f aca="false">"Материалы и стеллажи"</f>
        <v>Материалы и стеллажи</v>
      </c>
      <c r="M1373" s="292" t="str">
        <f aca="false">IF(ISBLANK('Материалы и стеллажи'!$A$32),"",'Материалы и стеллажи'!$A$32)</f>
        <v>5.4m Combination( 4set A1, 1set A2)3.0</v>
      </c>
      <c r="N1373" s="292" t="str">
        <f aca="false">""</f>
        <v/>
      </c>
      <c r="O1373" s="292" t="str">
        <f aca="false">""</f>
        <v/>
      </c>
      <c r="P1373" s="292" t="str">
        <f aca="false">"ед."</f>
        <v>ед.</v>
      </c>
      <c r="Q1373" s="292" t="n">
        <f aca="false">N('Материалы и стеллажи'!$D$32)</f>
        <v>0</v>
      </c>
      <c r="R1373" s="299" t="n">
        <f aca="false">IF(ISBLANK('Материалы и стеллажи'!$C$32),"",'Материалы и стеллажи'!$C$32)</f>
        <v>39338.3</v>
      </c>
      <c r="S1373" s="292" t="str">
        <f aca="false">IF(ISBLANK('Материалы и стеллажи'!$E$32),"",'Материалы и стеллажи'!$E$32)</f>
        <v/>
      </c>
    </row>
    <row r="1374" customFormat="false" ht="66" hidden="false" customHeight="true" outlineLevel="0" collapsed="false">
      <c r="A1374" s="291" t="str">
        <f aca="true">IF(ISNUMBER($J1374),INDIRECT("L"&amp;($J1374+4)),"")</f>
        <v/>
      </c>
      <c r="B1374" s="291" t="str">
        <f aca="true">IF(ISNUMBER($J1374),INDIRECT("M"&amp;($J1374+4)),"")</f>
        <v/>
      </c>
      <c r="C1374" s="296" t="str">
        <f aca="true">IF(ISNUMBER($J1374),INDIRECT("N"&amp;($J1374+4)),"")</f>
        <v/>
      </c>
      <c r="D1374" s="291" t="str">
        <f aca="true">IF(ISNUMBER($J1374),INDIRECT("O"&amp;($J1374+4)),"")</f>
        <v/>
      </c>
      <c r="E1374" s="291" t="str">
        <f aca="true">IF(ISNUMBER($J1374),INDIRECT("P"&amp;($J1374+4)),"")</f>
        <v/>
      </c>
      <c r="F1374" s="300" t="str">
        <f aca="true">IF(ISNUMBER($J1374),INDIRECT("Q"&amp;($J1374+4)),"")</f>
        <v/>
      </c>
      <c r="G1374" s="298" t="str">
        <f aca="true">IF(ISNUMBER($J1374),INDIRECT("R"&amp;($J1374+4)),"")</f>
        <v/>
      </c>
      <c r="H1374" s="298" t="str">
        <f aca="true">IF(ISNUMBER($J1374),INDIRECT("S"&amp;($J1374+4)),"")</f>
        <v/>
      </c>
      <c r="J1374" s="292" t="str">
        <f aca="true">IF(1370&lt;=$K$1,MATCH(1369.5,INDIRECT("$K$4:$K$1374"),1),"")</f>
        <v/>
      </c>
      <c r="K1374" s="292" t="n">
        <f aca="false">$K$1284+COUNTIF($Q$1285:Q1374,"&gt;0")</f>
        <v>0</v>
      </c>
      <c r="L1374" s="292" t="str">
        <f aca="false">"Материалы и стеллажи"</f>
        <v>Материалы и стеллажи</v>
      </c>
      <c r="M1374" s="292" t="str">
        <f aca="false">IF(ISBLANK('Материалы и стеллажи'!$A$33),"",'Материалы и стеллажи'!$A$33)</f>
        <v>BN04 Single-sided promotional hook display stand</v>
      </c>
      <c r="N1374" s="292" t="str">
        <f aca="false">""</f>
        <v/>
      </c>
      <c r="O1374" s="292" t="str">
        <f aca="false">""</f>
        <v/>
      </c>
      <c r="P1374" s="292" t="str">
        <f aca="false">"ед."</f>
        <v>ед.</v>
      </c>
      <c r="Q1374" s="292" t="n">
        <f aca="false">N('Материалы и стеллажи'!$D$33)</f>
        <v>0</v>
      </c>
      <c r="R1374" s="299" t="n">
        <f aca="false">IF(ISBLANK('Материалы и стеллажи'!$C$33),"",'Материалы и стеллажи'!$C$33)</f>
        <v>4892.82</v>
      </c>
      <c r="S1374" s="292" t="str">
        <f aca="false">IF(ISBLANK('Материалы и стеллажи'!$E$33),"",'Материалы и стеллажи'!$E$33)</f>
        <v/>
      </c>
    </row>
  </sheetData>
  <mergeCells count="2">
    <mergeCell ref="A1:E1"/>
    <mergeCell ref="A2:D2"/>
  </mergeCells>
  <conditionalFormatting sqref="A4:H4">
    <cfRule type="expression" priority="2" aboveAverage="0" equalAverage="0" bottom="0" percent="0" rank="0" text="" dxfId="0">
      <formula>$K$1&gt;0</formula>
    </cfRule>
  </conditionalFormatting>
  <conditionalFormatting sqref="G2:H2">
    <cfRule type="expression" priority="3" aboveAverage="0" equalAverage="0" bottom="0" percent="0" rank="0" text="" dxfId="1">
      <formula>$K$1&gt;0</formula>
    </cfRule>
  </conditionalFormatting>
  <conditionalFormatting sqref="A5:H1374">
    <cfRule type="expression" priority="4" aboveAverage="0" equalAverage="0" bottom="0" percent="0" rank="0" text="" dxfId="2">
      <formula>ISNUMBER($J5)</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2018-06-15T02:30:00Z</dcterms:created>
  <dc:language>en-US</dc:language>
  <dcterms:modified xsi:type="dcterms:W3CDTF">2026-09-16T03:25:54Z</dcterms:modified>
  <cp:revision>0</cp:revision>
  <dc:title>BOROFONE — прайс для клиентов</dc:title>
</cp:coreProperties>
</file>